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showInkAnnotation="0" updateLinks="never" codeName="ThisWorkbook" defaultThemeVersion="124226"/>
  <mc:AlternateContent xmlns:mc="http://schemas.openxmlformats.org/markup-compatibility/2006">
    <mc:Choice Requires="x15">
      <x15ac:absPath xmlns:x15ac="http://schemas.microsoft.com/office/spreadsheetml/2010/11/ac" url="/Users/robi/Documents/Dokumentumok – Zsipi MacBook Pro/piszok/"/>
    </mc:Choice>
  </mc:AlternateContent>
  <xr:revisionPtr revIDLastSave="0" documentId="8_{53297149-8E15-8F46-B763-CF7D961F952F}" xr6:coauthVersionLast="45" xr6:coauthVersionMax="45" xr10:uidLastSave="{00000000-0000-0000-0000-000000000000}"/>
  <workbookProtection workbookPassword="C613" lockStructure="1"/>
  <bookViews>
    <workbookView xWindow="0" yWindow="460" windowWidth="28800" windowHeight="12340" tabRatio="597" xr2:uid="{00000000-000D-0000-FFFF-FFFF00000000}"/>
  </bookViews>
  <sheets>
    <sheet name="Fedlap" sheetId="18" r:id="rId1"/>
    <sheet name="Refinanszírozás célja" sheetId="19" r:id="rId2"/>
    <sheet name="Refinanszírozási kérelem" sheetId="4" r:id="rId3"/>
    <sheet name="Cashflow, Támogatástartalom" sheetId="5" state="hidden" r:id="rId4"/>
    <sheet name="Törlesztési ütemterv" sheetId="17" r:id="rId5"/>
    <sheet name="Eredményterv" sheetId="16" r:id="rId6"/>
    <sheet name="Támogatás intenzitás" sheetId="1" r:id="rId7"/>
    <sheet name="Segédtáblákk" sheetId="2" state="hidden" r:id="rId8"/>
    <sheet name="Inicializálás" sheetId="3" state="hidden" r:id="rId9"/>
    <sheet name="Támogatás tartalom összesítés " sheetId="12" state="hidden" r:id="rId10"/>
    <sheet name="Nyilatkozatok" sheetId="21" r:id="rId11"/>
    <sheet name="EIB_CEB nyilatkozatok" sheetId="22" r:id="rId12"/>
    <sheet name="Támogatási Nyilatkozatok_all" sheetId="23" r:id="rId13"/>
    <sheet name="Patika Hitelprogram - Kérelem" sheetId="24" r:id="rId14"/>
    <sheet name="Nyilatkozat igénybe vett tám" sheetId="25" r:id="rId15"/>
  </sheets>
  <externalReferences>
    <externalReference r:id="rId16"/>
    <externalReference r:id="rId17"/>
    <externalReference r:id="rId18"/>
  </externalReferences>
  <definedNames>
    <definedName name="adoszamnyil">'Támogatási Nyilatkozatok_all'!$C$25</definedName>
    <definedName name="ajtonyil">'Támogatási Nyilatkozatok_all'!$AX$21</definedName>
    <definedName name="Alprogram">'Refinanszírozás célja'!$U$49</definedName>
    <definedName name="anyanyil">'Támogatási Nyilatkozatok_all'!$C$13</definedName>
    <definedName name="bankiarfolyam">'Refinanszírozási kérelem'!#REF!</definedName>
    <definedName name="bankiarfolyam_megj">'Refinanszírozási kérelem'!#REF!</definedName>
    <definedName name="bejelentesihatarell">'Támogatás intenzitás'!$G$11</definedName>
    <definedName name="BenyujtasanakIdopontja">'Refinanszírozási kérelem'!$Z$64</definedName>
    <definedName name="bruttópénzigény">'Refinanszírozási kérelem'!$AY$178</definedName>
    <definedName name="Bubor">'Refinanszírozási kérelem'!$AP$278</definedName>
    <definedName name="Bubor_megj">'Refinanszírozási kérelem'!$E$278</definedName>
    <definedName name="C_L">'Támogatás intenzitás'!$G$31</definedName>
    <definedName name="C_M">'Támogatás intenzitás'!$H$31</definedName>
    <definedName name="C_N">'Támogatás intenzitás'!$I$31</definedName>
    <definedName name="C_O">'Támogatás intenzitás'!$J$31</definedName>
    <definedName name="C_P">'Támogatás intenzitás'!$K$31</definedName>
    <definedName name="C_Q">'Támogatás intenzitás'!$L$31</definedName>
    <definedName name="C_R">'Támogatás intenzitás'!$M$31</definedName>
    <definedName name="C_S">'Támogatás intenzitás'!$N$31</definedName>
    <definedName name="C_T">'Támogatás intenzitás'!$O$31</definedName>
    <definedName name="cs_1">'Támogatás intenzitás'!$G$38</definedName>
    <definedName name="cs_2">'Támogatás intenzitás'!$G$41</definedName>
    <definedName name="cs_3">'Támogatás intenzitás'!$G$44</definedName>
    <definedName name="cs_k">'Támogatás intenzitás'!$D$11</definedName>
    <definedName name="cs_k_huf">'Támogatás intenzitás'!$D$12</definedName>
    <definedName name="cs_ossz">'Támogatás intenzitás'!$G$46</definedName>
    <definedName name="cs0">'Támogatás intenzitás'!$G$32</definedName>
    <definedName name="devizanem">'Refinanszírozási kérelem'!$AQ$72</definedName>
    <definedName name="Devizanem_megj">'Refinanszírozási kérelem'!#REF!</definedName>
    <definedName name="egyenloreszletek">'Refinanszírozási kérelem'!#REF!</definedName>
    <definedName name="egyenloreszletekszama">'Törlesztési ütemterv'!$L$28</definedName>
    <definedName name="elso_torl">'Refinanszírozási kérelem'!#REF!</definedName>
    <definedName name="elso_tort_honap">'Cashflow, Támogatástartalom'!$B$39</definedName>
    <definedName name="ElsoHonapVege">'Cashflow, Támogatástartalom'!$H$2</definedName>
    <definedName name="ElsoTorl">'Refinanszírozási kérelem'!$AA$102</definedName>
    <definedName name="Elszamolhato_kg">'Támogatás intenzitás'!$D$35</definedName>
    <definedName name="energiahat">Segédtáblákk!$E:$E</definedName>
    <definedName name="Ettolfugg">'Refinanszírozási kérelem'!#REF!</definedName>
    <definedName name="eurefrata">'Refinanszírozási kérelem'!$AP$278</definedName>
    <definedName name="euribor1">#REF!</definedName>
    <definedName name="euribor2">'Refinanszírozási kérelem'!#REF!</definedName>
    <definedName name="euribor2_megj">'Refinanszírozási kérelem'!#REF!</definedName>
    <definedName name="Euro_arf">'Cashflow, Támogatástartalom'!$C$26</definedName>
    <definedName name="EurRefrata">'Refinanszírozási kérelem'!$AP$280</definedName>
    <definedName name="EurRefrata_megj">'Refinanszírozási kérelem'!$E$280</definedName>
    <definedName name="evnyil">'Támogatási Nyilatkozatok_all'!$X$25</definedName>
    <definedName name="evszamnyil">'Támogatási Nyilatkozatok_all'!$AO$25</definedName>
    <definedName name="felhaszntamkeretkbt">'Támogatás intenzitás'!$N$10</definedName>
    <definedName name="felhaszntamkeretmge">'Támogatás intenzitás'!$O$10</definedName>
    <definedName name="felhaszntamkeretmgf">'Támogatás intenzitás'!$P$10</definedName>
    <definedName name="felhaszntamkeretregber">'Támogatás intenzitás'!$M$10</definedName>
    <definedName name="figyelmeztetés">'Támogatás intenzitás'!$B$8</definedName>
    <definedName name="Finanszirozo">'Refinanszírozási kérelem'!$AL$13</definedName>
    <definedName name="FixValtozo">'Refinanszírozási kérelem'!$CI$178:$CI$181</definedName>
    <definedName name="foly_utani_hovege">'Törlesztési ütemterv'!#REF!</definedName>
    <definedName name="Folyositas">'Refinanszírozási kérelem'!$AA$92</definedName>
    <definedName name="Folyositas_igazitott">'Törlesztési ütemterv'!$D$23</definedName>
    <definedName name="forma">'Refinanszírozás célja'!$C$28</definedName>
    <definedName name="forrásössz">'Refinanszírozási kérelem'!$AO$213</definedName>
    <definedName name="futamidohossza">'Refinanszírozási kérelem'!$N$97</definedName>
    <definedName name="futamidokezdete">'Refinanszírozási kérelem'!$AA$99</definedName>
    <definedName name="futamidovége">'Refinanszírozási kérelem'!$AQ$99</definedName>
    <definedName name="futamkezdet">'Refinanszírozási kérelem'!$AA$97</definedName>
    <definedName name="gazform">'Refinanszírozás célja'!$X$28</definedName>
    <definedName name="gazformnyil">'Támogatási Nyilatkozatok_all'!$X$28</definedName>
    <definedName name="h_csk_huf">'Támogatás intenzitás'!$D$16</definedName>
    <definedName name="havi_torlesztes">'Cashflow, Támogatástartalom'!$C$13</definedName>
    <definedName name="hazszam">'Refinanszírozás célja'!$AS$22</definedName>
    <definedName name="hcs_0">'Támogatás intenzitás'!$M$32</definedName>
    <definedName name="hcs_1">'Támogatás intenzitás'!$M$38</definedName>
    <definedName name="hcs_2">'Támogatás intenzitás'!$M$41</definedName>
    <definedName name="hcs_3">'Támogatás intenzitás'!$M$44</definedName>
    <definedName name="hcs_k">'Támogatás intenzitás'!$D$15</definedName>
    <definedName name="hcs_ossz">'Támogatás intenzitás'!$M$46</definedName>
    <definedName name="hcs0">'Támogatás intenzitás'!$M$32</definedName>
    <definedName name="helysegnyil">'Támogatási Nyilatkozatok_all'!$U$18</definedName>
    <definedName name="HetelTipusa">'Refinanszírozási kérelem'!$Y$60</definedName>
    <definedName name="hitel">'Refinanszírozási kérelem'!$DS$156:$DS$159</definedName>
    <definedName name="hitelek">'Refinanszírozási kérelem'!$DS$156:$DT$159</definedName>
    <definedName name="Hitelmin_kateg_spec">'Cashflow, Támogatástartalom'!$B$14</definedName>
    <definedName name="Hitelprog_Rovid">'Refinanszírozási kérelem'!$B$3</definedName>
    <definedName name="HitelprogHosszu">'Refinanszírozási kérelem'!$N$5</definedName>
    <definedName name="hitkamat">'Refinanszírozási kérelem'!$AR$78</definedName>
    <definedName name="honap_periodus">'Cashflow, Támogatástartalom'!$C$5</definedName>
    <definedName name="honap_periodus_kamat">'Cashflow, Támogatástartalom'!$C$7</definedName>
    <definedName name="honapokszama">'Refinanszírozási kérelem'!$N$99</definedName>
    <definedName name="honapokszama_korr">'Törlesztési ütemterv'!$D$25</definedName>
    <definedName name="Honapokszama_megj">'Refinanszírozási kérelem'!$D$99</definedName>
    <definedName name="hovege">'Cashflow, Támogatástartalom'!$B$40</definedName>
    <definedName name="HoVeTo">'Törlesztési ütemterv'!$S$9</definedName>
    <definedName name="HUFösszeg">'Refinanszírozási kérelem'!#REF!</definedName>
    <definedName name="i">[1]TT_kkv_varia!$C$23</definedName>
    <definedName name="i_eu" localSheetId="3">'Cashflow, Támogatástartalom'!$C$18</definedName>
    <definedName name="igen_nem">'Támogatás intenzitás'!$D$60</definedName>
    <definedName name="intesdeminell">'Támogatás intenzitás'!$G$10</definedName>
    <definedName name="intézményi_kezesség">Segédtáblákk!$I$16</definedName>
    <definedName name="irszamnyil">'Támogatási Nyilatkozatok_all'!$P$18</definedName>
    <definedName name="jelleg">'Refinanszírozás célja'!$AF$22</definedName>
    <definedName name="jellegnyil">'Támogatási Nyilatkozatok_all'!$AF$21</definedName>
    <definedName name="JovahagyasNapja">'Refinanszírozási kérelem'!$AB$66</definedName>
    <definedName name="Kamatfel_spec">'Cashflow, Támogatástartalom'!$C$14</definedName>
    <definedName name="kamatfelar">'Cashflow, Támogatástartalom'!$C$15</definedName>
    <definedName name="kamatfelartip">'Refinanszírozási kérelem'!$Z$80</definedName>
    <definedName name="Kamatfiz_gyak">'Törlesztési ütemterv'!$D$18</definedName>
    <definedName name="KamatFizGyak">'Refinanszírozási kérelem'!#REF!</definedName>
    <definedName name="Kamatfizgyakorisag">'Refinanszírozási kérelem'!$AP$88</definedName>
    <definedName name="kamathavi">'Refinanszírozási kérelem'!#REF!</definedName>
    <definedName name="kamatozastipusa">'Refinanszírozási kérelem'!$Z$74</definedName>
    <definedName name="kamatperhossz">'Refinanszírozási kérelem'!#REF!</definedName>
    <definedName name="KamatPerPotty">'Refinanszírozási kérelem'!#REF!</definedName>
    <definedName name="kapcsemailnyil">'Támogatási Nyilatkozatok_all'!$AO$31</definedName>
    <definedName name="kapcsnyil">'Támogatási Nyilatkozatok_all'!$C$31</definedName>
    <definedName name="kapcstelnyil">'Támogatási Nyilatkozatok_all'!$X$31</definedName>
    <definedName name="kateg1">'Támogatás intenzitás'!$D$21</definedName>
    <definedName name="kateg2">'Támogatás intenzitás'!$D$25</definedName>
    <definedName name="kateg3">'Támogatás intenzitás'!$D$29</definedName>
    <definedName name="KBTössz">'Támogatás intenzitás'!$I$46</definedName>
    <definedName name="keltezes">'Refinanszírozási kérelem'!$E$247</definedName>
    <definedName name="kerekitesiElteres1">'Cashflow, Támogatástartalom'!$C$30</definedName>
    <definedName name="kerekitesiElteres2">'Cashflow, Támogatástartalom'!$C$31</definedName>
    <definedName name="KKV">Segédtáblákk!$I$20:$I$22</definedName>
    <definedName name="KKVnyil">'Támogatási Nyilatkozatok_all'!$C$28</definedName>
    <definedName name="kozep_moi_regio">Segédtáblákk!$B$3:$B$89</definedName>
    <definedName name="kozternevenyil">'Támogatási Nyilatkozatok_all'!$D$21</definedName>
    <definedName name="koztneve">'Refinanszírozás célja'!$D$22</definedName>
    <definedName name="lehetaltdemin">'Refinanszírozás célja'!$AH$79</definedName>
    <definedName name="lehethaldemin">'Refinanszírozás célja'!$AH$87</definedName>
    <definedName name="lehethif">'Refinanszírozás célja'!$AH$82</definedName>
    <definedName name="lehetkkvber">'Refinanszírozás célja'!$AH$83</definedName>
    <definedName name="lehetmegujulo">'Refinanszírozás célja'!$AH$81</definedName>
    <definedName name="lehetmgdemin">'Refinanszírozás célja'!$AH$84</definedName>
    <definedName name="lehetmgfeldolg">'Refinanszírozás célja'!$AH$85</definedName>
    <definedName name="lehetmgterm">'Refinanszírozás célja'!$AH$86</definedName>
    <definedName name="lehetregber">'Refinanszírozás célja'!$AH$80</definedName>
    <definedName name="letszam">'Refinanszírozás célja'!$C$37</definedName>
    <definedName name="letszamno">'Refinanszírozás célja'!$X$37</definedName>
    <definedName name="LezartEve">'Támogatás intenzitás'!#REF!</definedName>
    <definedName name="lrp">'Refinanszírozás célja'!$BP$50</definedName>
    <definedName name="lrpn">'Refinanszírozás célja'!$BP$51</definedName>
    <definedName name="lrpnű">'Refinanszírozás célja'!$BP$51</definedName>
    <definedName name="m_csk_huf">'Támogatás intenzitás'!$D$14</definedName>
    <definedName name="mak">Segédtáblákk!$F:$F</definedName>
    <definedName name="masodiktorl">'Refinanszírozási kérelem'!#REF!</definedName>
    <definedName name="maxtamosszregber">'Támogatás intenzitás'!$K$8</definedName>
    <definedName name="mcs_1">'Támogatás intenzitás'!$H$38</definedName>
    <definedName name="mcs_2">'Támogatás intenzitás'!$H$41</definedName>
    <definedName name="mcs_3">'Támogatás intenzitás'!$H$44</definedName>
    <definedName name="mcs_k">'Támogatás intenzitás'!$D$13</definedName>
    <definedName name="mcs_ossz">'Támogatás intenzitás'!$H$46</definedName>
    <definedName name="mcs0">'Támogatás intenzitás'!$H$32</definedName>
    <definedName name="megeneössz">'Támogatás intenzitás'!$O$46</definedName>
    <definedName name="menno">'Refinanszírozás célja'!$X$40</definedName>
    <definedName name="MGEössz">'Támogatás intenzitás'!$L$46</definedName>
    <definedName name="MGFössz">'Támogatás intenzitás'!$J$46</definedName>
    <definedName name="MinKat">'Refinanszírozási kérelem'!$S$295</definedName>
    <definedName name="MNB_arf_Ha_EUR">'Refinanszírozási kérelem'!#REF!</definedName>
    <definedName name="MNBarf">'Refinanszírozási kérelem'!$AO$306</definedName>
    <definedName name="MNBarf_megj">'Refinanszírozási kérelem'!$D$306</definedName>
    <definedName name="n_max" localSheetId="3">'Cashflow, Támogatástartalom'!$C$8</definedName>
    <definedName name="Negyedeves_Hiba">'Cashflow, Támogatástartalom'!$B$12</definedName>
    <definedName name="nettopenzigeny">'Refinanszírozási kérelem'!$AY$167</definedName>
    <definedName name="NyilvantartasiSzama">'Refinanszírozási kérelem'!$Z$62</definedName>
    <definedName name="_xlnm.Print_Area" localSheetId="10">Nyilatkozatok!$A$1:$DW$281</definedName>
    <definedName name="_xlnm.Print_Area" localSheetId="13">'Patika Hitelprogram - Kérelem'!$A$1:$BG$63</definedName>
    <definedName name="_xlnm.Print_Area" localSheetId="2">'Refinanszírozási kérelem'!$B$1:$BO$337</definedName>
    <definedName name="_xlnm.Print_Area" localSheetId="9">'Támogatás tartalom összesítés '!$A$1:$N$30</definedName>
    <definedName name="_xlnm.Print_Area" localSheetId="12">'Támogatási Nyilatkozatok_all'!$A$1:$BH$937</definedName>
    <definedName name="_xlnm.Print_Area" localSheetId="4">'Törlesztési ütemterv'!$A$1:$L$231</definedName>
    <definedName name="orszagnyil">'Támogatási Nyilatkozatok_all'!$P$16</definedName>
    <definedName name="penzint">'Refinanszírozási kérelem'!$V$324</definedName>
    <definedName name="Periodus">'Refinanszírozási kérelem'!#REF!</definedName>
    <definedName name="Periodus_hossz">'Cashflow, Támogatástartalom'!$A$20</definedName>
    <definedName name="Periodus_hossza">'Cashflow, Támogatástartalom'!$C$20</definedName>
    <definedName name="Periodus_megj">'Refinanszírozási kérelem'!#REF!</definedName>
    <definedName name="periodus_toke">'Refinanszírozási kérelem'!#REF!</definedName>
    <definedName name="postafioknyil">'Támogatási Nyilatkozatok_all'!$BA$18</definedName>
    <definedName name="Programneve">'Refinanszírozás célja'!$U$47</definedName>
    <definedName name="pvnév">'Refinanszírozási kérelem'!$AK$253</definedName>
    <definedName name="PVRKII">'Refinanszírozási kérelem'!$BU$10</definedName>
    <definedName name="Q" localSheetId="3">'Cashflow, Támogatástartalom'!$C$3</definedName>
    <definedName name="Q_2">'Támogatás intenzitás'!$D$32</definedName>
    <definedName name="r_eu" localSheetId="3">'Cashflow, Támogatástartalom'!$C$17</definedName>
    <definedName name="r_k" localSheetId="3">'Cashflow, Támogatástartalom'!$C$19</definedName>
    <definedName name="r_ref" localSheetId="3">'Cashflow, Támogatástartalom'!$C$16</definedName>
    <definedName name="RangeRegio">Segédtáblákk!$I$27:$K$55</definedName>
    <definedName name="REBössz">'Támogatás intenzitás'!$K$46</definedName>
    <definedName name="rebtamint">'Támogatás intenzitás'!$K$10</definedName>
    <definedName name="RefinKolcsonOsszege">'Refinanszírozási kérelem'!$Z$72</definedName>
    <definedName name="RefinKolcsonOsszege_megj">'Refinanszírozási kérelem'!$D$72</definedName>
    <definedName name="refkamatFelar">'Refinanszírozási kérelem'!$S$301</definedName>
    <definedName name="RefRata">'Refinanszírozási kérelem'!$K$304</definedName>
    <definedName name="regber">Segédtáblákk!$D:$D</definedName>
    <definedName name="regio">Segédtáblákk!$I$28:$I$34</definedName>
    <definedName name="rendtarthó">'Refinanszírozási kérelem'!$N$90</definedName>
    <definedName name="RendtartKezdete">'Refinanszírozási kérelem'!$AA$90</definedName>
    <definedName name="RendtartVege">'Refinanszírozási kérelem'!$AP$90</definedName>
    <definedName name="rt">'Refinanszírozási kérelem'!$D$90</definedName>
    <definedName name="sajatero">'Refinanszírozási kérelem'!$AO$192</definedName>
    <definedName name="szülidonyil">'Támogatási Nyilatkozatok_all'!$AR$13</definedName>
    <definedName name="szülnyil">'Támogatási Nyilatkozatok_all'!$X$13</definedName>
    <definedName name="tam_tip">Segédtáblákk!$I$15:$I$17</definedName>
    <definedName name="TamInt">'Támogatás intenzitás'!$D$36</definedName>
    <definedName name="tammentessajatero">'Refinanszírozási kérelem'!$AO$196</definedName>
    <definedName name="Tamogatasi_kategoria">'Támogatás intenzitás'!$D$39</definedName>
    <definedName name="TamOsszeg1">'Támogatás intenzitás'!$D$18</definedName>
    <definedName name="TamOsszeg2">'Támogatás intenzitás'!$D$22</definedName>
    <definedName name="TamOsszeg3">'Támogatás intenzitás'!$D$26</definedName>
    <definedName name="tnyilkellaltdemin">'Refinanszírozás célja'!$BR$79</definedName>
    <definedName name="toke6_korr">'Cashflow, Támogatástartalom'!$C$11</definedName>
    <definedName name="tokeallomany_minusz">'Törlesztési ütemterv'!$D$37:$E$233</definedName>
    <definedName name="TokeFizGyak">'Refinanszírozási kérelem'!#REF!</definedName>
    <definedName name="TokeFizGyak_megj">'Refinanszírozási kérelem'!#REF!</definedName>
    <definedName name="tokehavi">'Refinanszírozási kérelem'!#REF!</definedName>
    <definedName name="Torl2">'Cashflow, Támogatástartalom'!$C$6</definedName>
    <definedName name="Torleszt_reszl_Szama" localSheetId="3">'Cashflow, Támogatástartalom'!$C$12</definedName>
    <definedName name="torlesztesek">'Törlesztési ütemterv'!$D$36:$E$233</definedName>
    <definedName name="Torlesztesek_kerekitve">'Cashflow, Támogatástartalom'!$C$29</definedName>
    <definedName name="TorlKezdoDatum">'Refinanszírozási kérelem'!#REF!</definedName>
    <definedName name="TorlSzam">'Cashflow, Támogatástartalom'!$C$12</definedName>
    <definedName name="TorlTervElsoTorl">'Törlesztési ütemterv'!$C$10</definedName>
    <definedName name="TT_ap">'Cashflow, Támogatástartalom'!$C$24</definedName>
    <definedName name="TT_EUR">'Támogatás intenzitás'!$D$34</definedName>
    <definedName name="TT_Euro">'Cashflow, Támogatástartalom'!$C$27</definedName>
    <definedName name="TT_HUF" localSheetId="3">'Cashflow, Támogatástartalom'!$C$25</definedName>
    <definedName name="TT_HUF">'Támogatás intenzitás'!$D$33</definedName>
    <definedName name="TT_kategoria">'Refinanszírozási kérelem'!$N$104</definedName>
    <definedName name="TT_kategoria_megj">'Refinanszírozási kérelem'!$D$104</definedName>
    <definedName name="TT_TokeHiba">'Cashflow, Támogatástartalom'!$C$2</definedName>
    <definedName name="TTEUR">'Refinanszírozási kérelem'!$FZ$172</definedName>
    <definedName name="TTHelyiInfra">'Refinanszírozási kérelem'!$Z$181</definedName>
    <definedName name="ttnyilkellhal">'Refinanszírozás célja'!$BR$87</definedName>
    <definedName name="ttnyilkellhif">'Refinanszírozás célja'!$BR$82</definedName>
    <definedName name="ttnyilkellkkv">'Refinanszírozás célja'!$BR$83</definedName>
    <definedName name="ttnyilkellmegújuló">'Refinanszírozás célja'!$BR$81</definedName>
    <definedName name="ttnyilkellmgdemin">'Refinanszírozás célja'!$BR$84</definedName>
    <definedName name="ttnyilkellmgforg">'Refinanszírozás célja'!$BR$85</definedName>
    <definedName name="ttnyilkellmgterm">'Refinanszírozás célja'!$BR$86</definedName>
    <definedName name="ttnyilkellregber">'Refinanszírozás célja'!$BR$80</definedName>
    <definedName name="tulno">'Refinanszírozás célja'!$C$40</definedName>
    <definedName name="Turelmi" localSheetId="3">'Cashflow, Támogatástartalom'!$C$9</definedName>
    <definedName name="turelmiido">'Törlesztési ütemterv'!$D$24</definedName>
    <definedName name="turelmiido_megj">'Refinanszírozási kérelem'!$D$102</definedName>
    <definedName name="türelmiidövége">'Refinanszírozási kérelem'!$AQ$102</definedName>
    <definedName name="u_1">'Támogatás intenzitás'!$G$33</definedName>
    <definedName name="U_2">'Támogatás intenzitás'!$H$33</definedName>
    <definedName name="u_3">'Támogatás intenzitás'!$I$33</definedName>
    <definedName name="u_4">'Támogatás intenzitás'!$J$33</definedName>
    <definedName name="u_5">'Támogatás intenzitás'!$K$33</definedName>
    <definedName name="u_6">'Támogatás intenzitás'!$L$33</definedName>
    <definedName name="u_7">'Támogatás intenzitás'!$M$33</definedName>
    <definedName name="U_8">'Támogatás intenzitás'!$N$33</definedName>
    <definedName name="U_9">'Támogatás intenzitás'!$O$33</definedName>
    <definedName name="Ugyfel">'Refinanszírozási kérelem'!$C$28</definedName>
    <definedName name="Ugyfelnyil">'Támogatási Nyilatkozatok_all'!$C$10</definedName>
    <definedName name="ujmunkahely">'Refinanszírozás célja'!$C$43</definedName>
    <definedName name="utem">'Refinanszírozási kérelem'!$AD$88</definedName>
    <definedName name="Utolso_torl_honap">'Cashflow, Támogatástartalom'!$B$41</definedName>
    <definedName name="UtolsoFennalloToketart">'Cashflow, Támogatástartalom'!$J$217</definedName>
    <definedName name="UtolsoFennalloToketartozas">'Törlesztési ütemterv'!#REF!</definedName>
    <definedName name="utolsoidőpont">'Refinanszírozási kérelem'!#REF!</definedName>
    <definedName name="utolsoidőpont2">'Refinanszírozási kérelem'!#REF!</definedName>
    <definedName name="utolsotorlesztes">'Refinanszírozási kérelem'!#REF!</definedName>
    <definedName name="UtolsoTorleszto">'Cashflow, Támogatástartalom'!$C$4</definedName>
    <definedName name="ügyfnév">'Refinanszírozási kérelem'!$R$253</definedName>
    <definedName name="validacio">'Refinanszírozási kérelem'!#REF!</definedName>
    <definedName name="vállemailnyil">'Támogatási Nyilatkozatok_all'!$C$34</definedName>
    <definedName name="válltelnyil">'Támogatási Nyilatkozatok_all'!$X$34</definedName>
    <definedName name="xRegio">'Támogatás intenzitás'!$D$41</definedName>
    <definedName name="zRegio">'Támogatás intenzitás'!$D$42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165" i="4" l="1"/>
  <c r="D164" i="4" s="1"/>
  <c r="AY142" i="4" l="1"/>
  <c r="Z170" i="4" l="1"/>
  <c r="B42" i="1"/>
  <c r="C42" i="1"/>
  <c r="CB255" i="4" l="1"/>
  <c r="CB254" i="4"/>
  <c r="CB253" i="4"/>
  <c r="CB252" i="4"/>
  <c r="CB251" i="4"/>
  <c r="CB250" i="4"/>
  <c r="CB249" i="4"/>
  <c r="CB248" i="4"/>
  <c r="CB247" i="4"/>
  <c r="CB246" i="4"/>
  <c r="CB245" i="4"/>
  <c r="CB244" i="4"/>
  <c r="CB243" i="4"/>
  <c r="CB242" i="4"/>
  <c r="CB241" i="4"/>
  <c r="CB240" i="4"/>
  <c r="CB239" i="4"/>
  <c r="BZ231" i="4" s="1"/>
  <c r="CB238" i="4"/>
  <c r="CB237" i="4"/>
  <c r="CB236" i="4"/>
  <c r="CB235" i="4"/>
  <c r="CB234" i="4"/>
  <c r="CB233" i="4"/>
  <c r="CB232" i="4"/>
  <c r="CB231" i="4"/>
  <c r="CB230" i="4"/>
  <c r="CB229" i="4"/>
  <c r="CB228" i="4"/>
  <c r="CB227" i="4"/>
  <c r="CB226" i="4"/>
  <c r="CB225" i="4"/>
  <c r="CB224" i="4"/>
  <c r="CB223" i="4"/>
  <c r="BZ223" i="4" s="1"/>
  <c r="CD222" i="4"/>
  <c r="BZ224" i="4" l="1"/>
  <c r="BZ225" i="4"/>
  <c r="BZ226" i="4"/>
  <c r="BZ230" i="4"/>
  <c r="BZ228" i="4"/>
  <c r="BZ229" i="4"/>
  <c r="BZ227" i="4"/>
  <c r="AN101" i="4"/>
  <c r="CX175" i="21" l="1"/>
  <c r="CX176" i="21"/>
  <c r="CX177" i="21"/>
  <c r="CK176" i="21"/>
  <c r="CK175" i="21"/>
  <c r="Y76" i="4" l="1"/>
  <c r="CA119" i="4" l="1"/>
  <c r="CR67" i="4"/>
  <c r="E45" i="5" l="1"/>
  <c r="D45" i="5"/>
  <c r="C45" i="5"/>
  <c r="E44" i="5"/>
  <c r="D44" i="5"/>
  <c r="C44" i="5"/>
  <c r="CK94" i="21" l="1"/>
  <c r="E222" i="17" l="1"/>
  <c r="B48" i="5"/>
  <c r="B44" i="5"/>
  <c r="B45" i="5" s="1"/>
  <c r="B46" i="5" l="1"/>
  <c r="E46" i="5" l="1"/>
  <c r="D46" i="5"/>
  <c r="C46" i="5"/>
  <c r="C47" i="5" s="1"/>
  <c r="CB87" i="4"/>
  <c r="CB88" i="4" s="1"/>
  <c r="Z70" i="4"/>
  <c r="CD76" i="4" s="1"/>
  <c r="B47" i="5" l="1"/>
  <c r="B49" i="5" s="1"/>
  <c r="B50" i="5" s="1"/>
  <c r="I88" i="25"/>
  <c r="X33" i="25"/>
  <c r="C33" i="25"/>
  <c r="AO30" i="25"/>
  <c r="X30" i="25"/>
  <c r="C30" i="25"/>
  <c r="X27" i="25"/>
  <c r="C27" i="25"/>
  <c r="AO24" i="25"/>
  <c r="X24" i="25"/>
  <c r="C24" i="25"/>
  <c r="AT21" i="25"/>
  <c r="AR13" i="25"/>
  <c r="X13" i="25"/>
  <c r="C13" i="25"/>
  <c r="H36" i="17"/>
  <c r="U47" i="19" l="1"/>
  <c r="BP53" i="19" l="1"/>
  <c r="BP52" i="19"/>
  <c r="AT21" i="21"/>
  <c r="C15" i="1"/>
  <c r="AM63" i="16"/>
  <c r="AI63" i="16"/>
  <c r="R63" i="16"/>
  <c r="C42" i="22" l="1"/>
  <c r="X39" i="22"/>
  <c r="C39" i="22"/>
  <c r="X36" i="22"/>
  <c r="C36" i="22"/>
  <c r="AQ72" i="4" l="1"/>
  <c r="AQ76" i="4" s="1"/>
  <c r="AQ69" i="4"/>
  <c r="AX34" i="4" l="1"/>
  <c r="H2" i="5" l="1"/>
  <c r="B40" i="5" s="1"/>
  <c r="C887" i="23"/>
  <c r="C888" i="23"/>
  <c r="C889" i="23"/>
  <c r="C890" i="23"/>
  <c r="C891" i="23"/>
  <c r="C892" i="23"/>
  <c r="C893" i="23"/>
  <c r="C894" i="23"/>
  <c r="C895" i="23"/>
  <c r="C896" i="23"/>
  <c r="C897" i="23"/>
  <c r="C898" i="23"/>
  <c r="C899" i="23"/>
  <c r="C900" i="23"/>
  <c r="C901" i="23"/>
  <c r="C886" i="23"/>
  <c r="C884" i="23"/>
  <c r="H912" i="23"/>
  <c r="C795" i="23"/>
  <c r="C796" i="23"/>
  <c r="C797" i="23"/>
  <c r="C798" i="23"/>
  <c r="C799" i="23"/>
  <c r="C800" i="23"/>
  <c r="C801" i="23"/>
  <c r="C802" i="23"/>
  <c r="C803" i="23"/>
  <c r="C804" i="23"/>
  <c r="C805" i="23"/>
  <c r="C806" i="23"/>
  <c r="C807" i="23"/>
  <c r="C794" i="23"/>
  <c r="C792" i="23"/>
  <c r="H820" i="23"/>
  <c r="C685" i="23"/>
  <c r="C686" i="23"/>
  <c r="C687" i="23"/>
  <c r="C688" i="23"/>
  <c r="C689" i="23"/>
  <c r="C690" i="23"/>
  <c r="C691" i="23"/>
  <c r="C692" i="23"/>
  <c r="C693" i="23"/>
  <c r="C694" i="23"/>
  <c r="C695" i="23"/>
  <c r="C696" i="23"/>
  <c r="C697" i="23"/>
  <c r="C684" i="23"/>
  <c r="C682" i="23"/>
  <c r="H728" i="23"/>
  <c r="C603" i="23"/>
  <c r="C595" i="23"/>
  <c r="C596" i="23"/>
  <c r="C597" i="23"/>
  <c r="C598" i="23"/>
  <c r="C599" i="23"/>
  <c r="C600" i="23"/>
  <c r="C601" i="23"/>
  <c r="C602" i="23"/>
  <c r="C604" i="23"/>
  <c r="C605" i="23"/>
  <c r="C606" i="23"/>
  <c r="C607" i="23"/>
  <c r="C608" i="23"/>
  <c r="C609" i="23"/>
  <c r="C610" i="23"/>
  <c r="C611" i="23"/>
  <c r="C612" i="23"/>
  <c r="C613" i="23"/>
  <c r="C614" i="23"/>
  <c r="C575" i="23"/>
  <c r="C576" i="23"/>
  <c r="C577" i="23"/>
  <c r="C578" i="23"/>
  <c r="C579" i="23"/>
  <c r="C580" i="23"/>
  <c r="C581" i="23"/>
  <c r="C582" i="23"/>
  <c r="C583" i="23"/>
  <c r="C584" i="23"/>
  <c r="C585" i="23"/>
  <c r="C586" i="23"/>
  <c r="C587" i="23"/>
  <c r="C588" i="23"/>
  <c r="C589" i="23"/>
  <c r="C590" i="23"/>
  <c r="C591" i="23"/>
  <c r="C592" i="23"/>
  <c r="C593" i="23"/>
  <c r="C594" i="23"/>
  <c r="C574" i="23"/>
  <c r="C572" i="23"/>
  <c r="H618" i="23"/>
  <c r="C493" i="23"/>
  <c r="C494" i="23"/>
  <c r="C495" i="23"/>
  <c r="C492" i="23"/>
  <c r="C490" i="23"/>
  <c r="H508" i="23"/>
  <c r="C400" i="23"/>
  <c r="C401" i="23"/>
  <c r="C402" i="23"/>
  <c r="C403" i="23"/>
  <c r="C404" i="23"/>
  <c r="C405" i="23"/>
  <c r="C406" i="23"/>
  <c r="C407" i="23"/>
  <c r="C408" i="23"/>
  <c r="C409" i="23"/>
  <c r="C410" i="23"/>
  <c r="C411" i="23"/>
  <c r="C412" i="23"/>
  <c r="C413" i="23"/>
  <c r="C414" i="23"/>
  <c r="C399" i="23"/>
  <c r="C397" i="23"/>
  <c r="H426" i="23"/>
  <c r="C307" i="23"/>
  <c r="C308" i="23"/>
  <c r="C309" i="23"/>
  <c r="C310" i="23"/>
  <c r="C311" i="23"/>
  <c r="C312" i="23"/>
  <c r="C313" i="23"/>
  <c r="C314" i="23"/>
  <c r="C315" i="23"/>
  <c r="C316" i="23"/>
  <c r="C317" i="23"/>
  <c r="C318" i="23"/>
  <c r="C319" i="23"/>
  <c r="C320" i="23"/>
  <c r="C306" i="23"/>
  <c r="C304" i="23"/>
  <c r="H333" i="23"/>
  <c r="C214" i="23"/>
  <c r="C215" i="23"/>
  <c r="C216" i="23"/>
  <c r="C217" i="23"/>
  <c r="C218" i="23"/>
  <c r="C219" i="23"/>
  <c r="C220" i="23"/>
  <c r="C221" i="23"/>
  <c r="C222" i="23"/>
  <c r="C223" i="23"/>
  <c r="C224" i="23"/>
  <c r="C225" i="23"/>
  <c r="C226" i="23"/>
  <c r="C227" i="23"/>
  <c r="C228" i="23"/>
  <c r="C229" i="23"/>
  <c r="C213" i="23"/>
  <c r="C211" i="23"/>
  <c r="H240" i="23"/>
  <c r="C140" i="23"/>
  <c r="C141" i="23"/>
  <c r="C142" i="23"/>
  <c r="C121" i="23"/>
  <c r="C122" i="23"/>
  <c r="C123" i="23"/>
  <c r="C124" i="23"/>
  <c r="C125" i="23"/>
  <c r="C126" i="23"/>
  <c r="C127" i="23"/>
  <c r="C128" i="23"/>
  <c r="C129" i="23"/>
  <c r="C130" i="23"/>
  <c r="C131" i="23"/>
  <c r="C132" i="23"/>
  <c r="C133" i="23"/>
  <c r="C134" i="23"/>
  <c r="C135" i="23"/>
  <c r="C136" i="23"/>
  <c r="C137" i="23"/>
  <c r="C138" i="23"/>
  <c r="C139" i="23"/>
  <c r="C120" i="23"/>
  <c r="C118" i="23"/>
  <c r="H147" i="23"/>
  <c r="AO134" i="4"/>
  <c r="Q5" i="24"/>
  <c r="H27" i="24"/>
  <c r="AR15" i="24"/>
  <c r="X15" i="24"/>
  <c r="C15" i="24"/>
  <c r="AX21" i="23" l="1"/>
  <c r="AX865" i="23" s="1"/>
  <c r="AX21" i="22"/>
  <c r="AF21" i="22"/>
  <c r="D21" i="22"/>
  <c r="C28" i="4"/>
  <c r="O72" i="16" l="1"/>
  <c r="C10" i="25"/>
  <c r="AP91" i="25" s="1"/>
  <c r="AX553" i="23"/>
  <c r="AX663" i="23"/>
  <c r="AX773" i="23"/>
  <c r="AX99" i="23"/>
  <c r="AX471" i="23"/>
  <c r="AX378" i="23"/>
  <c r="AX285" i="23"/>
  <c r="AX192" i="23"/>
  <c r="AR107" i="4"/>
  <c r="H54" i="23" l="1"/>
  <c r="H108" i="22"/>
  <c r="H244" i="21"/>
  <c r="C43" i="23"/>
  <c r="C44" i="23"/>
  <c r="C45" i="23"/>
  <c r="C46" i="23"/>
  <c r="C47" i="23"/>
  <c r="C48" i="23"/>
  <c r="C49" i="23"/>
  <c r="C42" i="23"/>
  <c r="C40" i="23"/>
  <c r="P16" i="23" l="1"/>
  <c r="P860" i="23" s="1"/>
  <c r="C110" i="21"/>
  <c r="AU111" i="21" s="1"/>
  <c r="X110" i="21"/>
  <c r="BI113" i="21" s="1"/>
  <c r="P548" i="23" l="1"/>
  <c r="P768" i="23"/>
  <c r="P658" i="23"/>
  <c r="P280" i="23"/>
  <c r="P187" i="23"/>
  <c r="P94" i="23"/>
  <c r="P466" i="23"/>
  <c r="P373" i="23"/>
  <c r="B316" i="4"/>
  <c r="AH50" i="19" l="1"/>
  <c r="R22" i="4" l="1"/>
  <c r="CB7" i="4" s="1"/>
  <c r="R20" i="4"/>
  <c r="BU10" i="4" s="1"/>
  <c r="BV69" i="4" s="1"/>
  <c r="X33" i="21"/>
  <c r="X34" i="23" s="1"/>
  <c r="X878" i="23" s="1"/>
  <c r="C33" i="21"/>
  <c r="AO30" i="21"/>
  <c r="X30" i="21"/>
  <c r="X27" i="21"/>
  <c r="C27" i="21"/>
  <c r="C30" i="21"/>
  <c r="AO24" i="21"/>
  <c r="X24" i="21"/>
  <c r="C24" i="21"/>
  <c r="C24" i="22" s="1"/>
  <c r="AR13" i="21"/>
  <c r="X13" i="21"/>
  <c r="C13" i="21"/>
  <c r="AF34" i="4"/>
  <c r="D34" i="4"/>
  <c r="BA31" i="4"/>
  <c r="U31" i="4"/>
  <c r="P31" i="4"/>
  <c r="P16" i="22"/>
  <c r="DK201" i="21"/>
  <c r="DK200" i="21"/>
  <c r="DK199" i="21"/>
  <c r="DK198" i="21"/>
  <c r="DK197" i="21"/>
  <c r="DK196" i="21"/>
  <c r="DK195" i="21"/>
  <c r="DK194" i="21"/>
  <c r="DK193" i="21"/>
  <c r="DK192" i="21"/>
  <c r="DK191" i="21"/>
  <c r="DK190" i="21"/>
  <c r="DK189" i="21"/>
  <c r="DK188" i="21"/>
  <c r="DK187" i="21"/>
  <c r="DK186" i="21"/>
  <c r="DK185" i="21"/>
  <c r="DK184" i="21"/>
  <c r="DK183" i="21"/>
  <c r="C908" i="23" s="1"/>
  <c r="DK182" i="21"/>
  <c r="C907" i="23" s="1"/>
  <c r="DK181" i="21"/>
  <c r="C906" i="23" s="1"/>
  <c r="DK180" i="21"/>
  <c r="C905" i="23" s="1"/>
  <c r="DK179" i="21"/>
  <c r="C904" i="23" s="1"/>
  <c r="DK178" i="21"/>
  <c r="C903" i="23" s="1"/>
  <c r="DK177" i="21"/>
  <c r="C902" i="23" s="1"/>
  <c r="DK157" i="21"/>
  <c r="DK156" i="21"/>
  <c r="DK155" i="21"/>
  <c r="DK154" i="21"/>
  <c r="DK153" i="21"/>
  <c r="DK152" i="21"/>
  <c r="DK151" i="21"/>
  <c r="DK150" i="21"/>
  <c r="DK149" i="21"/>
  <c r="DK148" i="21"/>
  <c r="DK147" i="21"/>
  <c r="DK146" i="21"/>
  <c r="DK145" i="21"/>
  <c r="DK144" i="21"/>
  <c r="DK143" i="21"/>
  <c r="DK142" i="21"/>
  <c r="DK141" i="21"/>
  <c r="DK140" i="21"/>
  <c r="DK139" i="21"/>
  <c r="DK138" i="21"/>
  <c r="DK137" i="21"/>
  <c r="C422" i="23" s="1"/>
  <c r="DK136" i="21"/>
  <c r="C421" i="23" s="1"/>
  <c r="DK135" i="21"/>
  <c r="C420" i="23" s="1"/>
  <c r="DK134" i="21"/>
  <c r="C419" i="23" s="1"/>
  <c r="DK133" i="21"/>
  <c r="C418" i="23" s="1"/>
  <c r="DK132" i="21"/>
  <c r="C417" i="23" s="1"/>
  <c r="DK131" i="21"/>
  <c r="C416" i="23" s="1"/>
  <c r="DK130" i="21"/>
  <c r="C415" i="23" s="1"/>
  <c r="CX157" i="21"/>
  <c r="CX156" i="21"/>
  <c r="CX155" i="21"/>
  <c r="CX154" i="21"/>
  <c r="CX153" i="21"/>
  <c r="CX152" i="21"/>
  <c r="CX151" i="21"/>
  <c r="CX150" i="21"/>
  <c r="CX149" i="21"/>
  <c r="CX148" i="21"/>
  <c r="CX147" i="21"/>
  <c r="CX146" i="21"/>
  <c r="CX145" i="21"/>
  <c r="CX144" i="21"/>
  <c r="CX143" i="21"/>
  <c r="CX142" i="21"/>
  <c r="CX141" i="21"/>
  <c r="CX140" i="21"/>
  <c r="CX139" i="21"/>
  <c r="CX138" i="21"/>
  <c r="CX137" i="21"/>
  <c r="C329" i="23" s="1"/>
  <c r="CX136" i="21"/>
  <c r="C328" i="23" s="1"/>
  <c r="CX135" i="21"/>
  <c r="C327" i="23" s="1"/>
  <c r="CX134" i="21"/>
  <c r="C326" i="23" s="1"/>
  <c r="CX133" i="21"/>
  <c r="C325" i="23" s="1"/>
  <c r="CX132" i="21"/>
  <c r="C324" i="23" s="1"/>
  <c r="CX131" i="21"/>
  <c r="C323" i="23" s="1"/>
  <c r="CX130" i="21"/>
  <c r="C322" i="23" s="1"/>
  <c r="CX129" i="21"/>
  <c r="C321" i="23" s="1"/>
  <c r="CX201" i="21"/>
  <c r="CX200" i="21"/>
  <c r="CX199" i="21"/>
  <c r="CX198" i="21"/>
  <c r="CX197" i="21"/>
  <c r="CX196" i="21"/>
  <c r="CX195" i="21"/>
  <c r="CX194" i="21"/>
  <c r="CX193" i="21"/>
  <c r="CX192" i="21"/>
  <c r="CX191" i="21"/>
  <c r="CX190" i="21"/>
  <c r="CX189" i="21"/>
  <c r="CX188" i="21"/>
  <c r="CX187" i="21"/>
  <c r="CX186" i="21"/>
  <c r="CX185" i="21"/>
  <c r="CX184" i="21"/>
  <c r="CX183" i="21"/>
  <c r="C816" i="23" s="1"/>
  <c r="CX182" i="21"/>
  <c r="C815" i="23" s="1"/>
  <c r="CX181" i="21"/>
  <c r="C814" i="23" s="1"/>
  <c r="CX180" i="21"/>
  <c r="C813" i="23" s="1"/>
  <c r="CX179" i="21"/>
  <c r="C812" i="23" s="1"/>
  <c r="CX178" i="21"/>
  <c r="C811" i="23" s="1"/>
  <c r="C810" i="23"/>
  <c r="C809" i="23"/>
  <c r="C808" i="23"/>
  <c r="CK201" i="21"/>
  <c r="C724" i="23" s="1"/>
  <c r="CK200" i="21"/>
  <c r="C723" i="23" s="1"/>
  <c r="CK199" i="21"/>
  <c r="C722" i="23" s="1"/>
  <c r="CK198" i="21"/>
  <c r="C721" i="23" s="1"/>
  <c r="CK197" i="21"/>
  <c r="C720" i="23" s="1"/>
  <c r="CK196" i="21"/>
  <c r="C719" i="23" s="1"/>
  <c r="CK195" i="21"/>
  <c r="C718" i="23" s="1"/>
  <c r="CK194" i="21"/>
  <c r="C717" i="23" s="1"/>
  <c r="CK193" i="21"/>
  <c r="C716" i="23" s="1"/>
  <c r="CK192" i="21"/>
  <c r="C715" i="23" s="1"/>
  <c r="CK191" i="21"/>
  <c r="C714" i="23" s="1"/>
  <c r="CK190" i="21"/>
  <c r="C713" i="23" s="1"/>
  <c r="CK189" i="21"/>
  <c r="C712" i="23" s="1"/>
  <c r="CK188" i="21"/>
  <c r="C711" i="23" s="1"/>
  <c r="CK187" i="21"/>
  <c r="C710" i="23" s="1"/>
  <c r="CK186" i="21"/>
  <c r="C709" i="23" s="1"/>
  <c r="CK185" i="21"/>
  <c r="C708" i="23" s="1"/>
  <c r="CK184" i="21"/>
  <c r="C707" i="23" s="1"/>
  <c r="CK183" i="21"/>
  <c r="C706" i="23" s="1"/>
  <c r="CK182" i="21"/>
  <c r="C705" i="23" s="1"/>
  <c r="CK181" i="21"/>
  <c r="C704" i="23" s="1"/>
  <c r="CK180" i="21"/>
  <c r="C703" i="23" s="1"/>
  <c r="CK179" i="21"/>
  <c r="C702" i="23" s="1"/>
  <c r="CK178" i="21"/>
  <c r="C701" i="23" s="1"/>
  <c r="CK177" i="21"/>
  <c r="C700" i="23" s="1"/>
  <c r="C699" i="23"/>
  <c r="C698" i="23"/>
  <c r="CK157" i="21"/>
  <c r="CK156" i="21"/>
  <c r="CK155" i="21"/>
  <c r="CK154" i="21"/>
  <c r="CK153" i="21"/>
  <c r="CK152" i="21"/>
  <c r="CK151" i="21"/>
  <c r="CK150" i="21"/>
  <c r="CK149" i="21"/>
  <c r="CK148" i="21"/>
  <c r="CK147" i="21"/>
  <c r="CK146" i="21"/>
  <c r="CK145" i="21"/>
  <c r="CK144" i="21"/>
  <c r="CK143" i="21"/>
  <c r="CK142" i="21"/>
  <c r="CK141" i="21"/>
  <c r="CK140" i="21"/>
  <c r="CK139" i="21"/>
  <c r="CK138" i="21"/>
  <c r="CK137" i="21"/>
  <c r="C236" i="23" s="1"/>
  <c r="CK136" i="21"/>
  <c r="C235" i="23" s="1"/>
  <c r="CK135" i="21"/>
  <c r="C234" i="23" s="1"/>
  <c r="CK134" i="21"/>
  <c r="C233" i="23" s="1"/>
  <c r="CK133" i="21"/>
  <c r="C232" i="23" s="1"/>
  <c r="CK132" i="21"/>
  <c r="C231" i="23" s="1"/>
  <c r="CK131" i="21"/>
  <c r="C230" i="23" s="1"/>
  <c r="CK107" i="21"/>
  <c r="CK106" i="21"/>
  <c r="CK105" i="21"/>
  <c r="CK104" i="21"/>
  <c r="CK103" i="21"/>
  <c r="CK102" i="21"/>
  <c r="CK101" i="21"/>
  <c r="CK100" i="21"/>
  <c r="CK99" i="21"/>
  <c r="CK98" i="21"/>
  <c r="CK97" i="21"/>
  <c r="CK96" i="21"/>
  <c r="CK95" i="21"/>
  <c r="BX157" i="21"/>
  <c r="BX156" i="21"/>
  <c r="BX155" i="21"/>
  <c r="BX154" i="21"/>
  <c r="BX153" i="21"/>
  <c r="BX152" i="21"/>
  <c r="BX151" i="21"/>
  <c r="BX150" i="21"/>
  <c r="BX149" i="21"/>
  <c r="BX148" i="21"/>
  <c r="BX147" i="21"/>
  <c r="BX146" i="21"/>
  <c r="BX145" i="21"/>
  <c r="BX144" i="21"/>
  <c r="BX143" i="21"/>
  <c r="BX142" i="21"/>
  <c r="BX141" i="21"/>
  <c r="BX140" i="21"/>
  <c r="BX139" i="21"/>
  <c r="BX138" i="21"/>
  <c r="BX137" i="21"/>
  <c r="BK201" i="21"/>
  <c r="BK200" i="21"/>
  <c r="C143" i="23" s="1"/>
  <c r="BK199" i="21"/>
  <c r="BK198" i="21"/>
  <c r="BK197" i="21"/>
  <c r="BK196" i="21"/>
  <c r="BK195" i="21"/>
  <c r="BK194" i="21"/>
  <c r="BK193" i="21"/>
  <c r="BK192" i="21"/>
  <c r="BK191" i="21"/>
  <c r="BK190" i="21"/>
  <c r="BK189" i="21"/>
  <c r="BK188" i="21"/>
  <c r="BK187" i="21"/>
  <c r="BK186" i="21"/>
  <c r="BK185" i="21"/>
  <c r="BK184" i="21"/>
  <c r="C504" i="23" s="1"/>
  <c r="BK183" i="21"/>
  <c r="C503" i="23" s="1"/>
  <c r="BK182" i="21"/>
  <c r="C502" i="23" s="1"/>
  <c r="BK181" i="21"/>
  <c r="C501" i="23" s="1"/>
  <c r="BK180" i="21"/>
  <c r="BK179" i="21"/>
  <c r="BK178" i="21"/>
  <c r="BK177" i="21"/>
  <c r="BK176" i="21"/>
  <c r="BK175" i="21"/>
  <c r="BK174" i="21"/>
  <c r="BK173" i="21"/>
  <c r="BK172" i="21"/>
  <c r="BK171" i="21"/>
  <c r="BK170" i="21"/>
  <c r="BK169" i="21"/>
  <c r="C500" i="23" s="1"/>
  <c r="BK168" i="21"/>
  <c r="C499" i="23" s="1"/>
  <c r="BK167" i="21"/>
  <c r="C498" i="23" s="1"/>
  <c r="BK166" i="21"/>
  <c r="C497" i="23" s="1"/>
  <c r="BK165" i="21"/>
  <c r="C496" i="23" s="1"/>
  <c r="BK157" i="21"/>
  <c r="BK156" i="21"/>
  <c r="BK155" i="21"/>
  <c r="BK154" i="21"/>
  <c r="BK153" i="21"/>
  <c r="BK152" i="21"/>
  <c r="BK151" i="21"/>
  <c r="BK150" i="21"/>
  <c r="BK149" i="21"/>
  <c r="BK148" i="21"/>
  <c r="BK147" i="21"/>
  <c r="BK146" i="21"/>
  <c r="BK145" i="21"/>
  <c r="BK144" i="21"/>
  <c r="BK143" i="21"/>
  <c r="BK142" i="21"/>
  <c r="BK141" i="21"/>
  <c r="BK140" i="21"/>
  <c r="BK139" i="21"/>
  <c r="BK138" i="21"/>
  <c r="BK137" i="21"/>
  <c r="BK136" i="21"/>
  <c r="BK135" i="21"/>
  <c r="BK134" i="21"/>
  <c r="BK133" i="21"/>
  <c r="BK132" i="21"/>
  <c r="BK131" i="21"/>
  <c r="BK130" i="21"/>
  <c r="BK129" i="21"/>
  <c r="BK128" i="21"/>
  <c r="BK127" i="21"/>
  <c r="BK126" i="21"/>
  <c r="BK125" i="21"/>
  <c r="BK124" i="21"/>
  <c r="BK123" i="21"/>
  <c r="BK122" i="21"/>
  <c r="C50" i="23" s="1"/>
  <c r="BU11" i="4" l="1"/>
  <c r="CB80" i="4"/>
  <c r="BA18" i="23"/>
  <c r="BA862" i="23" s="1"/>
  <c r="BA18" i="25"/>
  <c r="D21" i="23"/>
  <c r="D865" i="23" s="1"/>
  <c r="D21" i="25"/>
  <c r="P18" i="23"/>
  <c r="P862" i="23" s="1"/>
  <c r="P18" i="25"/>
  <c r="AF21" i="23"/>
  <c r="AF865" i="23" s="1"/>
  <c r="AF21" i="25"/>
  <c r="U18" i="23"/>
  <c r="U862" i="23" s="1"/>
  <c r="U18" i="25"/>
  <c r="X566" i="23"/>
  <c r="X786" i="23"/>
  <c r="X676" i="23"/>
  <c r="X298" i="23"/>
  <c r="X205" i="23"/>
  <c r="X391" i="23"/>
  <c r="X112" i="23"/>
  <c r="X484" i="23"/>
  <c r="BT173" i="4"/>
  <c r="BZ173" i="4" s="1"/>
  <c r="BT188" i="4"/>
  <c r="BT190" i="4"/>
  <c r="AR13" i="22"/>
  <c r="AR13" i="23"/>
  <c r="AR857" i="23" s="1"/>
  <c r="X24" i="22"/>
  <c r="X25" i="23"/>
  <c r="X869" i="23" s="1"/>
  <c r="X13" i="22"/>
  <c r="X13" i="23"/>
  <c r="X857" i="23" s="1"/>
  <c r="C25" i="23"/>
  <c r="C869" i="23" s="1"/>
  <c r="C33" i="22"/>
  <c r="C34" i="23"/>
  <c r="C878" i="23" s="1"/>
  <c r="X33" i="22"/>
  <c r="AO24" i="22"/>
  <c r="AO25" i="23"/>
  <c r="AO869" i="23" s="1"/>
  <c r="X30" i="22"/>
  <c r="X31" i="23"/>
  <c r="X875" i="23" s="1"/>
  <c r="C13" i="22"/>
  <c r="C13" i="23"/>
  <c r="C857" i="23" s="1"/>
  <c r="C30" i="22"/>
  <c r="C31" i="23"/>
  <c r="C875" i="23" s="1"/>
  <c r="AO30" i="22"/>
  <c r="AO31" i="23"/>
  <c r="AO875" i="23" s="1"/>
  <c r="X27" i="22"/>
  <c r="X28" i="23"/>
  <c r="X872" i="23" s="1"/>
  <c r="C27" i="22"/>
  <c r="C28" i="23"/>
  <c r="C872" i="23" s="1"/>
  <c r="C10" i="23"/>
  <c r="C854" i="23" s="1"/>
  <c r="AG915" i="23" s="1"/>
  <c r="B319" i="4"/>
  <c r="B318" i="4"/>
  <c r="C112" i="21"/>
  <c r="BO227" i="4" l="1"/>
  <c r="BO226" i="4"/>
  <c r="BO225" i="4"/>
  <c r="BO228" i="4"/>
  <c r="BO224" i="4"/>
  <c r="CW122" i="4"/>
  <c r="CW125" i="4"/>
  <c r="CW124" i="4"/>
  <c r="CW120" i="4"/>
  <c r="CW123" i="4"/>
  <c r="CW121" i="4"/>
  <c r="CQ67" i="4"/>
  <c r="BT193" i="4"/>
  <c r="BV193" i="4" s="1"/>
  <c r="BT176" i="4"/>
  <c r="BV176" i="4" s="1"/>
  <c r="BV60" i="4"/>
  <c r="BV68" i="4"/>
  <c r="BA550" i="23"/>
  <c r="P96" i="23"/>
  <c r="P660" i="23"/>
  <c r="U189" i="23"/>
  <c r="BA96" i="23"/>
  <c r="U770" i="23"/>
  <c r="P189" i="23"/>
  <c r="U375" i="23"/>
  <c r="BA282" i="23"/>
  <c r="U660" i="23"/>
  <c r="P375" i="23"/>
  <c r="U468" i="23"/>
  <c r="BA468" i="23"/>
  <c r="D773" i="23"/>
  <c r="AF192" i="23"/>
  <c r="P282" i="23"/>
  <c r="U96" i="23"/>
  <c r="BA375" i="23"/>
  <c r="D553" i="23"/>
  <c r="BA770" i="23"/>
  <c r="AF285" i="23"/>
  <c r="P468" i="23"/>
  <c r="U282" i="23"/>
  <c r="D99" i="23"/>
  <c r="BA189" i="23"/>
  <c r="AF553" i="23"/>
  <c r="BA660" i="23"/>
  <c r="AF99" i="23"/>
  <c r="D378" i="23"/>
  <c r="AF378" i="23"/>
  <c r="D192" i="23"/>
  <c r="AF663" i="23"/>
  <c r="P770" i="23"/>
  <c r="AF471" i="23"/>
  <c r="D471" i="23"/>
  <c r="D285" i="23"/>
  <c r="AF773" i="23"/>
  <c r="D663" i="23"/>
  <c r="P550" i="23"/>
  <c r="U550" i="23"/>
  <c r="C542" i="23"/>
  <c r="AG621" i="23" s="1"/>
  <c r="C762" i="23"/>
  <c r="AG823" i="23" s="1"/>
  <c r="C652" i="23"/>
  <c r="AF731" i="23" s="1"/>
  <c r="X560" i="23"/>
  <c r="X670" i="23"/>
  <c r="X780" i="23"/>
  <c r="X563" i="23"/>
  <c r="X783" i="23"/>
  <c r="X673" i="23"/>
  <c r="C560" i="23"/>
  <c r="C670" i="23"/>
  <c r="C780" i="23"/>
  <c r="AO563" i="23"/>
  <c r="AO673" i="23"/>
  <c r="AO783" i="23"/>
  <c r="C545" i="23"/>
  <c r="C765" i="23"/>
  <c r="C655" i="23"/>
  <c r="AO557" i="23"/>
  <c r="AO777" i="23"/>
  <c r="AO667" i="23"/>
  <c r="C557" i="23"/>
  <c r="C667" i="23"/>
  <c r="C777" i="23"/>
  <c r="X557" i="23"/>
  <c r="X777" i="23"/>
  <c r="X667" i="23"/>
  <c r="C563" i="23"/>
  <c r="C783" i="23"/>
  <c r="C673" i="23"/>
  <c r="C566" i="23"/>
  <c r="C676" i="23"/>
  <c r="C786" i="23"/>
  <c r="X545" i="23"/>
  <c r="X655" i="23"/>
  <c r="X765" i="23"/>
  <c r="AR545" i="23"/>
  <c r="AR655" i="23"/>
  <c r="AR765" i="23"/>
  <c r="X478" i="23"/>
  <c r="X385" i="23"/>
  <c r="X292" i="23"/>
  <c r="X199" i="23"/>
  <c r="X106" i="23"/>
  <c r="X109" i="23"/>
  <c r="X481" i="23"/>
  <c r="X388" i="23"/>
  <c r="X295" i="23"/>
  <c r="X202" i="23"/>
  <c r="C484" i="23"/>
  <c r="C391" i="23"/>
  <c r="C298" i="23"/>
  <c r="C205" i="23"/>
  <c r="C112" i="23"/>
  <c r="AR463" i="23"/>
  <c r="AR370" i="23"/>
  <c r="AR91" i="23"/>
  <c r="AR277" i="23"/>
  <c r="AR184" i="23"/>
  <c r="C106" i="23"/>
  <c r="C478" i="23"/>
  <c r="C385" i="23"/>
  <c r="C292" i="23"/>
  <c r="C199" i="23"/>
  <c r="AO109" i="23"/>
  <c r="AO481" i="23"/>
  <c r="AO388" i="23"/>
  <c r="AO295" i="23"/>
  <c r="AO202" i="23"/>
  <c r="C184" i="23"/>
  <c r="C91" i="23"/>
  <c r="C463" i="23"/>
  <c r="C370" i="23"/>
  <c r="C277" i="23"/>
  <c r="AO289" i="23"/>
  <c r="AO103" i="23"/>
  <c r="AO475" i="23"/>
  <c r="AO382" i="23"/>
  <c r="AO196" i="23"/>
  <c r="AH57" i="23"/>
  <c r="C274" i="23"/>
  <c r="AF336" i="23" s="1"/>
  <c r="C181" i="23"/>
  <c r="AG243" i="23" s="1"/>
  <c r="C367" i="23"/>
  <c r="AF429" i="23" s="1"/>
  <c r="C88" i="23"/>
  <c r="AG150" i="23" s="1"/>
  <c r="C460" i="23"/>
  <c r="AG511" i="23" s="1"/>
  <c r="C295" i="23"/>
  <c r="C202" i="23"/>
  <c r="C481" i="23"/>
  <c r="C388" i="23"/>
  <c r="C109" i="23"/>
  <c r="X91" i="23"/>
  <c r="X463" i="23"/>
  <c r="X370" i="23"/>
  <c r="X277" i="23"/>
  <c r="X184" i="23"/>
  <c r="C475" i="23"/>
  <c r="C382" i="23"/>
  <c r="C103" i="23"/>
  <c r="C289" i="23"/>
  <c r="C196" i="23"/>
  <c r="X289" i="23"/>
  <c r="X196" i="23"/>
  <c r="X382" i="23"/>
  <c r="X103" i="23"/>
  <c r="X475" i="23"/>
  <c r="BX173" i="4"/>
  <c r="BV190" i="4"/>
  <c r="BX190" i="4"/>
  <c r="BW190" i="4"/>
  <c r="BW189" i="4"/>
  <c r="BX188" i="4"/>
  <c r="BW188" i="4"/>
  <c r="C116" i="21"/>
  <c r="C130" i="21"/>
  <c r="C146" i="21"/>
  <c r="C117" i="21"/>
  <c r="C121" i="21"/>
  <c r="C125" i="21"/>
  <c r="C132" i="21"/>
  <c r="C140" i="21"/>
  <c r="C148" i="21"/>
  <c r="C114" i="21"/>
  <c r="C128" i="21"/>
  <c r="C118" i="21"/>
  <c r="C122" i="21"/>
  <c r="C126" i="21"/>
  <c r="C134" i="21"/>
  <c r="C142" i="21"/>
  <c r="C150" i="21"/>
  <c r="C115" i="21"/>
  <c r="C119" i="21"/>
  <c r="C123" i="21"/>
  <c r="C127" i="21"/>
  <c r="C136" i="21"/>
  <c r="C144" i="21"/>
  <c r="C152" i="21"/>
  <c r="C120" i="21"/>
  <c r="C124" i="21"/>
  <c r="C138" i="21"/>
  <c r="C154" i="21"/>
  <c r="C145" i="21"/>
  <c r="C129" i="21"/>
  <c r="C135" i="21"/>
  <c r="C151" i="21"/>
  <c r="C141" i="21"/>
  <c r="C147" i="21"/>
  <c r="C131" i="21"/>
  <c r="C153" i="21"/>
  <c r="C137" i="21"/>
  <c r="C143" i="21"/>
  <c r="C149" i="21"/>
  <c r="C133" i="21"/>
  <c r="C139" i="21"/>
  <c r="BI52" i="19" l="1"/>
  <c r="BI51" i="19"/>
  <c r="BY54" i="19" s="1"/>
  <c r="BI50" i="19"/>
  <c r="BU79" i="19"/>
  <c r="E67" i="19" s="1"/>
  <c r="BP51" i="19"/>
  <c r="BP50" i="19"/>
  <c r="BP49" i="19"/>
  <c r="BP13" i="19" s="1"/>
  <c r="F65" i="19" l="1"/>
  <c r="BY56" i="19"/>
  <c r="AH56" i="19" s="1"/>
  <c r="BY52" i="19"/>
  <c r="AH52" i="19" s="1"/>
  <c r="BY57" i="19"/>
  <c r="AH57" i="19" s="1"/>
  <c r="BY59" i="19"/>
  <c r="AH59" i="19" s="1"/>
  <c r="BY58" i="19"/>
  <c r="AH58" i="19" s="1"/>
  <c r="BY60" i="19"/>
  <c r="AH60" i="19" s="1"/>
  <c r="BP12" i="19"/>
  <c r="BP11" i="19"/>
  <c r="AH54" i="19"/>
  <c r="BY55" i="19"/>
  <c r="AH55" i="19" s="1"/>
  <c r="BY53" i="19"/>
  <c r="AH53" i="19" s="1"/>
  <c r="H49" i="19"/>
  <c r="B3" i="4"/>
  <c r="B2" i="25" s="1"/>
  <c r="C2" i="16" l="1"/>
  <c r="B2" i="24"/>
  <c r="B846" i="23"/>
  <c r="Q850" i="23" s="1"/>
  <c r="B266" i="23"/>
  <c r="Q270" i="23" s="1"/>
  <c r="B754" i="23"/>
  <c r="Q758" i="23" s="1"/>
  <c r="B644" i="23"/>
  <c r="Q648" i="23" s="1"/>
  <c r="B452" i="23"/>
  <c r="Q456" i="23" s="1"/>
  <c r="B80" i="23"/>
  <c r="Q84" i="23" s="1"/>
  <c r="B359" i="23"/>
  <c r="Q363" i="23" s="1"/>
  <c r="B534" i="23"/>
  <c r="Q538" i="23" s="1"/>
  <c r="B173" i="23"/>
  <c r="Q177" i="23" s="1"/>
  <c r="B2" i="23"/>
  <c r="Q6" i="23" s="1"/>
  <c r="B4" i="12"/>
  <c r="B3" i="1"/>
  <c r="B2" i="21"/>
  <c r="BO14" i="21" s="1"/>
  <c r="B2" i="22"/>
  <c r="C53" i="21" l="1"/>
  <c r="BO15" i="21"/>
  <c r="C54" i="21"/>
  <c r="AK256" i="4"/>
  <c r="BD230" i="4"/>
  <c r="D16" i="17" l="1"/>
  <c r="D18" i="17"/>
  <c r="CE66" i="4"/>
  <c r="CR66" i="4"/>
  <c r="CR65" i="4"/>
  <c r="CR64" i="4"/>
  <c r="CR58" i="4"/>
  <c r="BM77" i="19"/>
  <c r="BM76" i="19"/>
  <c r="BM75" i="19"/>
  <c r="BM74" i="19"/>
  <c r="BM73" i="19"/>
  <c r="BY74" i="19" s="1"/>
  <c r="BM72" i="19"/>
  <c r="BY69" i="19" l="1"/>
  <c r="BY70" i="19"/>
  <c r="BY73" i="19"/>
  <c r="BY68" i="19"/>
  <c r="AH80" i="19" s="1"/>
  <c r="BR80" i="19" s="1"/>
  <c r="BY71" i="19"/>
  <c r="BJ52" i="19"/>
  <c r="BJ50" i="19"/>
  <c r="BJ51" i="19"/>
  <c r="BY67" i="19"/>
  <c r="AH79" i="19" s="1"/>
  <c r="BR79" i="19" s="1"/>
  <c r="AH81" i="19"/>
  <c r="BY75" i="19"/>
  <c r="AH87" i="19" s="1"/>
  <c r="AH85" i="19"/>
  <c r="AH82" i="19"/>
  <c r="AH86" i="19"/>
  <c r="AH83" i="19"/>
  <c r="BY72" i="19"/>
  <c r="AH84" i="19" s="1"/>
  <c r="C10" i="22"/>
  <c r="BR84" i="19" l="1"/>
  <c r="AH77" i="19"/>
  <c r="BY81" i="19"/>
  <c r="CE189" i="4" s="1"/>
  <c r="BR82" i="19"/>
  <c r="BY80" i="19"/>
  <c r="CE188" i="4" s="1"/>
  <c r="BR81" i="19"/>
  <c r="BY84" i="19"/>
  <c r="CE192" i="4" s="1"/>
  <c r="BR85" i="19"/>
  <c r="BY82" i="19"/>
  <c r="CE190" i="4" s="1"/>
  <c r="BR83" i="19"/>
  <c r="BY86" i="19"/>
  <c r="BR87" i="19"/>
  <c r="BY85" i="19"/>
  <c r="CE193" i="4" s="1"/>
  <c r="BR86" i="19"/>
  <c r="BY79" i="19"/>
  <c r="CE187" i="4" s="1"/>
  <c r="AH88" i="19"/>
  <c r="BX67" i="19"/>
  <c r="BY83" i="19"/>
  <c r="CE191" i="4" s="1"/>
  <c r="BY78" i="19"/>
  <c r="CE186" i="4" s="1"/>
  <c r="D21" i="21"/>
  <c r="AF21" i="21"/>
  <c r="U18" i="21"/>
  <c r="U18" i="22"/>
  <c r="P18" i="21"/>
  <c r="P18" i="22"/>
  <c r="BA18" i="21"/>
  <c r="BA18" i="22"/>
  <c r="C10" i="21"/>
  <c r="AG247" i="21" s="1"/>
  <c r="AI111" i="22" s="1"/>
  <c r="L256" i="4"/>
  <c r="W243" i="4"/>
  <c r="AA101" i="4" l="1"/>
  <c r="AN99" i="4"/>
  <c r="CI174" i="4" s="1"/>
  <c r="CI173" i="4"/>
  <c r="CJ168" i="4"/>
  <c r="CI172" i="4"/>
  <c r="Z112" i="4"/>
  <c r="N217" i="17"/>
  <c r="N218" i="17"/>
  <c r="N219" i="17"/>
  <c r="N220" i="17"/>
  <c r="N221" i="17"/>
  <c r="L25" i="17"/>
  <c r="M36" i="17"/>
  <c r="N36" i="17"/>
  <c r="CJ174" i="4" l="1"/>
  <c r="CJ172" i="4"/>
  <c r="N90" i="4" s="1"/>
  <c r="CI175" i="4"/>
  <c r="CJ175" i="4" s="1"/>
  <c r="N101" i="4" s="1"/>
  <c r="CJ173" i="4"/>
  <c r="N97" i="4" s="1"/>
  <c r="F322" i="4"/>
  <c r="BO323" i="4" s="1"/>
  <c r="S299" i="4"/>
  <c r="CI171" i="4" l="1"/>
  <c r="CV119" i="4"/>
  <c r="N99" i="4"/>
  <c r="CI170" i="4" s="1"/>
  <c r="D11" i="17" s="1"/>
  <c r="AZ242" i="4"/>
  <c r="C242" i="4"/>
  <c r="CE162" i="4"/>
  <c r="CA118" i="4" l="1"/>
  <c r="CA117" i="4"/>
  <c r="CA116" i="4"/>
  <c r="CA115" i="4"/>
  <c r="CA114" i="4"/>
  <c r="CA113" i="4"/>
  <c r="CA112" i="4"/>
  <c r="CA111" i="4"/>
  <c r="CA110" i="4"/>
  <c r="CV110" i="4" s="1"/>
  <c r="CA109" i="4"/>
  <c r="CV109" i="4" s="1"/>
  <c r="CA108" i="4"/>
  <c r="CV108" i="4" s="1"/>
  <c r="CA107" i="4"/>
  <c r="CA106" i="4"/>
  <c r="CA105" i="4"/>
  <c r="CA102" i="4"/>
  <c r="CA104" i="4"/>
  <c r="CA103" i="4"/>
  <c r="CA101" i="4"/>
  <c r="CA100" i="4"/>
  <c r="CA99" i="4"/>
  <c r="CA98" i="4"/>
  <c r="CA97" i="4"/>
  <c r="CA96" i="4"/>
  <c r="E22" i="4" l="1"/>
  <c r="AT60" i="4" s="1"/>
  <c r="K234" i="17" l="1"/>
  <c r="BU9" i="4"/>
  <c r="CB9" i="4"/>
  <c r="CB82" i="4" s="1"/>
  <c r="CB8" i="4"/>
  <c r="CG58" i="4"/>
  <c r="BU8" i="4"/>
  <c r="CB83" i="4" s="1"/>
  <c r="BU7" i="4"/>
  <c r="BO98" i="4" l="1"/>
  <c r="D107" i="4"/>
  <c r="BV81" i="4"/>
  <c r="D68" i="4"/>
  <c r="BO88" i="4"/>
  <c r="D74" i="4"/>
  <c r="CB85" i="4"/>
  <c r="CW119" i="4"/>
  <c r="S76" i="4"/>
  <c r="Z76" i="4" s="1"/>
  <c r="CB81" i="4"/>
  <c r="BV58" i="4"/>
  <c r="BT7" i="4"/>
  <c r="BT185" i="4"/>
  <c r="BW185" i="4" s="1"/>
  <c r="CB84" i="4"/>
  <c r="BV88" i="4"/>
  <c r="BV57" i="4"/>
  <c r="BV87" i="4"/>
  <c r="CQ58" i="4"/>
  <c r="BT167" i="4"/>
  <c r="BZ167" i="4" s="1"/>
  <c r="BT186" i="4"/>
  <c r="BT187" i="4"/>
  <c r="BV187" i="4" s="1"/>
  <c r="BT174" i="4"/>
  <c r="BX174" i="4" s="1"/>
  <c r="BT191" i="4"/>
  <c r="BW191" i="4" s="1"/>
  <c r="BT175" i="4"/>
  <c r="BX175" i="4" s="1"/>
  <c r="BT192" i="4"/>
  <c r="BT170" i="4"/>
  <c r="BT171" i="4"/>
  <c r="BT172" i="4"/>
  <c r="CC172" i="4" s="1"/>
  <c r="CC162" i="4" s="1"/>
  <c r="BV160" i="4" s="1"/>
  <c r="BT169" i="4"/>
  <c r="BT168" i="4"/>
  <c r="BW168" i="4" s="1"/>
  <c r="BT166" i="4"/>
  <c r="CG59" i="4"/>
  <c r="CG60" i="4"/>
  <c r="CQ64" i="4"/>
  <c r="BV62" i="4"/>
  <c r="B3" i="17"/>
  <c r="CQ66" i="4"/>
  <c r="CW116" i="4"/>
  <c r="CQ65" i="4"/>
  <c r="CW108" i="4"/>
  <c r="CW110" i="4"/>
  <c r="CW109" i="4"/>
  <c r="CW115" i="4"/>
  <c r="CW114" i="4"/>
  <c r="CW118" i="4"/>
  <c r="CW117" i="4"/>
  <c r="CW112" i="4"/>
  <c r="CW104" i="4"/>
  <c r="CW100" i="4"/>
  <c r="CW96" i="4"/>
  <c r="CW111" i="4"/>
  <c r="CW107" i="4"/>
  <c r="CW103" i="4"/>
  <c r="CW99" i="4"/>
  <c r="CW106" i="4"/>
  <c r="CW102" i="4"/>
  <c r="CW98" i="4"/>
  <c r="CW113" i="4"/>
  <c r="CW105" i="4"/>
  <c r="CW101" i="4"/>
  <c r="CW97" i="4"/>
  <c r="BV66" i="4"/>
  <c r="BV61" i="4"/>
  <c r="CC9" i="4"/>
  <c r="CH60" i="4" s="1"/>
  <c r="BV65" i="4"/>
  <c r="BV59" i="4"/>
  <c r="BV63" i="4"/>
  <c r="BV67" i="4"/>
  <c r="BV64" i="4"/>
  <c r="CC7" i="4"/>
  <c r="CH58" i="4" s="1"/>
  <c r="CC8" i="4"/>
  <c r="CH59" i="4" s="1"/>
  <c r="CD75" i="4" l="1"/>
  <c r="BA72" i="4" s="1"/>
  <c r="CE75" i="4"/>
  <c r="BA73" i="4" s="1"/>
  <c r="Z82" i="4"/>
  <c r="Z78" i="4" s="1"/>
  <c r="AR78" i="4" s="1"/>
  <c r="CC88" i="4"/>
  <c r="AQ84" i="4" s="1"/>
  <c r="BV185" i="4"/>
  <c r="CB167" i="4"/>
  <c r="BX185" i="4"/>
  <c r="BV167" i="4"/>
  <c r="BX167" i="4"/>
  <c r="BV186" i="4"/>
  <c r="BW186" i="4"/>
  <c r="BX186" i="4"/>
  <c r="BZ175" i="4"/>
  <c r="CB175" i="4"/>
  <c r="CA175" i="4"/>
  <c r="BY175" i="4"/>
  <c r="BX192" i="4"/>
  <c r="BW192" i="4"/>
  <c r="BV168" i="4"/>
  <c r="BW169" i="4"/>
  <c r="BV169" i="4"/>
  <c r="BY171" i="4"/>
  <c r="BW171" i="4"/>
  <c r="BV171" i="4"/>
  <c r="BX171" i="4"/>
  <c r="BZ171" i="4"/>
  <c r="CA171" i="4"/>
  <c r="CA162" i="4" s="1"/>
  <c r="BV158" i="4" s="1"/>
  <c r="BW170" i="4"/>
  <c r="BV170" i="4"/>
  <c r="BZ166" i="4"/>
  <c r="BX166" i="4"/>
  <c r="BV166" i="4"/>
  <c r="CB166" i="4"/>
  <c r="BU13" i="21"/>
  <c r="BU12" i="21"/>
  <c r="BU11" i="21"/>
  <c r="BO12" i="21"/>
  <c r="BO11" i="21"/>
  <c r="BW81" i="21"/>
  <c r="C82" i="21"/>
  <c r="BO13" i="21"/>
  <c r="D10" i="17"/>
  <c r="D9" i="17"/>
  <c r="CI169" i="4"/>
  <c r="BV184" i="4" l="1"/>
  <c r="BO153" i="4" s="1"/>
  <c r="BW162" i="4"/>
  <c r="BV154" i="4" s="1"/>
  <c r="BV162" i="4"/>
  <c r="BV153" i="4" s="1"/>
  <c r="BW184" i="4"/>
  <c r="BO154" i="4" s="1"/>
  <c r="BY162" i="4"/>
  <c r="BV156" i="4" s="1"/>
  <c r="BX184" i="4"/>
  <c r="BO155" i="4" s="1"/>
  <c r="CB162" i="4"/>
  <c r="BV159" i="4" s="1"/>
  <c r="BZ162" i="4"/>
  <c r="BV157" i="4" s="1"/>
  <c r="BX162" i="4"/>
  <c r="BV155" i="4" s="1"/>
  <c r="BW85" i="21"/>
  <c r="BW89" i="21"/>
  <c r="BW93" i="21"/>
  <c r="BW97" i="21"/>
  <c r="BW101" i="21"/>
  <c r="BW105" i="21"/>
  <c r="BW84" i="21"/>
  <c r="BW88" i="21"/>
  <c r="BW92" i="21"/>
  <c r="BW96" i="21"/>
  <c r="BW100" i="21"/>
  <c r="BW104" i="21"/>
  <c r="BW82" i="21"/>
  <c r="BW86" i="21"/>
  <c r="BW90" i="21"/>
  <c r="BW94" i="21"/>
  <c r="BW98" i="21"/>
  <c r="BW102" i="21"/>
  <c r="BW106" i="21"/>
  <c r="BW83" i="21"/>
  <c r="BW87" i="21"/>
  <c r="BW91" i="21"/>
  <c r="BW95" i="21"/>
  <c r="BW99" i="21"/>
  <c r="BW103" i="21"/>
  <c r="BW107" i="21"/>
  <c r="CJ81" i="21"/>
  <c r="BV11" i="21"/>
  <c r="BV13" i="21"/>
  <c r="CW81" i="21"/>
  <c r="BV12" i="21"/>
  <c r="DJ81" i="21"/>
  <c r="BJ81" i="21"/>
  <c r="Q11" i="17"/>
  <c r="Q13" i="17"/>
  <c r="Q14" i="17"/>
  <c r="Q15" i="17"/>
  <c r="Q16" i="17"/>
  <c r="Q17" i="17"/>
  <c r="Q18" i="17"/>
  <c r="Q19" i="17"/>
  <c r="Q20" i="17"/>
  <c r="Q21" i="17"/>
  <c r="Q22" i="17"/>
  <c r="P8" i="17"/>
  <c r="H15" i="17" s="1"/>
  <c r="DJ83" i="21" l="1"/>
  <c r="DJ87" i="21"/>
  <c r="DJ91" i="21"/>
  <c r="DJ95" i="21"/>
  <c r="DJ99" i="21"/>
  <c r="DJ103" i="21"/>
  <c r="DJ107" i="21"/>
  <c r="DJ86" i="21"/>
  <c r="DJ90" i="21"/>
  <c r="DJ94" i="21"/>
  <c r="DJ98" i="21"/>
  <c r="DJ102" i="21"/>
  <c r="DJ106" i="21"/>
  <c r="DJ84" i="21"/>
  <c r="DJ88" i="21"/>
  <c r="DJ92" i="21"/>
  <c r="DJ96" i="21"/>
  <c r="DJ100" i="21"/>
  <c r="DJ104" i="21"/>
  <c r="DJ82" i="21"/>
  <c r="DJ85" i="21"/>
  <c r="DJ89" i="21"/>
  <c r="DJ93" i="21"/>
  <c r="DJ97" i="21"/>
  <c r="DJ101" i="21"/>
  <c r="DJ105" i="21"/>
  <c r="CJ83" i="21"/>
  <c r="CJ87" i="21"/>
  <c r="CJ91" i="21"/>
  <c r="CJ95" i="21"/>
  <c r="CJ99" i="21"/>
  <c r="CJ103" i="21"/>
  <c r="CJ107" i="21"/>
  <c r="CJ86" i="21"/>
  <c r="CJ90" i="21"/>
  <c r="CJ94" i="21"/>
  <c r="CJ98" i="21"/>
  <c r="CJ102" i="21"/>
  <c r="CJ106" i="21"/>
  <c r="CJ84" i="21"/>
  <c r="CJ88" i="21"/>
  <c r="CJ92" i="21"/>
  <c r="CJ96" i="21"/>
  <c r="CJ100" i="21"/>
  <c r="CJ104" i="21"/>
  <c r="CJ82" i="21"/>
  <c r="CJ85" i="21"/>
  <c r="CJ89" i="21"/>
  <c r="CJ93" i="21"/>
  <c r="CJ97" i="21"/>
  <c r="CJ101" i="21"/>
  <c r="CJ105" i="21"/>
  <c r="BJ83" i="21"/>
  <c r="BJ87" i="21"/>
  <c r="BJ91" i="21"/>
  <c r="BJ95" i="21"/>
  <c r="BJ99" i="21"/>
  <c r="BJ103" i="21"/>
  <c r="BJ107" i="21"/>
  <c r="BJ86" i="21"/>
  <c r="BJ90" i="21"/>
  <c r="BJ94" i="21"/>
  <c r="BJ98" i="21"/>
  <c r="BJ102" i="21"/>
  <c r="BJ106" i="21"/>
  <c r="BJ84" i="21"/>
  <c r="BJ88" i="21"/>
  <c r="BJ92" i="21"/>
  <c r="BJ96" i="21"/>
  <c r="BJ100" i="21"/>
  <c r="BJ104" i="21"/>
  <c r="BJ82" i="21"/>
  <c r="BJ85" i="21"/>
  <c r="BJ89" i="21"/>
  <c r="BJ93" i="21"/>
  <c r="BJ97" i="21"/>
  <c r="BJ101" i="21"/>
  <c r="BJ105" i="21"/>
  <c r="CW85" i="21"/>
  <c r="CW89" i="21"/>
  <c r="CW93" i="21"/>
  <c r="CW97" i="21"/>
  <c r="CW101" i="21"/>
  <c r="CW105" i="21"/>
  <c r="CW84" i="21"/>
  <c r="CW88" i="21"/>
  <c r="CW92" i="21"/>
  <c r="CW96" i="21"/>
  <c r="CW100" i="21"/>
  <c r="CW104" i="21"/>
  <c r="CW82" i="21"/>
  <c r="CW86" i="21"/>
  <c r="CW90" i="21"/>
  <c r="CW94" i="21"/>
  <c r="CW98" i="21"/>
  <c r="CW102" i="21"/>
  <c r="CW106" i="21"/>
  <c r="CW83" i="21"/>
  <c r="CW87" i="21"/>
  <c r="CW91" i="21"/>
  <c r="CW95" i="21"/>
  <c r="CW99" i="21"/>
  <c r="CW103" i="21"/>
  <c r="CW107" i="21"/>
  <c r="Q10" i="17"/>
  <c r="BI82" i="21" l="1"/>
  <c r="C86" i="21" s="1"/>
  <c r="BI83" i="21"/>
  <c r="C87" i="21" s="1"/>
  <c r="BN293" i="4"/>
  <c r="BN292" i="4"/>
  <c r="BN291" i="4"/>
  <c r="AY181" i="4"/>
  <c r="BS36" i="4"/>
  <c r="BS35" i="4"/>
  <c r="BS34" i="4"/>
  <c r="BS32" i="4"/>
  <c r="BI84" i="21" l="1"/>
  <c r="C88" i="21" s="1"/>
  <c r="BN294" i="4"/>
  <c r="D306" i="4" s="1"/>
  <c r="BO320" i="4" s="1"/>
  <c r="AK326" i="4"/>
  <c r="BO325" i="4" s="1"/>
  <c r="AO72" i="16" s="1"/>
  <c r="F67" i="16"/>
  <c r="BI85" i="21" l="1"/>
  <c r="C89" i="21" s="1"/>
  <c r="K30" i="12"/>
  <c r="BI86" i="21" l="1"/>
  <c r="C90" i="21" s="1"/>
  <c r="Z86" i="4"/>
  <c r="O59" i="17"/>
  <c r="O58" i="17"/>
  <c r="BI87" i="21" l="1"/>
  <c r="C91" i="21" s="1"/>
  <c r="H29" i="17"/>
  <c r="D39" i="1"/>
  <c r="K13" i="1"/>
  <c r="K10" i="1" s="1"/>
  <c r="BI88" i="21" l="1"/>
  <c r="C92" i="21" s="1"/>
  <c r="C60" i="1"/>
  <c r="C7" i="5"/>
  <c r="L3" i="5"/>
  <c r="L4" i="5" s="1"/>
  <c r="L5" i="5" s="1"/>
  <c r="L6" i="5" s="1"/>
  <c r="L7" i="5" s="1"/>
  <c r="L8" i="5" s="1"/>
  <c r="L9" i="5" s="1"/>
  <c r="L10" i="5" s="1"/>
  <c r="L11" i="5" s="1"/>
  <c r="L12" i="5" s="1"/>
  <c r="L13" i="5" s="1"/>
  <c r="L14" i="5" s="1"/>
  <c r="L15" i="5" s="1"/>
  <c r="L16" i="5" s="1"/>
  <c r="L17" i="5" s="1"/>
  <c r="L18" i="5" s="1"/>
  <c r="L19" i="5" s="1"/>
  <c r="L20" i="5" s="1"/>
  <c r="L21" i="5" s="1"/>
  <c r="L22" i="5" s="1"/>
  <c r="L23" i="5" s="1"/>
  <c r="L24" i="5" s="1"/>
  <c r="L25" i="5" s="1"/>
  <c r="L26" i="5" s="1"/>
  <c r="L27" i="5" s="1"/>
  <c r="L28" i="5" s="1"/>
  <c r="L29" i="5" s="1"/>
  <c r="L30" i="5" s="1"/>
  <c r="L31" i="5" s="1"/>
  <c r="L32" i="5" s="1"/>
  <c r="L33" i="5" s="1"/>
  <c r="L34" i="5" s="1"/>
  <c r="L35" i="5" s="1"/>
  <c r="L36" i="5" s="1"/>
  <c r="L37" i="5" s="1"/>
  <c r="L38" i="5" s="1"/>
  <c r="L39" i="5" s="1"/>
  <c r="L40" i="5" s="1"/>
  <c r="L41" i="5" s="1"/>
  <c r="L42" i="5" s="1"/>
  <c r="L43" i="5" s="1"/>
  <c r="L44" i="5" s="1"/>
  <c r="L45" i="5" s="1"/>
  <c r="L46" i="5" s="1"/>
  <c r="L47" i="5" s="1"/>
  <c r="L48" i="5" s="1"/>
  <c r="L49" i="5" s="1"/>
  <c r="L50" i="5" s="1"/>
  <c r="L51" i="5" s="1"/>
  <c r="L52" i="5" s="1"/>
  <c r="L53" i="5" s="1"/>
  <c r="L54" i="5" s="1"/>
  <c r="L55" i="5" s="1"/>
  <c r="L56" i="5" s="1"/>
  <c r="L57" i="5" s="1"/>
  <c r="L58" i="5" s="1"/>
  <c r="L59" i="5" s="1"/>
  <c r="L60" i="5" s="1"/>
  <c r="L61" i="5" s="1"/>
  <c r="L62" i="5" s="1"/>
  <c r="L63" i="5" s="1"/>
  <c r="L64" i="5" s="1"/>
  <c r="L65" i="5" s="1"/>
  <c r="L66" i="5" s="1"/>
  <c r="L67" i="5" s="1"/>
  <c r="L68" i="5" s="1"/>
  <c r="L69" i="5" s="1"/>
  <c r="L70" i="5" s="1"/>
  <c r="L71" i="5" s="1"/>
  <c r="L72" i="5" s="1"/>
  <c r="L73" i="5" s="1"/>
  <c r="L74" i="5" s="1"/>
  <c r="L75" i="5" s="1"/>
  <c r="L76" i="5" s="1"/>
  <c r="L77" i="5" s="1"/>
  <c r="L78" i="5" s="1"/>
  <c r="L79" i="5" s="1"/>
  <c r="L80" i="5" s="1"/>
  <c r="L81" i="5" s="1"/>
  <c r="L82" i="5" s="1"/>
  <c r="L83" i="5" s="1"/>
  <c r="L84" i="5" s="1"/>
  <c r="L85" i="5" s="1"/>
  <c r="L86" i="5" s="1"/>
  <c r="L87" i="5" s="1"/>
  <c r="L88" i="5" s="1"/>
  <c r="L89" i="5" s="1"/>
  <c r="L90" i="5" s="1"/>
  <c r="L91" i="5" s="1"/>
  <c r="L92" i="5" s="1"/>
  <c r="L93" i="5" s="1"/>
  <c r="L94" i="5" s="1"/>
  <c r="L95" i="5" s="1"/>
  <c r="L96" i="5" s="1"/>
  <c r="L97" i="5" s="1"/>
  <c r="L98" i="5" s="1"/>
  <c r="L99" i="5" s="1"/>
  <c r="L100" i="5" s="1"/>
  <c r="L101" i="5" s="1"/>
  <c r="L102" i="5" s="1"/>
  <c r="L103" i="5" s="1"/>
  <c r="L104" i="5" s="1"/>
  <c r="L105" i="5" s="1"/>
  <c r="L106" i="5" s="1"/>
  <c r="L107" i="5" s="1"/>
  <c r="L108" i="5" s="1"/>
  <c r="L109" i="5" s="1"/>
  <c r="L110" i="5" s="1"/>
  <c r="L111" i="5" s="1"/>
  <c r="L112" i="5" s="1"/>
  <c r="L113" i="5" s="1"/>
  <c r="L114" i="5" s="1"/>
  <c r="L115" i="5" s="1"/>
  <c r="L116" i="5" s="1"/>
  <c r="L117" i="5" s="1"/>
  <c r="L118" i="5" s="1"/>
  <c r="L119" i="5" s="1"/>
  <c r="L120" i="5" s="1"/>
  <c r="L121" i="5" s="1"/>
  <c r="L122" i="5" s="1"/>
  <c r="L123" i="5" s="1"/>
  <c r="L124" i="5" s="1"/>
  <c r="L125" i="5" s="1"/>
  <c r="L126" i="5" s="1"/>
  <c r="L127" i="5" s="1"/>
  <c r="L128" i="5" s="1"/>
  <c r="L129" i="5" s="1"/>
  <c r="L130" i="5" s="1"/>
  <c r="L131" i="5" s="1"/>
  <c r="L132" i="5" s="1"/>
  <c r="L133" i="5" s="1"/>
  <c r="L134" i="5" s="1"/>
  <c r="L135" i="5" s="1"/>
  <c r="L136" i="5" s="1"/>
  <c r="L137" i="5" s="1"/>
  <c r="L138" i="5" s="1"/>
  <c r="L139" i="5" s="1"/>
  <c r="L140" i="5" s="1"/>
  <c r="L141" i="5" s="1"/>
  <c r="L142" i="5" s="1"/>
  <c r="L143" i="5" s="1"/>
  <c r="L144" i="5" s="1"/>
  <c r="L145" i="5" s="1"/>
  <c r="L146" i="5" s="1"/>
  <c r="L147" i="5" s="1"/>
  <c r="L148" i="5" s="1"/>
  <c r="L149" i="5" s="1"/>
  <c r="L150" i="5" s="1"/>
  <c r="L151" i="5" s="1"/>
  <c r="L152" i="5" s="1"/>
  <c r="L153" i="5" s="1"/>
  <c r="L154" i="5" s="1"/>
  <c r="L155" i="5" s="1"/>
  <c r="L156" i="5" s="1"/>
  <c r="L157" i="5" s="1"/>
  <c r="L158" i="5" s="1"/>
  <c r="L159" i="5" s="1"/>
  <c r="L160" i="5" s="1"/>
  <c r="L161" i="5" s="1"/>
  <c r="L162" i="5" s="1"/>
  <c r="L163" i="5" s="1"/>
  <c r="L164" i="5" s="1"/>
  <c r="L165" i="5" s="1"/>
  <c r="L166" i="5" s="1"/>
  <c r="L167" i="5" s="1"/>
  <c r="L168" i="5" s="1"/>
  <c r="L169" i="5" s="1"/>
  <c r="L170" i="5" s="1"/>
  <c r="L171" i="5" s="1"/>
  <c r="L172" i="5" s="1"/>
  <c r="L173" i="5" s="1"/>
  <c r="L174" i="5" s="1"/>
  <c r="L175" i="5" s="1"/>
  <c r="L176" i="5" s="1"/>
  <c r="L177" i="5" s="1"/>
  <c r="L178" i="5" s="1"/>
  <c r="L179" i="5" s="1"/>
  <c r="L180" i="5" s="1"/>
  <c r="L181" i="5" s="1"/>
  <c r="L182" i="5" s="1"/>
  <c r="L183" i="5" s="1"/>
  <c r="L184" i="5" s="1"/>
  <c r="L185" i="5" s="1"/>
  <c r="L186" i="5" s="1"/>
  <c r="L187" i="5" s="1"/>
  <c r="L188" i="5" s="1"/>
  <c r="L189" i="5" s="1"/>
  <c r="L190" i="5" s="1"/>
  <c r="L191" i="5" s="1"/>
  <c r="L192" i="5" s="1"/>
  <c r="L193" i="5" s="1"/>
  <c r="L194" i="5" s="1"/>
  <c r="L195" i="5" s="1"/>
  <c r="L196" i="5" s="1"/>
  <c r="L197" i="5" s="1"/>
  <c r="L198" i="5" s="1"/>
  <c r="L199" i="5" s="1"/>
  <c r="L200" i="5" s="1"/>
  <c r="L201" i="5" s="1"/>
  <c r="L202" i="5" s="1"/>
  <c r="L203" i="5" s="1"/>
  <c r="L204" i="5" s="1"/>
  <c r="L205" i="5" s="1"/>
  <c r="L206" i="5" s="1"/>
  <c r="L207" i="5" s="1"/>
  <c r="L208" i="5" s="1"/>
  <c r="L209" i="5" s="1"/>
  <c r="L210" i="5" s="1"/>
  <c r="L211" i="5" s="1"/>
  <c r="L212" i="5" s="1"/>
  <c r="L213" i="5" s="1"/>
  <c r="L214" i="5" s="1"/>
  <c r="L215" i="5" s="1"/>
  <c r="L216" i="5" s="1"/>
  <c r="L217" i="5" s="1"/>
  <c r="BI89" i="21" l="1"/>
  <c r="C93" i="21" s="1"/>
  <c r="D219" i="17"/>
  <c r="BI90" i="21" l="1"/>
  <c r="C94" i="21" s="1"/>
  <c r="C11" i="17"/>
  <c r="L29" i="17"/>
  <c r="M29" i="17" s="1"/>
  <c r="N29" i="17" s="1"/>
  <c r="E30" i="17"/>
  <c r="H32" i="17" s="1"/>
  <c r="BI91" i="21" l="1"/>
  <c r="C95" i="21" s="1"/>
  <c r="L30" i="17"/>
  <c r="M30" i="17"/>
  <c r="N30" i="17"/>
  <c r="BI92" i="21" l="1"/>
  <c r="C96" i="21" s="1"/>
  <c r="C18" i="17"/>
  <c r="G3" i="5"/>
  <c r="G4" i="5" s="1"/>
  <c r="G5" i="5" s="1"/>
  <c r="G6" i="5" s="1"/>
  <c r="G7" i="5" s="1"/>
  <c r="G8" i="5" s="1"/>
  <c r="G9" i="5" s="1"/>
  <c r="G10" i="5" s="1"/>
  <c r="G11" i="5" s="1"/>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40" i="5" s="1"/>
  <c r="G41" i="5" s="1"/>
  <c r="G42" i="5" s="1"/>
  <c r="G43" i="5" s="1"/>
  <c r="G44" i="5" s="1"/>
  <c r="G45" i="5" s="1"/>
  <c r="G46" i="5" s="1"/>
  <c r="G47" i="5" s="1"/>
  <c r="G48" i="5" s="1"/>
  <c r="G49" i="5" s="1"/>
  <c r="G50" i="5" s="1"/>
  <c r="G51" i="5" s="1"/>
  <c r="G52" i="5" s="1"/>
  <c r="G53" i="5" s="1"/>
  <c r="G54" i="5" s="1"/>
  <c r="G55" i="5" s="1"/>
  <c r="G56" i="5" s="1"/>
  <c r="G57" i="5" s="1"/>
  <c r="G58" i="5" s="1"/>
  <c r="G59" i="5" s="1"/>
  <c r="G60" i="5" s="1"/>
  <c r="G61" i="5" s="1"/>
  <c r="G62" i="5" s="1"/>
  <c r="G63" i="5" s="1"/>
  <c r="G64" i="5" s="1"/>
  <c r="G65" i="5" s="1"/>
  <c r="G66" i="5" s="1"/>
  <c r="G67" i="5" s="1"/>
  <c r="G68" i="5" s="1"/>
  <c r="G69" i="5" s="1"/>
  <c r="G70" i="5" s="1"/>
  <c r="G71" i="5" s="1"/>
  <c r="G72" i="5" s="1"/>
  <c r="G73" i="5" s="1"/>
  <c r="G74" i="5" s="1"/>
  <c r="G75" i="5" s="1"/>
  <c r="G76" i="5" s="1"/>
  <c r="G77" i="5" s="1"/>
  <c r="G78" i="5" s="1"/>
  <c r="G79" i="5" s="1"/>
  <c r="G80" i="5" s="1"/>
  <c r="G81" i="5" s="1"/>
  <c r="G82" i="5" s="1"/>
  <c r="G83" i="5" s="1"/>
  <c r="G84" i="5" s="1"/>
  <c r="G85" i="5" s="1"/>
  <c r="G86" i="5" s="1"/>
  <c r="G87" i="5" s="1"/>
  <c r="G88" i="5" s="1"/>
  <c r="G89" i="5" s="1"/>
  <c r="G90" i="5" s="1"/>
  <c r="G91" i="5" s="1"/>
  <c r="G92" i="5" s="1"/>
  <c r="G93" i="5" s="1"/>
  <c r="G94" i="5" s="1"/>
  <c r="G95" i="5" s="1"/>
  <c r="G96" i="5" s="1"/>
  <c r="G97" i="5" s="1"/>
  <c r="G98" i="5" s="1"/>
  <c r="G99" i="5" s="1"/>
  <c r="G100" i="5" s="1"/>
  <c r="G101" i="5" s="1"/>
  <c r="G102" i="5" s="1"/>
  <c r="G103" i="5" s="1"/>
  <c r="G104" i="5" s="1"/>
  <c r="G105" i="5" s="1"/>
  <c r="G106" i="5" s="1"/>
  <c r="G107" i="5" s="1"/>
  <c r="G108" i="5" s="1"/>
  <c r="G109" i="5" s="1"/>
  <c r="G110" i="5" s="1"/>
  <c r="G111" i="5" s="1"/>
  <c r="G112" i="5" s="1"/>
  <c r="G113" i="5" s="1"/>
  <c r="G114" i="5" s="1"/>
  <c r="G115" i="5" s="1"/>
  <c r="G116" i="5" s="1"/>
  <c r="G117" i="5" s="1"/>
  <c r="G118" i="5" s="1"/>
  <c r="G119" i="5" s="1"/>
  <c r="G120" i="5" s="1"/>
  <c r="G121" i="5" s="1"/>
  <c r="G122" i="5" s="1"/>
  <c r="G123" i="5" s="1"/>
  <c r="G124" i="5" s="1"/>
  <c r="G125" i="5" s="1"/>
  <c r="G126" i="5" s="1"/>
  <c r="G127" i="5" s="1"/>
  <c r="G128" i="5" s="1"/>
  <c r="G129" i="5" s="1"/>
  <c r="G130" i="5" s="1"/>
  <c r="G131" i="5" s="1"/>
  <c r="G132" i="5" s="1"/>
  <c r="G133" i="5" s="1"/>
  <c r="G134" i="5" s="1"/>
  <c r="G135" i="5" s="1"/>
  <c r="G136" i="5" s="1"/>
  <c r="G137" i="5" s="1"/>
  <c r="G138" i="5" s="1"/>
  <c r="G139" i="5" s="1"/>
  <c r="G140" i="5" s="1"/>
  <c r="G141" i="5" s="1"/>
  <c r="G142" i="5" s="1"/>
  <c r="G143" i="5" s="1"/>
  <c r="G144" i="5" s="1"/>
  <c r="G145" i="5" s="1"/>
  <c r="G146" i="5" s="1"/>
  <c r="G147" i="5" s="1"/>
  <c r="G148" i="5" s="1"/>
  <c r="G149" i="5" s="1"/>
  <c r="G150" i="5" s="1"/>
  <c r="G151" i="5" s="1"/>
  <c r="G152" i="5" s="1"/>
  <c r="G153" i="5" s="1"/>
  <c r="G154" i="5" s="1"/>
  <c r="G155" i="5" s="1"/>
  <c r="G156" i="5" s="1"/>
  <c r="G157" i="5" s="1"/>
  <c r="G158" i="5" s="1"/>
  <c r="G159" i="5" s="1"/>
  <c r="G160" i="5" s="1"/>
  <c r="G161" i="5" s="1"/>
  <c r="G162" i="5" s="1"/>
  <c r="G163" i="5" s="1"/>
  <c r="G164" i="5" s="1"/>
  <c r="G165" i="5" s="1"/>
  <c r="G166" i="5" s="1"/>
  <c r="G167" i="5" s="1"/>
  <c r="G168" i="5" s="1"/>
  <c r="G169" i="5" s="1"/>
  <c r="G170" i="5" s="1"/>
  <c r="G171" i="5" s="1"/>
  <c r="G172" i="5" s="1"/>
  <c r="G173" i="5" s="1"/>
  <c r="G174" i="5" s="1"/>
  <c r="G175" i="5" s="1"/>
  <c r="G176" i="5" s="1"/>
  <c r="G177" i="5" s="1"/>
  <c r="G178" i="5" s="1"/>
  <c r="G179" i="5" s="1"/>
  <c r="G180" i="5" s="1"/>
  <c r="G181" i="5" s="1"/>
  <c r="G182" i="5" s="1"/>
  <c r="G183" i="5" s="1"/>
  <c r="G184" i="5" s="1"/>
  <c r="G185" i="5" s="1"/>
  <c r="G186" i="5" s="1"/>
  <c r="G187" i="5" s="1"/>
  <c r="G188" i="5" s="1"/>
  <c r="G189" i="5" s="1"/>
  <c r="G190" i="5" s="1"/>
  <c r="G191" i="5" s="1"/>
  <c r="G192" i="5" s="1"/>
  <c r="G193" i="5" s="1"/>
  <c r="G194" i="5" s="1"/>
  <c r="G195" i="5" s="1"/>
  <c r="G196" i="5" s="1"/>
  <c r="G197" i="5" s="1"/>
  <c r="G198" i="5" s="1"/>
  <c r="G199" i="5" s="1"/>
  <c r="G200" i="5" s="1"/>
  <c r="G201" i="5" s="1"/>
  <c r="G202" i="5" s="1"/>
  <c r="G203" i="5" s="1"/>
  <c r="G204" i="5" s="1"/>
  <c r="G205" i="5" s="1"/>
  <c r="G206" i="5" s="1"/>
  <c r="G207" i="5" s="1"/>
  <c r="G208" i="5" s="1"/>
  <c r="G209" i="5" s="1"/>
  <c r="G210" i="5" s="1"/>
  <c r="G211" i="5" s="1"/>
  <c r="G212" i="5" s="1"/>
  <c r="G213" i="5" s="1"/>
  <c r="G214" i="5" s="1"/>
  <c r="G215" i="5" s="1"/>
  <c r="G216" i="5" s="1"/>
  <c r="G217" i="5" s="1"/>
  <c r="B37" i="5"/>
  <c r="AL24" i="17"/>
  <c r="AN24" i="17" s="1"/>
  <c r="AL25" i="17"/>
  <c r="AN25" i="17" s="1"/>
  <c r="AL26" i="17"/>
  <c r="AN26" i="17" s="1"/>
  <c r="AL27" i="17"/>
  <c r="AN27" i="17" s="1"/>
  <c r="AL28" i="17"/>
  <c r="AN28" i="17" s="1"/>
  <c r="AL29" i="17"/>
  <c r="AN29" i="17" s="1"/>
  <c r="AL30" i="17"/>
  <c r="AN30" i="17" s="1"/>
  <c r="AL31" i="17"/>
  <c r="AN31" i="17" s="1"/>
  <c r="AL33" i="17"/>
  <c r="AN33" i="17" s="1"/>
  <c r="BI93" i="21" l="1"/>
  <c r="C97" i="21" s="1"/>
  <c r="H37" i="17"/>
  <c r="H38" i="17" s="1"/>
  <c r="BI94" i="21" l="1"/>
  <c r="C98" i="21" s="1"/>
  <c r="H39" i="17"/>
  <c r="Q23" i="17" l="1"/>
  <c r="C17" i="17" s="1"/>
  <c r="H40" i="17"/>
  <c r="AA102" i="4"/>
  <c r="BI95" i="21" l="1"/>
  <c r="C99" i="21" s="1"/>
  <c r="BI96" i="21"/>
  <c r="C100" i="21" s="1"/>
  <c r="B37" i="17"/>
  <c r="K37" i="17" s="1"/>
  <c r="D21" i="17"/>
  <c r="H41" i="17"/>
  <c r="I33" i="17"/>
  <c r="BV291" i="4"/>
  <c r="BI97" i="21" l="1"/>
  <c r="C101" i="21" s="1"/>
  <c r="D17" i="17"/>
  <c r="B38" i="17"/>
  <c r="K38" i="17" s="1"/>
  <c r="D22" i="17"/>
  <c r="D23" i="17" s="1"/>
  <c r="AQ9" i="17"/>
  <c r="AQ10" i="17"/>
  <c r="C10" i="17"/>
  <c r="H42" i="17"/>
  <c r="AR76" i="4"/>
  <c r="BI98" i="21" l="1"/>
  <c r="C102" i="21" s="1"/>
  <c r="R9" i="17"/>
  <c r="C35" i="17"/>
  <c r="C37" i="17" s="1"/>
  <c r="B39" i="17"/>
  <c r="K39" i="17" s="1"/>
  <c r="D24" i="17"/>
  <c r="B36" i="5"/>
  <c r="H43" i="17"/>
  <c r="BI99" i="21" l="1"/>
  <c r="C103" i="21" s="1"/>
  <c r="S9" i="17"/>
  <c r="R22" i="17" s="1"/>
  <c r="R10" i="17"/>
  <c r="C38" i="17"/>
  <c r="B40" i="17"/>
  <c r="K40" i="17" s="1"/>
  <c r="C39" i="17"/>
  <c r="D25" i="17"/>
  <c r="B39" i="5"/>
  <c r="Q2" i="5" s="1"/>
  <c r="Q3" i="5" s="1"/>
  <c r="Q4" i="5" s="1"/>
  <c r="Q5" i="5" s="1"/>
  <c r="Q6" i="5" s="1"/>
  <c r="Q7" i="5" s="1"/>
  <c r="Q8" i="5" s="1"/>
  <c r="Q9" i="5" s="1"/>
  <c r="Q10" i="5" s="1"/>
  <c r="Q11" i="5" s="1"/>
  <c r="Q12" i="5" s="1"/>
  <c r="Q13" i="5" s="1"/>
  <c r="Q14" i="5" s="1"/>
  <c r="Q15" i="5" s="1"/>
  <c r="Q16" i="5" s="1"/>
  <c r="Q17" i="5" s="1"/>
  <c r="Q18" i="5" s="1"/>
  <c r="Q19" i="5" s="1"/>
  <c r="Q20" i="5" s="1"/>
  <c r="Q21" i="5" s="1"/>
  <c r="Q22" i="5" s="1"/>
  <c r="Q23" i="5" s="1"/>
  <c r="Q24" i="5" s="1"/>
  <c r="Q25" i="5" s="1"/>
  <c r="Q26" i="5" s="1"/>
  <c r="Q27" i="5" s="1"/>
  <c r="Q28" i="5" s="1"/>
  <c r="Q29" i="5" s="1"/>
  <c r="Q30" i="5" s="1"/>
  <c r="Q31" i="5" s="1"/>
  <c r="Q32" i="5" s="1"/>
  <c r="Q33" i="5" s="1"/>
  <c r="Q34" i="5" s="1"/>
  <c r="Q35" i="5" s="1"/>
  <c r="Q36" i="5" s="1"/>
  <c r="Q37" i="5" s="1"/>
  <c r="Q38" i="5" s="1"/>
  <c r="Q39" i="5" s="1"/>
  <c r="Q40" i="5" s="1"/>
  <c r="Q41" i="5" s="1"/>
  <c r="Q42" i="5" s="1"/>
  <c r="Q43" i="5" s="1"/>
  <c r="Q44" i="5" s="1"/>
  <c r="Q45" i="5" s="1"/>
  <c r="Q46" i="5" s="1"/>
  <c r="Q47" i="5" s="1"/>
  <c r="Q48" i="5" s="1"/>
  <c r="Q49" i="5" s="1"/>
  <c r="Q50" i="5" s="1"/>
  <c r="Q51" i="5" s="1"/>
  <c r="Q52" i="5" s="1"/>
  <c r="Q53" i="5" s="1"/>
  <c r="Q54" i="5" s="1"/>
  <c r="Q55" i="5" s="1"/>
  <c r="Q56" i="5" s="1"/>
  <c r="Q57" i="5" s="1"/>
  <c r="Q58" i="5" s="1"/>
  <c r="Q59" i="5" s="1"/>
  <c r="Q60" i="5" s="1"/>
  <c r="Q61" i="5" s="1"/>
  <c r="Q62" i="5" s="1"/>
  <c r="Q63" i="5" s="1"/>
  <c r="Q64" i="5" s="1"/>
  <c r="Q65" i="5" s="1"/>
  <c r="Q66" i="5" s="1"/>
  <c r="Q67" i="5" s="1"/>
  <c r="Q68" i="5" s="1"/>
  <c r="Q69" i="5" s="1"/>
  <c r="Q70" i="5" s="1"/>
  <c r="Q71" i="5" s="1"/>
  <c r="Q72" i="5" s="1"/>
  <c r="Q73" i="5" s="1"/>
  <c r="Q74" i="5" s="1"/>
  <c r="Q75" i="5" s="1"/>
  <c r="Q76" i="5" s="1"/>
  <c r="Q77" i="5" s="1"/>
  <c r="Q78" i="5" s="1"/>
  <c r="Q79" i="5" s="1"/>
  <c r="Q80" i="5" s="1"/>
  <c r="Q81" i="5" s="1"/>
  <c r="Q82" i="5" s="1"/>
  <c r="Q83" i="5" s="1"/>
  <c r="Q84" i="5" s="1"/>
  <c r="Q85" i="5" s="1"/>
  <c r="Q86" i="5" s="1"/>
  <c r="Q87" i="5" s="1"/>
  <c r="Q88" i="5" s="1"/>
  <c r="Q89" i="5" s="1"/>
  <c r="Q90" i="5" s="1"/>
  <c r="Q91" i="5" s="1"/>
  <c r="Q92" i="5" s="1"/>
  <c r="Q93" i="5" s="1"/>
  <c r="Q94" i="5" s="1"/>
  <c r="Q95" i="5" s="1"/>
  <c r="Q96" i="5" s="1"/>
  <c r="Q97" i="5" s="1"/>
  <c r="Q98" i="5" s="1"/>
  <c r="Q99" i="5" s="1"/>
  <c r="Q100" i="5" s="1"/>
  <c r="Q101" i="5" s="1"/>
  <c r="Q102" i="5" s="1"/>
  <c r="Q103" i="5" s="1"/>
  <c r="Q104" i="5" s="1"/>
  <c r="Q105" i="5" s="1"/>
  <c r="Q106" i="5" s="1"/>
  <c r="Q107" i="5" s="1"/>
  <c r="Q108" i="5" s="1"/>
  <c r="Q109" i="5" s="1"/>
  <c r="Q110" i="5" s="1"/>
  <c r="Q111" i="5" s="1"/>
  <c r="Q112" i="5" s="1"/>
  <c r="Q113" i="5" s="1"/>
  <c r="Q114" i="5" s="1"/>
  <c r="Q115" i="5" s="1"/>
  <c r="Q116" i="5" s="1"/>
  <c r="Q117" i="5" s="1"/>
  <c r="Q118" i="5" s="1"/>
  <c r="Q119" i="5" s="1"/>
  <c r="Q120" i="5" s="1"/>
  <c r="Q121" i="5" s="1"/>
  <c r="Q122" i="5" s="1"/>
  <c r="Q123" i="5" s="1"/>
  <c r="Q124" i="5" s="1"/>
  <c r="Q125" i="5" s="1"/>
  <c r="Q126" i="5" s="1"/>
  <c r="Q127" i="5" s="1"/>
  <c r="Q128" i="5" s="1"/>
  <c r="Q129" i="5" s="1"/>
  <c r="Q130" i="5" s="1"/>
  <c r="Q131" i="5" s="1"/>
  <c r="Q132" i="5" s="1"/>
  <c r="Q133" i="5" s="1"/>
  <c r="Q134" i="5" s="1"/>
  <c r="Q135" i="5" s="1"/>
  <c r="Q136" i="5" s="1"/>
  <c r="Q137" i="5" s="1"/>
  <c r="Q138" i="5" s="1"/>
  <c r="Q139" i="5" s="1"/>
  <c r="Q140" i="5" s="1"/>
  <c r="Q141" i="5" s="1"/>
  <c r="Q142" i="5" s="1"/>
  <c r="Q143" i="5" s="1"/>
  <c r="Q144" i="5" s="1"/>
  <c r="Q145" i="5" s="1"/>
  <c r="Q146" i="5" s="1"/>
  <c r="Q147" i="5" s="1"/>
  <c r="Q148" i="5" s="1"/>
  <c r="Q149" i="5" s="1"/>
  <c r="Q150" i="5" s="1"/>
  <c r="Q151" i="5" s="1"/>
  <c r="Q152" i="5" s="1"/>
  <c r="Q153" i="5" s="1"/>
  <c r="Q154" i="5" s="1"/>
  <c r="Q155" i="5" s="1"/>
  <c r="Q156" i="5" s="1"/>
  <c r="Q157" i="5" s="1"/>
  <c r="Q158" i="5" s="1"/>
  <c r="Q159" i="5" s="1"/>
  <c r="Q160" i="5" s="1"/>
  <c r="Q161" i="5" s="1"/>
  <c r="Q162" i="5" s="1"/>
  <c r="Q163" i="5" s="1"/>
  <c r="Q164" i="5" s="1"/>
  <c r="Q165" i="5" s="1"/>
  <c r="Q166" i="5" s="1"/>
  <c r="Q167" i="5" s="1"/>
  <c r="Q168" i="5" s="1"/>
  <c r="Q169" i="5" s="1"/>
  <c r="Q170" i="5" s="1"/>
  <c r="Q171" i="5" s="1"/>
  <c r="Q172" i="5" s="1"/>
  <c r="Q173" i="5" s="1"/>
  <c r="Q174" i="5" s="1"/>
  <c r="Q175" i="5" s="1"/>
  <c r="Q176" i="5" s="1"/>
  <c r="Q177" i="5" s="1"/>
  <c r="Q178" i="5" s="1"/>
  <c r="Q179" i="5" s="1"/>
  <c r="Q180" i="5" s="1"/>
  <c r="Q181" i="5" s="1"/>
  <c r="Q182" i="5" s="1"/>
  <c r="Q183" i="5" s="1"/>
  <c r="Q184" i="5" s="1"/>
  <c r="Q185" i="5" s="1"/>
  <c r="Q186" i="5" s="1"/>
  <c r="Q187" i="5" s="1"/>
  <c r="Q188" i="5" s="1"/>
  <c r="Q189" i="5" s="1"/>
  <c r="Q190" i="5" s="1"/>
  <c r="Q191" i="5" s="1"/>
  <c r="Q192" i="5" s="1"/>
  <c r="Q193" i="5" s="1"/>
  <c r="Q194" i="5" s="1"/>
  <c r="Q195" i="5" s="1"/>
  <c r="Q196" i="5" s="1"/>
  <c r="Q197" i="5" s="1"/>
  <c r="Q198" i="5" s="1"/>
  <c r="Q199" i="5" s="1"/>
  <c r="Q200" i="5" s="1"/>
  <c r="Q201" i="5" s="1"/>
  <c r="Q202" i="5" s="1"/>
  <c r="Q203" i="5" s="1"/>
  <c r="Q204" i="5" s="1"/>
  <c r="Q205" i="5" s="1"/>
  <c r="Q206" i="5" s="1"/>
  <c r="Q207" i="5" s="1"/>
  <c r="Q208" i="5" s="1"/>
  <c r="Q209" i="5" s="1"/>
  <c r="Q210" i="5" s="1"/>
  <c r="Q211" i="5" s="1"/>
  <c r="Q212" i="5" s="1"/>
  <c r="Q213" i="5" s="1"/>
  <c r="Q214" i="5" s="1"/>
  <c r="Q215" i="5" s="1"/>
  <c r="Q216" i="5" s="1"/>
  <c r="Q217" i="5" s="1"/>
  <c r="H5" i="5"/>
  <c r="H7" i="5"/>
  <c r="H9" i="5"/>
  <c r="H11" i="5"/>
  <c r="H13" i="5"/>
  <c r="H15" i="5"/>
  <c r="H17" i="5"/>
  <c r="H19" i="5"/>
  <c r="H21" i="5"/>
  <c r="H23" i="5"/>
  <c r="H25" i="5"/>
  <c r="H27" i="5"/>
  <c r="H29" i="5"/>
  <c r="H31" i="5"/>
  <c r="H33" i="5"/>
  <c r="H35" i="5"/>
  <c r="H37" i="5"/>
  <c r="H39" i="5"/>
  <c r="H41" i="5"/>
  <c r="H43" i="5"/>
  <c r="H45" i="5"/>
  <c r="H47" i="5"/>
  <c r="H49" i="5"/>
  <c r="H51" i="5"/>
  <c r="H53" i="5"/>
  <c r="H55" i="5"/>
  <c r="H57" i="5"/>
  <c r="H59" i="5"/>
  <c r="H61" i="5"/>
  <c r="H63" i="5"/>
  <c r="H65" i="5"/>
  <c r="H67" i="5"/>
  <c r="H69" i="5"/>
  <c r="H71" i="5"/>
  <c r="H73" i="5"/>
  <c r="H75" i="5"/>
  <c r="H77" i="5"/>
  <c r="H79" i="5"/>
  <c r="H81" i="5"/>
  <c r="H83" i="5"/>
  <c r="H85" i="5"/>
  <c r="H87" i="5"/>
  <c r="H89" i="5"/>
  <c r="H91" i="5"/>
  <c r="H93" i="5"/>
  <c r="H95" i="5"/>
  <c r="H97" i="5"/>
  <c r="H99" i="5"/>
  <c r="H101" i="5"/>
  <c r="H103" i="5"/>
  <c r="H105" i="5"/>
  <c r="H107" i="5"/>
  <c r="H109" i="5"/>
  <c r="H111" i="5"/>
  <c r="H113" i="5"/>
  <c r="H115" i="5"/>
  <c r="H117" i="5"/>
  <c r="H4" i="5"/>
  <c r="H6" i="5"/>
  <c r="H8" i="5"/>
  <c r="H10" i="5"/>
  <c r="H12" i="5"/>
  <c r="H14" i="5"/>
  <c r="H16" i="5"/>
  <c r="H18" i="5"/>
  <c r="H20" i="5"/>
  <c r="H22" i="5"/>
  <c r="H24" i="5"/>
  <c r="H26" i="5"/>
  <c r="H28" i="5"/>
  <c r="H30" i="5"/>
  <c r="H32" i="5"/>
  <c r="H34" i="5"/>
  <c r="H36" i="5"/>
  <c r="H38" i="5"/>
  <c r="H40" i="5"/>
  <c r="H42" i="5"/>
  <c r="H44" i="5"/>
  <c r="H46" i="5"/>
  <c r="H48" i="5"/>
  <c r="H50" i="5"/>
  <c r="H52" i="5"/>
  <c r="H54" i="5"/>
  <c r="H56" i="5"/>
  <c r="H58" i="5"/>
  <c r="H60" i="5"/>
  <c r="H62" i="5"/>
  <c r="H64" i="5"/>
  <c r="H66" i="5"/>
  <c r="H68" i="5"/>
  <c r="H70" i="5"/>
  <c r="H72" i="5"/>
  <c r="H74" i="5"/>
  <c r="H76" i="5"/>
  <c r="H78" i="5"/>
  <c r="H80" i="5"/>
  <c r="H82" i="5"/>
  <c r="H84" i="5"/>
  <c r="H86" i="5"/>
  <c r="H88" i="5"/>
  <c r="H90" i="5"/>
  <c r="H92" i="5"/>
  <c r="H94" i="5"/>
  <c r="H96" i="5"/>
  <c r="H98" i="5"/>
  <c r="H100" i="5"/>
  <c r="H102" i="5"/>
  <c r="H104" i="5"/>
  <c r="H106" i="5"/>
  <c r="H108" i="5"/>
  <c r="H110" i="5"/>
  <c r="H112" i="5"/>
  <c r="H114" i="5"/>
  <c r="H116" i="5"/>
  <c r="H118" i="5"/>
  <c r="H120" i="5"/>
  <c r="H122" i="5"/>
  <c r="H124" i="5"/>
  <c r="H126" i="5"/>
  <c r="H128" i="5"/>
  <c r="H130" i="5"/>
  <c r="H132" i="5"/>
  <c r="H134" i="5"/>
  <c r="H136" i="5"/>
  <c r="H138" i="5"/>
  <c r="H140" i="5"/>
  <c r="H142" i="5"/>
  <c r="H144" i="5"/>
  <c r="H146" i="5"/>
  <c r="H148" i="5"/>
  <c r="H150" i="5"/>
  <c r="H152" i="5"/>
  <c r="H154" i="5"/>
  <c r="H156" i="5"/>
  <c r="H158" i="5"/>
  <c r="H160" i="5"/>
  <c r="H162" i="5"/>
  <c r="H164" i="5"/>
  <c r="H166" i="5"/>
  <c r="H168" i="5"/>
  <c r="H170" i="5"/>
  <c r="H172" i="5"/>
  <c r="H121" i="5"/>
  <c r="H125" i="5"/>
  <c r="H129" i="5"/>
  <c r="H133" i="5"/>
  <c r="H137" i="5"/>
  <c r="H141" i="5"/>
  <c r="H145" i="5"/>
  <c r="H149" i="5"/>
  <c r="H153" i="5"/>
  <c r="H157" i="5"/>
  <c r="H161" i="5"/>
  <c r="H165" i="5"/>
  <c r="H169" i="5"/>
  <c r="H173" i="5"/>
  <c r="H175" i="5"/>
  <c r="H177" i="5"/>
  <c r="H179" i="5"/>
  <c r="H181" i="5"/>
  <c r="H183" i="5"/>
  <c r="H185" i="5"/>
  <c r="H187" i="5"/>
  <c r="H189" i="5"/>
  <c r="H191" i="5"/>
  <c r="H193" i="5"/>
  <c r="H195" i="5"/>
  <c r="H197" i="5"/>
  <c r="H199" i="5"/>
  <c r="H201" i="5"/>
  <c r="H203" i="5"/>
  <c r="H205" i="5"/>
  <c r="H207" i="5"/>
  <c r="H209" i="5"/>
  <c r="H211" i="5"/>
  <c r="H213" i="5"/>
  <c r="H215" i="5"/>
  <c r="H217" i="5"/>
  <c r="B38" i="5"/>
  <c r="H119" i="5"/>
  <c r="H123" i="5"/>
  <c r="H127" i="5"/>
  <c r="H131" i="5"/>
  <c r="H135" i="5"/>
  <c r="H139" i="5"/>
  <c r="H143" i="5"/>
  <c r="H147" i="5"/>
  <c r="H151" i="5"/>
  <c r="H155" i="5"/>
  <c r="H159" i="5"/>
  <c r="H163" i="5"/>
  <c r="H167" i="5"/>
  <c r="H171" i="5"/>
  <c r="H174" i="5"/>
  <c r="H176" i="5"/>
  <c r="H178" i="5"/>
  <c r="H180" i="5"/>
  <c r="H182" i="5"/>
  <c r="H184" i="5"/>
  <c r="H186" i="5"/>
  <c r="H188" i="5"/>
  <c r="H190" i="5"/>
  <c r="H192" i="5"/>
  <c r="H194" i="5"/>
  <c r="H196" i="5"/>
  <c r="H198" i="5"/>
  <c r="H200" i="5"/>
  <c r="H202" i="5"/>
  <c r="H204" i="5"/>
  <c r="H206" i="5"/>
  <c r="H208" i="5"/>
  <c r="H210" i="5"/>
  <c r="H212" i="5"/>
  <c r="H214" i="5"/>
  <c r="H216" i="5"/>
  <c r="H3" i="5"/>
  <c r="I35" i="17"/>
  <c r="I43" i="17" s="1"/>
  <c r="H44" i="17"/>
  <c r="BI100" i="21" l="1"/>
  <c r="C104" i="21" s="1"/>
  <c r="S22" i="17"/>
  <c r="R19" i="17"/>
  <c r="R16" i="17"/>
  <c r="S10" i="17"/>
  <c r="AK23" i="17" s="1"/>
  <c r="AL23" i="17" s="1"/>
  <c r="AN23" i="17" s="1"/>
  <c r="AK10" i="17"/>
  <c r="AL10" i="17" s="1"/>
  <c r="AN10" i="17" s="1"/>
  <c r="AM10" i="17" s="1"/>
  <c r="R13" i="17"/>
  <c r="R17" i="17"/>
  <c r="R18" i="17"/>
  <c r="R21" i="17"/>
  <c r="R15" i="17"/>
  <c r="R14" i="17"/>
  <c r="R20" i="17"/>
  <c r="R11" i="17"/>
  <c r="B41" i="17"/>
  <c r="K41" i="17" s="1"/>
  <c r="C40" i="17"/>
  <c r="I38" i="17"/>
  <c r="I37" i="17"/>
  <c r="I39" i="17"/>
  <c r="I40" i="17"/>
  <c r="I41" i="17"/>
  <c r="I42" i="17"/>
  <c r="H45" i="17"/>
  <c r="I44" i="17"/>
  <c r="S78" i="4"/>
  <c r="Y78" i="4" s="1"/>
  <c r="BI101" i="21" l="1"/>
  <c r="C105" i="21" s="1"/>
  <c r="S19" i="17"/>
  <c r="S21" i="17"/>
  <c r="S20" i="17"/>
  <c r="S17" i="17"/>
  <c r="T17" i="17" s="1"/>
  <c r="AK51" i="17" s="1"/>
  <c r="AL51" i="17" s="1"/>
  <c r="AN51" i="17" s="1"/>
  <c r="S18" i="17"/>
  <c r="AK40" i="17" s="1"/>
  <c r="AL40" i="17" s="1"/>
  <c r="AN40" i="17" s="1"/>
  <c r="S16" i="17"/>
  <c r="AK38" i="17" s="1"/>
  <c r="AL38" i="17" s="1"/>
  <c r="AN38" i="17" s="1"/>
  <c r="AK18" i="17"/>
  <c r="AL18" i="17" s="1"/>
  <c r="AN18" i="17" s="1"/>
  <c r="AK16" i="17"/>
  <c r="AL16" i="17" s="1"/>
  <c r="AN16" i="17" s="1"/>
  <c r="S14" i="17"/>
  <c r="AK14" i="17"/>
  <c r="AL14" i="17" s="1"/>
  <c r="AN14" i="17" s="1"/>
  <c r="S15" i="17"/>
  <c r="AK37" i="17" s="1"/>
  <c r="AL37" i="17" s="1"/>
  <c r="AN37" i="17" s="1"/>
  <c r="AK15" i="17"/>
  <c r="AL15" i="17" s="1"/>
  <c r="AN15" i="17" s="1"/>
  <c r="AK17" i="17"/>
  <c r="AL17" i="17" s="1"/>
  <c r="AN17" i="17" s="1"/>
  <c r="AK11" i="17"/>
  <c r="AL11" i="17" s="1"/>
  <c r="AN11" i="17" s="1"/>
  <c r="AM11" i="17" s="1"/>
  <c r="S11" i="17"/>
  <c r="T10" i="17"/>
  <c r="AK13" i="17"/>
  <c r="AL13" i="17" s="1"/>
  <c r="AN13" i="17" s="1"/>
  <c r="S13" i="17"/>
  <c r="AK35" i="17" s="1"/>
  <c r="AL35" i="17" s="1"/>
  <c r="AN35" i="17" s="1"/>
  <c r="B42" i="17"/>
  <c r="K42" i="17" s="1"/>
  <c r="C41" i="17"/>
  <c r="H46" i="17"/>
  <c r="I45" i="17"/>
  <c r="BI102" i="21" l="1"/>
  <c r="C106" i="21" s="1"/>
  <c r="T18" i="17"/>
  <c r="U18" i="17" s="1"/>
  <c r="AK64" i="17" s="1"/>
  <c r="AL64" i="17" s="1"/>
  <c r="AN64" i="17" s="1"/>
  <c r="AK39" i="17"/>
  <c r="AL39" i="17" s="1"/>
  <c r="AN39" i="17" s="1"/>
  <c r="T16" i="17"/>
  <c r="U16" i="17" s="1"/>
  <c r="U17" i="17"/>
  <c r="V17" i="17" s="1"/>
  <c r="T13" i="17"/>
  <c r="AK47" i="17" s="1"/>
  <c r="AL47" i="17" s="1"/>
  <c r="AN47" i="17" s="1"/>
  <c r="AM13" i="17"/>
  <c r="U10" i="17"/>
  <c r="AK45" i="17"/>
  <c r="AL45" i="17" s="1"/>
  <c r="AN45" i="17" s="1"/>
  <c r="AK36" i="17"/>
  <c r="AL36" i="17" s="1"/>
  <c r="AN36" i="17" s="1"/>
  <c r="T14" i="17"/>
  <c r="AK34" i="17"/>
  <c r="AL34" i="17" s="1"/>
  <c r="AN34" i="17" s="1"/>
  <c r="T11" i="17"/>
  <c r="T15" i="17"/>
  <c r="B43" i="17"/>
  <c r="K43" i="17" s="1"/>
  <c r="C42" i="17"/>
  <c r="T20" i="17"/>
  <c r="AK20" i="17"/>
  <c r="AL20" i="17" s="1"/>
  <c r="AN20" i="17" s="1"/>
  <c r="AK19" i="17"/>
  <c r="AL19" i="17" s="1"/>
  <c r="AN19" i="17" s="1"/>
  <c r="T19" i="17"/>
  <c r="H47" i="17"/>
  <c r="I46" i="17"/>
  <c r="BI103" i="21" l="1"/>
  <c r="C107" i="21" s="1"/>
  <c r="V18" i="17"/>
  <c r="W18" i="17" s="1"/>
  <c r="AK52" i="17"/>
  <c r="AL52" i="17" s="1"/>
  <c r="AN52" i="17" s="1"/>
  <c r="AK50" i="17"/>
  <c r="AL50" i="17" s="1"/>
  <c r="AN50" i="17" s="1"/>
  <c r="AM14" i="17"/>
  <c r="AK62" i="17"/>
  <c r="AL62" i="17" s="1"/>
  <c r="AN62" i="17" s="1"/>
  <c r="V16" i="17"/>
  <c r="AK63" i="17"/>
  <c r="AL63" i="17" s="1"/>
  <c r="AN63" i="17" s="1"/>
  <c r="U13" i="17"/>
  <c r="V13" i="17" s="1"/>
  <c r="U14" i="17"/>
  <c r="AK48" i="17"/>
  <c r="AL48" i="17" s="1"/>
  <c r="AN48" i="17" s="1"/>
  <c r="U15" i="17"/>
  <c r="AK49" i="17"/>
  <c r="AL49" i="17" s="1"/>
  <c r="AN49" i="17" s="1"/>
  <c r="U11" i="17"/>
  <c r="AK46" i="17"/>
  <c r="AL46" i="17" s="1"/>
  <c r="AN46" i="17" s="1"/>
  <c r="V10" i="17"/>
  <c r="AK57" i="17"/>
  <c r="AL57" i="17" s="1"/>
  <c r="AN57" i="17" s="1"/>
  <c r="B44" i="17"/>
  <c r="K44" i="17" s="1"/>
  <c r="C43" i="17"/>
  <c r="AK53" i="17"/>
  <c r="AL53" i="17" s="1"/>
  <c r="AN53" i="17" s="1"/>
  <c r="U19" i="17"/>
  <c r="AK54" i="17"/>
  <c r="AL54" i="17" s="1"/>
  <c r="AN54" i="17" s="1"/>
  <c r="U20" i="17"/>
  <c r="W17" i="17"/>
  <c r="AK75" i="17"/>
  <c r="AL75" i="17" s="1"/>
  <c r="AN75" i="17" s="1"/>
  <c r="AK41" i="17"/>
  <c r="AL41" i="17" s="1"/>
  <c r="AN41" i="17" s="1"/>
  <c r="AK42" i="17"/>
  <c r="AL42" i="17" s="1"/>
  <c r="AN42" i="17" s="1"/>
  <c r="H48" i="17"/>
  <c r="I47" i="17"/>
  <c r="AR111" i="4"/>
  <c r="CG166" i="4" s="1"/>
  <c r="AR108" i="4"/>
  <c r="CG162" i="4" s="1"/>
  <c r="BI104" i="21" l="1"/>
  <c r="CI162" i="4"/>
  <c r="AR110" i="4" s="1"/>
  <c r="AK76" i="17"/>
  <c r="AL76" i="17" s="1"/>
  <c r="AN76" i="17" s="1"/>
  <c r="AM15" i="17"/>
  <c r="AK74" i="17"/>
  <c r="AL74" i="17" s="1"/>
  <c r="AN74" i="17" s="1"/>
  <c r="W16" i="17"/>
  <c r="AK59" i="17"/>
  <c r="AL59" i="17" s="1"/>
  <c r="AN59" i="17" s="1"/>
  <c r="AK58" i="17"/>
  <c r="AL58" i="17" s="1"/>
  <c r="AN58" i="17" s="1"/>
  <c r="V11" i="17"/>
  <c r="AK60" i="17"/>
  <c r="AL60" i="17" s="1"/>
  <c r="AN60" i="17" s="1"/>
  <c r="V14" i="17"/>
  <c r="W10" i="17"/>
  <c r="AK69" i="17"/>
  <c r="AL69" i="17" s="1"/>
  <c r="AN69" i="17" s="1"/>
  <c r="V15" i="17"/>
  <c r="AK61" i="17"/>
  <c r="AL61" i="17" s="1"/>
  <c r="AN61" i="17" s="1"/>
  <c r="W13" i="17"/>
  <c r="AK71" i="17"/>
  <c r="AL71" i="17" s="1"/>
  <c r="AN71" i="17" s="1"/>
  <c r="B45" i="17"/>
  <c r="K45" i="17" s="1"/>
  <c r="C44" i="17"/>
  <c r="V19" i="17"/>
  <c r="AK65" i="17"/>
  <c r="AL65" i="17" s="1"/>
  <c r="AN65" i="17" s="1"/>
  <c r="V20" i="17"/>
  <c r="AK66" i="17"/>
  <c r="AL66" i="17" s="1"/>
  <c r="AN66" i="17" s="1"/>
  <c r="AK22" i="17"/>
  <c r="AL22" i="17" s="1"/>
  <c r="AK44" i="17"/>
  <c r="AL44" i="17" s="1"/>
  <c r="AN44" i="17" s="1"/>
  <c r="T22" i="17"/>
  <c r="AK56" i="17" s="1"/>
  <c r="AL56" i="17" s="1"/>
  <c r="AN56" i="17" s="1"/>
  <c r="AK21" i="17"/>
  <c r="AL21" i="17" s="1"/>
  <c r="AN21" i="17" s="1"/>
  <c r="AK43" i="17"/>
  <c r="AL43" i="17" s="1"/>
  <c r="AN43" i="17" s="1"/>
  <c r="T21" i="17"/>
  <c r="AK55" i="17" s="1"/>
  <c r="AL55" i="17" s="1"/>
  <c r="AN55" i="17" s="1"/>
  <c r="X17" i="17"/>
  <c r="AK87" i="17"/>
  <c r="AL87" i="17" s="1"/>
  <c r="AN87" i="17" s="1"/>
  <c r="X18" i="17"/>
  <c r="AK88" i="17"/>
  <c r="AL88" i="17" s="1"/>
  <c r="AN88" i="17" s="1"/>
  <c r="H49" i="17"/>
  <c r="I48" i="17"/>
  <c r="D26" i="12"/>
  <c r="BI105" i="21" l="1"/>
  <c r="AM16" i="17"/>
  <c r="AM17" i="17" s="1"/>
  <c r="AM18" i="17" s="1"/>
  <c r="AM19" i="17" s="1"/>
  <c r="AM20" i="17" s="1"/>
  <c r="AM21" i="17" s="1"/>
  <c r="D61" i="1"/>
  <c r="X16" i="17"/>
  <c r="AK86" i="17"/>
  <c r="AL86" i="17" s="1"/>
  <c r="AN86" i="17" s="1"/>
  <c r="AK70" i="17"/>
  <c r="AL70" i="17" s="1"/>
  <c r="AN70" i="17" s="1"/>
  <c r="W11" i="17"/>
  <c r="AK83" i="17"/>
  <c r="AL83" i="17" s="1"/>
  <c r="AN83" i="17" s="1"/>
  <c r="X13" i="17"/>
  <c r="W14" i="17"/>
  <c r="AK72" i="17"/>
  <c r="AL72" i="17" s="1"/>
  <c r="AN72" i="17" s="1"/>
  <c r="W15" i="17"/>
  <c r="AK73" i="17"/>
  <c r="AL73" i="17" s="1"/>
  <c r="AN73" i="17" s="1"/>
  <c r="X10" i="17"/>
  <c r="AK81" i="17"/>
  <c r="AL81" i="17" s="1"/>
  <c r="AN81" i="17" s="1"/>
  <c r="U21" i="17"/>
  <c r="B46" i="17"/>
  <c r="K46" i="17" s="1"/>
  <c r="C45" i="17"/>
  <c r="W19" i="17"/>
  <c r="AK77" i="17"/>
  <c r="AL77" i="17" s="1"/>
  <c r="AN77" i="17" s="1"/>
  <c r="Y18" i="17"/>
  <c r="AK100" i="17"/>
  <c r="AL100" i="17" s="1"/>
  <c r="AN100" i="17" s="1"/>
  <c r="Y17" i="17"/>
  <c r="AK99" i="17"/>
  <c r="AL99" i="17" s="1"/>
  <c r="AN99" i="17" s="1"/>
  <c r="U22" i="17"/>
  <c r="AP22" i="17"/>
  <c r="AN22" i="17"/>
  <c r="W20" i="17"/>
  <c r="AK78" i="17"/>
  <c r="AL78" i="17" s="1"/>
  <c r="AN78" i="17" s="1"/>
  <c r="H50" i="17"/>
  <c r="I49" i="17"/>
  <c r="BI106" i="21" l="1"/>
  <c r="AM22" i="17"/>
  <c r="AM23" i="17" s="1"/>
  <c r="AM24" i="17" s="1"/>
  <c r="AM25" i="17" s="1"/>
  <c r="AM26" i="17" s="1"/>
  <c r="AM27" i="17" s="1"/>
  <c r="AM28" i="17" s="1"/>
  <c r="AM29" i="17" s="1"/>
  <c r="AM30" i="17" s="1"/>
  <c r="AM31" i="17" s="1"/>
  <c r="AM33" i="17" s="1"/>
  <c r="AM34" i="17" s="1"/>
  <c r="AM35" i="17" s="1"/>
  <c r="AM36" i="17" s="1"/>
  <c r="AM37" i="17" s="1"/>
  <c r="AM38" i="17" s="1"/>
  <c r="AM39" i="17" s="1"/>
  <c r="AM40" i="17" s="1"/>
  <c r="AM41" i="17" s="1"/>
  <c r="AM42" i="17" s="1"/>
  <c r="AM43" i="17" s="1"/>
  <c r="AM44" i="17" s="1"/>
  <c r="AM45" i="17" s="1"/>
  <c r="AM46" i="17" s="1"/>
  <c r="AM47" i="17" s="1"/>
  <c r="AM48" i="17" s="1"/>
  <c r="AM49" i="17" s="1"/>
  <c r="AM50" i="17" s="1"/>
  <c r="AM51" i="17" s="1"/>
  <c r="AM52" i="17" s="1"/>
  <c r="AM53" i="17" s="1"/>
  <c r="AM54" i="17" s="1"/>
  <c r="AM55" i="17" s="1"/>
  <c r="AM56" i="17" s="1"/>
  <c r="AM57" i="17" s="1"/>
  <c r="AM58" i="17" s="1"/>
  <c r="AM59" i="17" s="1"/>
  <c r="AM60" i="17" s="1"/>
  <c r="AM61" i="17" s="1"/>
  <c r="AM62" i="17" s="1"/>
  <c r="AM63" i="17" s="1"/>
  <c r="AM64" i="17" s="1"/>
  <c r="AM65" i="17" s="1"/>
  <c r="AM66" i="17" s="1"/>
  <c r="AK98" i="17"/>
  <c r="AL98" i="17" s="1"/>
  <c r="AN98" i="17" s="1"/>
  <c r="Y16" i="17"/>
  <c r="Y13" i="17"/>
  <c r="AK95" i="17"/>
  <c r="AL95" i="17" s="1"/>
  <c r="AN95" i="17" s="1"/>
  <c r="X15" i="17"/>
  <c r="AK85" i="17"/>
  <c r="AL85" i="17" s="1"/>
  <c r="AN85" i="17" s="1"/>
  <c r="AK82" i="17"/>
  <c r="AL82" i="17" s="1"/>
  <c r="AN82" i="17" s="1"/>
  <c r="X11" i="17"/>
  <c r="Y10" i="17"/>
  <c r="AK93" i="17"/>
  <c r="AL93" i="17" s="1"/>
  <c r="AN93" i="17" s="1"/>
  <c r="X14" i="17"/>
  <c r="AK84" i="17"/>
  <c r="AL84" i="17" s="1"/>
  <c r="AN84" i="17" s="1"/>
  <c r="AK67" i="17"/>
  <c r="AL67" i="17" s="1"/>
  <c r="AN67" i="17" s="1"/>
  <c r="V21" i="17"/>
  <c r="B47" i="17"/>
  <c r="K47" i="17" s="1"/>
  <c r="C46" i="17"/>
  <c r="X19" i="17"/>
  <c r="AK89" i="17"/>
  <c r="AL89" i="17" s="1"/>
  <c r="AN89" i="17" s="1"/>
  <c r="AK90" i="17"/>
  <c r="AL90" i="17" s="1"/>
  <c r="AN90" i="17" s="1"/>
  <c r="X20" i="17"/>
  <c r="AK68" i="17"/>
  <c r="AL68" i="17" s="1"/>
  <c r="AN68" i="17" s="1"/>
  <c r="V22" i="17"/>
  <c r="Z17" i="17"/>
  <c r="AK111" i="17"/>
  <c r="AL111" i="17" s="1"/>
  <c r="AN111" i="17" s="1"/>
  <c r="Z18" i="17"/>
  <c r="AK112" i="17"/>
  <c r="AL112" i="17" s="1"/>
  <c r="AN112" i="17" s="1"/>
  <c r="H51" i="17"/>
  <c r="I50" i="17"/>
  <c r="BI107" i="21" l="1"/>
  <c r="B48" i="17"/>
  <c r="K48" i="17" s="1"/>
  <c r="AM67" i="17"/>
  <c r="AM68" i="17" s="1"/>
  <c r="AM69" i="17" s="1"/>
  <c r="AM70" i="17" s="1"/>
  <c r="AM71" i="17" s="1"/>
  <c r="AM72" i="17" s="1"/>
  <c r="AM73" i="17" s="1"/>
  <c r="AM74" i="17" s="1"/>
  <c r="AM75" i="17" s="1"/>
  <c r="AM76" i="17" s="1"/>
  <c r="AM77" i="17" s="1"/>
  <c r="AM78" i="17" s="1"/>
  <c r="AK123" i="17"/>
  <c r="AL123" i="17" s="1"/>
  <c r="AN123" i="17" s="1"/>
  <c r="AK124" i="17"/>
  <c r="AL124" i="17" s="1"/>
  <c r="AN124" i="17" s="1"/>
  <c r="Z16" i="17"/>
  <c r="AK122" i="17" s="1"/>
  <c r="AL122" i="17" s="1"/>
  <c r="AN122" i="17" s="1"/>
  <c r="AK110" i="17"/>
  <c r="AL110" i="17" s="1"/>
  <c r="AN110" i="17" s="1"/>
  <c r="Z10" i="17"/>
  <c r="AK105" i="17"/>
  <c r="AL105" i="17" s="1"/>
  <c r="AN105" i="17" s="1"/>
  <c r="Y15" i="17"/>
  <c r="AK97" i="17"/>
  <c r="AL97" i="17" s="1"/>
  <c r="AN97" i="17" s="1"/>
  <c r="AK94" i="17"/>
  <c r="AL94" i="17" s="1"/>
  <c r="AN94" i="17" s="1"/>
  <c r="Y11" i="17"/>
  <c r="Y14" i="17"/>
  <c r="AK96" i="17"/>
  <c r="AL96" i="17" s="1"/>
  <c r="AN96" i="17" s="1"/>
  <c r="AK107" i="17"/>
  <c r="AL107" i="17" s="1"/>
  <c r="AN107" i="17" s="1"/>
  <c r="Z13" i="17"/>
  <c r="AK79" i="17"/>
  <c r="AL79" i="17" s="1"/>
  <c r="AN79" i="17" s="1"/>
  <c r="W21" i="17"/>
  <c r="Y19" i="17"/>
  <c r="AK101" i="17"/>
  <c r="AL101" i="17" s="1"/>
  <c r="AN101" i="17" s="1"/>
  <c r="W22" i="17"/>
  <c r="AK80" i="17"/>
  <c r="AL80" i="17" s="1"/>
  <c r="AN80" i="17" s="1"/>
  <c r="AA18" i="17"/>
  <c r="AA17" i="17"/>
  <c r="AK102" i="17"/>
  <c r="AL102" i="17" s="1"/>
  <c r="AN102" i="17" s="1"/>
  <c r="Y20" i="17"/>
  <c r="H52" i="17"/>
  <c r="I51" i="17"/>
  <c r="C47" i="17"/>
  <c r="BA244" i="4"/>
  <c r="N244" i="4"/>
  <c r="B49" i="17" l="1"/>
  <c r="K49" i="17" s="1"/>
  <c r="AB17" i="17"/>
  <c r="AC17" i="17" s="1"/>
  <c r="AD17" i="17" s="1"/>
  <c r="AE17" i="17" s="1"/>
  <c r="AF17" i="17" s="1"/>
  <c r="AG17" i="17" s="1"/>
  <c r="AH17" i="17" s="1"/>
  <c r="AI17" i="17" s="1"/>
  <c r="AB18" i="17"/>
  <c r="AC18" i="17" s="1"/>
  <c r="AD18" i="17" s="1"/>
  <c r="AE18" i="17" s="1"/>
  <c r="AF18" i="17" s="1"/>
  <c r="AG18" i="17" s="1"/>
  <c r="AH18" i="17" s="1"/>
  <c r="AI18" i="17" s="1"/>
  <c r="AK136" i="17"/>
  <c r="AL136" i="17" s="1"/>
  <c r="AN136" i="17" s="1"/>
  <c r="AK135" i="17"/>
  <c r="AL135" i="17" s="1"/>
  <c r="AN135" i="17" s="1"/>
  <c r="AA16" i="17"/>
  <c r="Z14" i="17"/>
  <c r="AK108" i="17"/>
  <c r="AL108" i="17" s="1"/>
  <c r="AN108" i="17" s="1"/>
  <c r="Z15" i="17"/>
  <c r="AK121" i="17" s="1"/>
  <c r="AL121" i="17" s="1"/>
  <c r="AN121" i="17" s="1"/>
  <c r="AK109" i="17"/>
  <c r="AL109" i="17" s="1"/>
  <c r="AN109" i="17" s="1"/>
  <c r="AA13" i="17"/>
  <c r="AK119" i="17"/>
  <c r="AL119" i="17" s="1"/>
  <c r="AN119" i="17" s="1"/>
  <c r="Z11" i="17"/>
  <c r="AK106" i="17"/>
  <c r="AL106" i="17" s="1"/>
  <c r="AN106" i="17" s="1"/>
  <c r="AM79" i="17"/>
  <c r="AM80" i="17" s="1"/>
  <c r="AA10" i="17"/>
  <c r="AB10" i="17" s="1"/>
  <c r="AC10" i="17" s="1"/>
  <c r="AD10" i="17" s="1"/>
  <c r="AE10" i="17" s="1"/>
  <c r="AF10" i="17" s="1"/>
  <c r="AG10" i="17" s="1"/>
  <c r="AH10" i="17" s="1"/>
  <c r="AI10" i="17" s="1"/>
  <c r="AK117" i="17"/>
  <c r="AL117" i="17" s="1"/>
  <c r="AN117" i="17" s="1"/>
  <c r="X21" i="17"/>
  <c r="AK91" i="17"/>
  <c r="AL91" i="17" s="1"/>
  <c r="AN91" i="17" s="1"/>
  <c r="Z19" i="17"/>
  <c r="AK113" i="17"/>
  <c r="AL113" i="17" s="1"/>
  <c r="AN113" i="17" s="1"/>
  <c r="AK92" i="17"/>
  <c r="AL92" i="17" s="1"/>
  <c r="AN92" i="17" s="1"/>
  <c r="X22" i="17"/>
  <c r="Z20" i="17"/>
  <c r="AK114" i="17"/>
  <c r="AL114" i="17" s="1"/>
  <c r="AN114" i="17" s="1"/>
  <c r="H53" i="17"/>
  <c r="I52" i="17"/>
  <c r="C48" i="17"/>
  <c r="AJ10" i="17" l="1"/>
  <c r="AK237" i="17" s="1"/>
  <c r="AL237" i="17" s="1"/>
  <c r="AN237" i="17" s="1"/>
  <c r="AK225" i="17"/>
  <c r="AL225" i="17" s="1"/>
  <c r="AN225" i="17" s="1"/>
  <c r="AJ18" i="17"/>
  <c r="AK232" i="17"/>
  <c r="AL232" i="17" s="1"/>
  <c r="AN232" i="17" s="1"/>
  <c r="AJ17" i="17"/>
  <c r="AK231" i="17"/>
  <c r="AL231" i="17" s="1"/>
  <c r="AN231" i="17" s="1"/>
  <c r="B50" i="17"/>
  <c r="K50" i="17" s="1"/>
  <c r="AK148" i="17"/>
  <c r="AL148" i="17" s="1"/>
  <c r="AN148" i="17" s="1"/>
  <c r="AK147" i="17"/>
  <c r="AL147" i="17" s="1"/>
  <c r="AN147" i="17" s="1"/>
  <c r="AB16" i="17"/>
  <c r="AC16" i="17" s="1"/>
  <c r="AD16" i="17" s="1"/>
  <c r="AE16" i="17" s="1"/>
  <c r="AF16" i="17" s="1"/>
  <c r="AG16" i="17" s="1"/>
  <c r="AH16" i="17" s="1"/>
  <c r="AI16" i="17" s="1"/>
  <c r="AB13" i="17"/>
  <c r="AC13" i="17" s="1"/>
  <c r="AD13" i="17" s="1"/>
  <c r="AE13" i="17" s="1"/>
  <c r="AF13" i="17" s="1"/>
  <c r="AG13" i="17" s="1"/>
  <c r="AH13" i="17" s="1"/>
  <c r="AI13" i="17" s="1"/>
  <c r="AK160" i="17"/>
  <c r="AK159" i="17"/>
  <c r="AK141" i="17"/>
  <c r="AK125" i="17"/>
  <c r="AL125" i="17" s="1"/>
  <c r="AN125" i="17" s="1"/>
  <c r="AK131" i="17"/>
  <c r="AL131" i="17" s="1"/>
  <c r="AN131" i="17" s="1"/>
  <c r="AK126" i="17"/>
  <c r="AL126" i="17" s="1"/>
  <c r="AN126" i="17" s="1"/>
  <c r="AK129" i="17"/>
  <c r="AL129" i="17" s="1"/>
  <c r="AN129" i="17" s="1"/>
  <c r="AK134" i="17"/>
  <c r="AL134" i="17" s="1"/>
  <c r="AN134" i="17" s="1"/>
  <c r="AA11" i="17"/>
  <c r="AB11" i="17" s="1"/>
  <c r="AC11" i="17" s="1"/>
  <c r="AD11" i="17" s="1"/>
  <c r="AE11" i="17" s="1"/>
  <c r="AF11" i="17" s="1"/>
  <c r="AG11" i="17" s="1"/>
  <c r="AH11" i="17" s="1"/>
  <c r="AI11" i="17" s="1"/>
  <c r="AK118" i="17"/>
  <c r="AL118" i="17" s="1"/>
  <c r="AN118" i="17" s="1"/>
  <c r="AA15" i="17"/>
  <c r="AA14" i="17"/>
  <c r="AK120" i="17"/>
  <c r="AL120" i="17" s="1"/>
  <c r="AN120" i="17" s="1"/>
  <c r="Y21" i="17"/>
  <c r="AK103" i="17"/>
  <c r="AL103" i="17" s="1"/>
  <c r="AN103" i="17" s="1"/>
  <c r="AA19" i="17"/>
  <c r="AM81" i="17"/>
  <c r="AA20" i="17"/>
  <c r="AK104" i="17"/>
  <c r="AL104" i="17" s="1"/>
  <c r="AN104" i="17" s="1"/>
  <c r="Y22" i="17"/>
  <c r="H54" i="17"/>
  <c r="I53" i="17"/>
  <c r="C49" i="17"/>
  <c r="Z152" i="4"/>
  <c r="Z167" i="4" s="1"/>
  <c r="AJ11" i="17" l="1"/>
  <c r="AK238" i="17" s="1"/>
  <c r="AL238" i="17" s="1"/>
  <c r="AN238" i="17" s="1"/>
  <c r="AK226" i="17"/>
  <c r="AL226" i="17" s="1"/>
  <c r="AN226" i="17" s="1"/>
  <c r="AJ13" i="17"/>
  <c r="AK239" i="17" s="1"/>
  <c r="AL239" i="17" s="1"/>
  <c r="AN239" i="17" s="1"/>
  <c r="AK227" i="17"/>
  <c r="AL227" i="17" s="1"/>
  <c r="AN227" i="17" s="1"/>
  <c r="AJ16" i="17"/>
  <c r="AK230" i="17"/>
  <c r="AL230" i="17" s="1"/>
  <c r="AN230" i="17" s="1"/>
  <c r="B51" i="17"/>
  <c r="K51" i="17" s="1"/>
  <c r="AB19" i="17"/>
  <c r="AC19" i="17" s="1"/>
  <c r="AD19" i="17" s="1"/>
  <c r="AE19" i="17" s="1"/>
  <c r="AF19" i="17" s="1"/>
  <c r="AG19" i="17" s="1"/>
  <c r="AH19" i="17" s="1"/>
  <c r="AI19" i="17" s="1"/>
  <c r="AK146" i="17"/>
  <c r="AL146" i="17" s="1"/>
  <c r="AN146" i="17" s="1"/>
  <c r="AK143" i="17"/>
  <c r="AL143" i="17" s="1"/>
  <c r="AN143" i="17" s="1"/>
  <c r="AB20" i="17"/>
  <c r="AC20" i="17" s="1"/>
  <c r="AD20" i="17" s="1"/>
  <c r="AE20" i="17" s="1"/>
  <c r="AF20" i="17" s="1"/>
  <c r="AG20" i="17" s="1"/>
  <c r="AH20" i="17" s="1"/>
  <c r="AI20" i="17" s="1"/>
  <c r="AB14" i="17"/>
  <c r="AC14" i="17" s="1"/>
  <c r="AD14" i="17" s="1"/>
  <c r="AE14" i="17" s="1"/>
  <c r="AF14" i="17" s="1"/>
  <c r="AG14" i="17" s="1"/>
  <c r="AH14" i="17" s="1"/>
  <c r="AI14" i="17" s="1"/>
  <c r="AB15" i="17"/>
  <c r="AC15" i="17" s="1"/>
  <c r="AD15" i="17" s="1"/>
  <c r="AE15" i="17" s="1"/>
  <c r="AF15" i="17" s="1"/>
  <c r="AG15" i="17" s="1"/>
  <c r="AH15" i="17" s="1"/>
  <c r="AI15" i="17" s="1"/>
  <c r="AL141" i="17"/>
  <c r="AN141" i="17" s="1"/>
  <c r="AL160" i="17"/>
  <c r="AN160" i="17" s="1"/>
  <c r="AL159" i="17"/>
  <c r="AN159" i="17" s="1"/>
  <c r="AK158" i="17"/>
  <c r="AK155" i="17"/>
  <c r="AK171" i="17"/>
  <c r="AK153" i="17"/>
  <c r="AK172" i="17"/>
  <c r="AK142" i="17"/>
  <c r="AK138" i="17"/>
  <c r="AL138" i="17" s="1"/>
  <c r="AN138" i="17" s="1"/>
  <c r="AK133" i="17"/>
  <c r="AL133" i="17" s="1"/>
  <c r="AN133" i="17" s="1"/>
  <c r="AK137" i="17"/>
  <c r="AL137" i="17" s="1"/>
  <c r="AN137" i="17" s="1"/>
  <c r="AK132" i="17"/>
  <c r="AL132" i="17" s="1"/>
  <c r="AN132" i="17" s="1"/>
  <c r="AK130" i="17"/>
  <c r="AL130" i="17" s="1"/>
  <c r="AN130" i="17" s="1"/>
  <c r="Z21" i="17"/>
  <c r="AK115" i="17"/>
  <c r="AL115" i="17" s="1"/>
  <c r="AN115" i="17" s="1"/>
  <c r="AK116" i="17"/>
  <c r="AL116" i="17" s="1"/>
  <c r="AN116" i="17" s="1"/>
  <c r="Z22" i="17"/>
  <c r="AM82" i="17"/>
  <c r="H55" i="17"/>
  <c r="I54" i="17"/>
  <c r="C50" i="17"/>
  <c r="M21" i="12"/>
  <c r="M20" i="12"/>
  <c r="M19" i="12"/>
  <c r="M18" i="12"/>
  <c r="M17" i="12"/>
  <c r="M16" i="12"/>
  <c r="M15" i="12"/>
  <c r="M14" i="12"/>
  <c r="L21" i="12"/>
  <c r="L20" i="12"/>
  <c r="L19" i="12"/>
  <c r="L18" i="12"/>
  <c r="L17" i="12"/>
  <c r="L16" i="12"/>
  <c r="L15" i="12"/>
  <c r="L14" i="12"/>
  <c r="AJ15" i="17" l="1"/>
  <c r="AK229" i="17"/>
  <c r="AL229" i="17" s="1"/>
  <c r="AN229" i="17" s="1"/>
  <c r="AJ19" i="17"/>
  <c r="AK233" i="17"/>
  <c r="AL233" i="17" s="1"/>
  <c r="AN233" i="17" s="1"/>
  <c r="AJ20" i="17"/>
  <c r="AK234" i="17"/>
  <c r="AL234" i="17" s="1"/>
  <c r="AN234" i="17" s="1"/>
  <c r="AJ14" i="17"/>
  <c r="AK240" i="17" s="1"/>
  <c r="AL240" i="17" s="1"/>
  <c r="AN240" i="17" s="1"/>
  <c r="AK228" i="17"/>
  <c r="AL228" i="17" s="1"/>
  <c r="AN228" i="17" s="1"/>
  <c r="B52" i="17"/>
  <c r="K52" i="17" s="1"/>
  <c r="AK149" i="17"/>
  <c r="AL149" i="17" s="1"/>
  <c r="AN149" i="17" s="1"/>
  <c r="AK144" i="17"/>
  <c r="AL144" i="17" s="1"/>
  <c r="AN144" i="17" s="1"/>
  <c r="AK150" i="17"/>
  <c r="AL150" i="17" s="1"/>
  <c r="AN150" i="17" s="1"/>
  <c r="AK145" i="17"/>
  <c r="AL145" i="17" s="1"/>
  <c r="AN145" i="17" s="1"/>
  <c r="AL142" i="17"/>
  <c r="AN142" i="17" s="1"/>
  <c r="AL153" i="17"/>
  <c r="AN153" i="17" s="1"/>
  <c r="AL172" i="17"/>
  <c r="AN172" i="17" s="1"/>
  <c r="AL171" i="17"/>
  <c r="AN171" i="17" s="1"/>
  <c r="AL158" i="17"/>
  <c r="AN158" i="17" s="1"/>
  <c r="AL155" i="17"/>
  <c r="AN155" i="17" s="1"/>
  <c r="AK157" i="17"/>
  <c r="AK154" i="17"/>
  <c r="AK162" i="17"/>
  <c r="AK165" i="17"/>
  <c r="AK167" i="17"/>
  <c r="AK156" i="17"/>
  <c r="AK161" i="17"/>
  <c r="AK184" i="17"/>
  <c r="AK183" i="17"/>
  <c r="AK170" i="17"/>
  <c r="AK127" i="17"/>
  <c r="AL127" i="17" s="1"/>
  <c r="AN127" i="17" s="1"/>
  <c r="AK128" i="17"/>
  <c r="AL128" i="17" s="1"/>
  <c r="AN128" i="17" s="1"/>
  <c r="AA21" i="17"/>
  <c r="AA22" i="17"/>
  <c r="AM83" i="17"/>
  <c r="H56" i="17"/>
  <c r="I55" i="17"/>
  <c r="C51" i="17"/>
  <c r="AY174" i="4"/>
  <c r="B53" i="17" l="1"/>
  <c r="K53" i="17" s="1"/>
  <c r="AB22" i="17"/>
  <c r="AC22" i="17" s="1"/>
  <c r="AD22" i="17" s="1"/>
  <c r="AE22" i="17" s="1"/>
  <c r="AF22" i="17" s="1"/>
  <c r="AG22" i="17" s="1"/>
  <c r="AH22" i="17" s="1"/>
  <c r="AB21" i="17"/>
  <c r="AC21" i="17" s="1"/>
  <c r="AD21" i="17" s="1"/>
  <c r="AE21" i="17" s="1"/>
  <c r="AF21" i="17" s="1"/>
  <c r="AG21" i="17" s="1"/>
  <c r="AH21" i="17" s="1"/>
  <c r="AI21" i="17" s="1"/>
  <c r="AL154" i="17"/>
  <c r="AN154" i="17" s="1"/>
  <c r="AL165" i="17"/>
  <c r="AN165" i="17" s="1"/>
  <c r="AL162" i="17"/>
  <c r="AN162" i="17" s="1"/>
  <c r="AL161" i="17"/>
  <c r="AN161" i="17" s="1"/>
  <c r="AL184" i="17"/>
  <c r="AN184" i="17" s="1"/>
  <c r="AL183" i="17"/>
  <c r="AN183" i="17" s="1"/>
  <c r="AL170" i="17"/>
  <c r="AN170" i="17" s="1"/>
  <c r="AL157" i="17"/>
  <c r="AN157" i="17" s="1"/>
  <c r="AL156" i="17"/>
  <c r="AN156" i="17" s="1"/>
  <c r="AL167" i="17"/>
  <c r="AN167" i="17" s="1"/>
  <c r="AK182" i="17"/>
  <c r="AK196" i="17"/>
  <c r="AK168" i="17"/>
  <c r="AK177" i="17"/>
  <c r="AK166" i="17"/>
  <c r="AK195" i="17"/>
  <c r="AK173" i="17"/>
  <c r="AK179" i="17"/>
  <c r="AK174" i="17"/>
  <c r="AK169" i="17"/>
  <c r="AK139" i="17"/>
  <c r="AL139" i="17" s="1"/>
  <c r="AN139" i="17" s="1"/>
  <c r="AK140" i="17"/>
  <c r="AL140" i="17" s="1"/>
  <c r="AN140" i="17" s="1"/>
  <c r="AM84" i="17"/>
  <c r="H57" i="17"/>
  <c r="I56" i="17"/>
  <c r="C52" i="17"/>
  <c r="V324" i="4"/>
  <c r="I29" i="12"/>
  <c r="D59" i="1"/>
  <c r="AJ70" i="16"/>
  <c r="AJ21" i="17" l="1"/>
  <c r="AK235" i="17"/>
  <c r="AL235" i="17" s="1"/>
  <c r="AN235" i="17" s="1"/>
  <c r="AI22" i="17"/>
  <c r="AK224" i="17"/>
  <c r="AL224" i="17" s="1"/>
  <c r="AN224" i="17" s="1"/>
  <c r="B54" i="17"/>
  <c r="K54" i="17" s="1"/>
  <c r="AK152" i="17"/>
  <c r="AL152" i="17" s="1"/>
  <c r="AN152" i="17" s="1"/>
  <c r="AK151" i="17"/>
  <c r="AL151" i="17" s="1"/>
  <c r="AN151" i="17" s="1"/>
  <c r="AL166" i="17"/>
  <c r="AN166" i="17" s="1"/>
  <c r="AL177" i="17"/>
  <c r="AN177" i="17" s="1"/>
  <c r="AL174" i="17"/>
  <c r="AN174" i="17" s="1"/>
  <c r="AL173" i="17"/>
  <c r="AN173" i="17" s="1"/>
  <c r="AL196" i="17"/>
  <c r="AN196" i="17" s="1"/>
  <c r="AL195" i="17"/>
  <c r="AN195" i="17" s="1"/>
  <c r="AL182" i="17"/>
  <c r="AN182" i="17" s="1"/>
  <c r="AL169" i="17"/>
  <c r="AN169" i="17" s="1"/>
  <c r="AL168" i="17"/>
  <c r="AN168" i="17" s="1"/>
  <c r="AL179" i="17"/>
  <c r="AN179" i="17" s="1"/>
  <c r="AK163" i="17"/>
  <c r="AK186" i="17"/>
  <c r="AK185" i="17"/>
  <c r="AK178" i="17"/>
  <c r="AK180" i="17"/>
  <c r="AK194" i="17"/>
  <c r="AK181" i="17"/>
  <c r="AK191" i="17"/>
  <c r="AK207" i="17"/>
  <c r="AK189" i="17"/>
  <c r="AK208" i="17"/>
  <c r="AK164" i="17"/>
  <c r="AM85" i="17"/>
  <c r="H58" i="17"/>
  <c r="I57" i="17"/>
  <c r="C53" i="17"/>
  <c r="AP170" i="4"/>
  <c r="AI170" i="4"/>
  <c r="AJ22" i="17" l="1"/>
  <c r="AK236" i="17"/>
  <c r="AL236" i="17" s="1"/>
  <c r="AN236" i="17" s="1"/>
  <c r="B55" i="17"/>
  <c r="K55" i="17" s="1"/>
  <c r="AL178" i="17"/>
  <c r="AN178" i="17" s="1"/>
  <c r="AL189" i="17"/>
  <c r="AN189" i="17" s="1"/>
  <c r="AL164" i="17"/>
  <c r="AN164" i="17" s="1"/>
  <c r="AL163" i="17"/>
  <c r="AN163" i="17" s="1"/>
  <c r="AL186" i="17"/>
  <c r="AN186" i="17" s="1"/>
  <c r="AL185" i="17"/>
  <c r="AN185" i="17" s="1"/>
  <c r="AL208" i="17"/>
  <c r="AN208" i="17" s="1"/>
  <c r="AL207" i="17"/>
  <c r="AN207" i="17" s="1"/>
  <c r="AL194" i="17"/>
  <c r="AN194" i="17" s="1"/>
  <c r="AL181" i="17"/>
  <c r="AN181" i="17" s="1"/>
  <c r="AL180" i="17"/>
  <c r="AN180" i="17" s="1"/>
  <c r="AL191" i="17"/>
  <c r="AN191" i="17" s="1"/>
  <c r="AK220" i="17"/>
  <c r="AK219" i="17"/>
  <c r="AK193" i="17"/>
  <c r="AK192" i="17"/>
  <c r="AK197" i="17"/>
  <c r="AK175" i="17"/>
  <c r="AK176" i="17"/>
  <c r="AK201" i="17"/>
  <c r="AK203" i="17"/>
  <c r="AK206" i="17"/>
  <c r="AK190" i="17"/>
  <c r="AK198" i="17"/>
  <c r="AM86" i="17"/>
  <c r="H59" i="17"/>
  <c r="I58" i="17"/>
  <c r="C54" i="17"/>
  <c r="B59" i="1"/>
  <c r="B56" i="17" l="1"/>
  <c r="K56" i="17" s="1"/>
  <c r="AL190" i="17"/>
  <c r="AN190" i="17" s="1"/>
  <c r="AL201" i="17"/>
  <c r="AN201" i="17" s="1"/>
  <c r="AL176" i="17"/>
  <c r="AN176" i="17" s="1"/>
  <c r="AL175" i="17"/>
  <c r="AN175" i="17" s="1"/>
  <c r="AL198" i="17"/>
  <c r="AN198" i="17" s="1"/>
  <c r="AL197" i="17"/>
  <c r="AN197" i="17" s="1"/>
  <c r="AL220" i="17"/>
  <c r="AN220" i="17" s="1"/>
  <c r="AL219" i="17"/>
  <c r="AN219" i="17" s="1"/>
  <c r="AL206" i="17"/>
  <c r="AN206" i="17" s="1"/>
  <c r="AL193" i="17"/>
  <c r="AN193" i="17" s="1"/>
  <c r="AL192" i="17"/>
  <c r="AN192" i="17" s="1"/>
  <c r="AL203" i="17"/>
  <c r="AN203" i="17" s="1"/>
  <c r="AK202" i="17"/>
  <c r="AK215" i="17"/>
  <c r="AK188" i="17"/>
  <c r="AK209" i="17"/>
  <c r="AK205" i="17"/>
  <c r="AK244" i="17"/>
  <c r="AK210" i="17"/>
  <c r="AK218" i="17"/>
  <c r="AK213" i="17"/>
  <c r="AK187" i="17"/>
  <c r="AK204" i="17"/>
  <c r="AK243" i="17"/>
  <c r="AM87" i="17"/>
  <c r="H60" i="17"/>
  <c r="I59" i="17"/>
  <c r="C55" i="17"/>
  <c r="BT36" i="16"/>
  <c r="BT38" i="16" s="1"/>
  <c r="BP36" i="16"/>
  <c r="BP38" i="16" s="1"/>
  <c r="BL36" i="16"/>
  <c r="BL38" i="16" s="1"/>
  <c r="BH36" i="16"/>
  <c r="BH38" i="16" s="1"/>
  <c r="BD36" i="16"/>
  <c r="BD38" i="16" s="1"/>
  <c r="AZ36" i="16"/>
  <c r="AZ38" i="16" s="1"/>
  <c r="AV36" i="16"/>
  <c r="AV38" i="16" s="1"/>
  <c r="AR36" i="16"/>
  <c r="AR38" i="16" s="1"/>
  <c r="AN36" i="16"/>
  <c r="AN38" i="16" s="1"/>
  <c r="AJ36" i="16"/>
  <c r="AJ38" i="16" s="1"/>
  <c r="AF36" i="16"/>
  <c r="AF38" i="16" s="1"/>
  <c r="AB36" i="16"/>
  <c r="AB38" i="16" s="1"/>
  <c r="X36" i="16"/>
  <c r="X38" i="16" s="1"/>
  <c r="T36" i="16"/>
  <c r="T38" i="16" s="1"/>
  <c r="P36" i="16"/>
  <c r="P38" i="16" s="1"/>
  <c r="BU13" i="16"/>
  <c r="BU16" i="16" s="1"/>
  <c r="BU18" i="16" s="1"/>
  <c r="BU24" i="16" s="1"/>
  <c r="BQ13" i="16"/>
  <c r="BQ16" i="16" s="1"/>
  <c r="BQ18" i="16" s="1"/>
  <c r="BQ24" i="16" s="1"/>
  <c r="BM13" i="16"/>
  <c r="BM16" i="16" s="1"/>
  <c r="BM18" i="16" s="1"/>
  <c r="BM24" i="16" s="1"/>
  <c r="BI13" i="16"/>
  <c r="BI16" i="16" s="1"/>
  <c r="BI18" i="16" s="1"/>
  <c r="BI24" i="16" s="1"/>
  <c r="BE13" i="16"/>
  <c r="BE16" i="16" s="1"/>
  <c r="BE18" i="16" s="1"/>
  <c r="BE24" i="16" s="1"/>
  <c r="BA13" i="16"/>
  <c r="BA16" i="16" s="1"/>
  <c r="BA18" i="16" s="1"/>
  <c r="BA24" i="16" s="1"/>
  <c r="AW13" i="16"/>
  <c r="AW16" i="16" s="1"/>
  <c r="AW18" i="16" s="1"/>
  <c r="AW24" i="16" s="1"/>
  <c r="AS13" i="16"/>
  <c r="AS16" i="16" s="1"/>
  <c r="AS18" i="16" s="1"/>
  <c r="AS24" i="16" s="1"/>
  <c r="AO13" i="16"/>
  <c r="AO16" i="16" s="1"/>
  <c r="AO18" i="16" s="1"/>
  <c r="AO24" i="16" s="1"/>
  <c r="AK13" i="16"/>
  <c r="AK16" i="16" s="1"/>
  <c r="AK18" i="16" s="1"/>
  <c r="AK24" i="16" s="1"/>
  <c r="AG13" i="16"/>
  <c r="AG16" i="16" s="1"/>
  <c r="AG18" i="16" s="1"/>
  <c r="AG24" i="16" s="1"/>
  <c r="AC13" i="16"/>
  <c r="AC16" i="16" s="1"/>
  <c r="AC18" i="16" s="1"/>
  <c r="AC24" i="16" s="1"/>
  <c r="Y13" i="16"/>
  <c r="Y16" i="16" s="1"/>
  <c r="Y18" i="16" s="1"/>
  <c r="Y24" i="16" s="1"/>
  <c r="U13" i="16"/>
  <c r="U16" i="16" s="1"/>
  <c r="U18" i="16" s="1"/>
  <c r="U24" i="16" s="1"/>
  <c r="Q13" i="16"/>
  <c r="Q16" i="16" s="1"/>
  <c r="Q18" i="16" s="1"/>
  <c r="Q24" i="16" s="1"/>
  <c r="Q25" i="16" s="1"/>
  <c r="B57" i="17" l="1"/>
  <c r="K57" i="17" s="1"/>
  <c r="AL202" i="17"/>
  <c r="AN202" i="17" s="1"/>
  <c r="AL213" i="17"/>
  <c r="AN213" i="17" s="1"/>
  <c r="AL188" i="17"/>
  <c r="AN188" i="17" s="1"/>
  <c r="AL187" i="17"/>
  <c r="AN187" i="17" s="1"/>
  <c r="AL210" i="17"/>
  <c r="AN210" i="17" s="1"/>
  <c r="AL209" i="17"/>
  <c r="AN209" i="17" s="1"/>
  <c r="AL244" i="17"/>
  <c r="AN244" i="17" s="1"/>
  <c r="AL243" i="17"/>
  <c r="AN243" i="17" s="1"/>
  <c r="AL218" i="17"/>
  <c r="AN218" i="17" s="1"/>
  <c r="AL205" i="17"/>
  <c r="AN205" i="17" s="1"/>
  <c r="AL204" i="17"/>
  <c r="AN204" i="17" s="1"/>
  <c r="AL215" i="17"/>
  <c r="AN215" i="17" s="1"/>
  <c r="AK216" i="17"/>
  <c r="AK222" i="17"/>
  <c r="AK217" i="17"/>
  <c r="AK200" i="17"/>
  <c r="AK214" i="17"/>
  <c r="AK199" i="17"/>
  <c r="AK242" i="17"/>
  <c r="AK221" i="17"/>
  <c r="AM88" i="17"/>
  <c r="H61" i="17"/>
  <c r="I60" i="17"/>
  <c r="C56" i="17"/>
  <c r="U25" i="16"/>
  <c r="Y25" i="16" s="1"/>
  <c r="AC25" i="16" s="1"/>
  <c r="AG25" i="16" s="1"/>
  <c r="AK25" i="16" s="1"/>
  <c r="AO25" i="16" s="1"/>
  <c r="AS25" i="16" s="1"/>
  <c r="AW25" i="16" s="1"/>
  <c r="BA25" i="16" s="1"/>
  <c r="BE25" i="16" s="1"/>
  <c r="BI25" i="16" s="1"/>
  <c r="BM25" i="16" s="1"/>
  <c r="BQ25" i="16" s="1"/>
  <c r="BU25" i="16" s="1"/>
  <c r="E22" i="12"/>
  <c r="F22" i="12"/>
  <c r="G22" i="12"/>
  <c r="H22" i="12"/>
  <c r="I22" i="12"/>
  <c r="J22" i="12"/>
  <c r="K22" i="12"/>
  <c r="D22" i="12"/>
  <c r="B58" i="17" l="1"/>
  <c r="K58" i="17" s="1"/>
  <c r="AL214" i="17"/>
  <c r="AN214" i="17" s="1"/>
  <c r="AL200" i="17"/>
  <c r="AN200" i="17" s="1"/>
  <c r="AL199" i="17"/>
  <c r="AN199" i="17" s="1"/>
  <c r="AL222" i="17"/>
  <c r="AN222" i="17" s="1"/>
  <c r="AL221" i="17"/>
  <c r="AN221" i="17" s="1"/>
  <c r="AL242" i="17"/>
  <c r="AN242" i="17" s="1"/>
  <c r="AL217" i="17"/>
  <c r="AN217" i="17" s="1"/>
  <c r="AL216" i="17"/>
  <c r="AN216" i="17" s="1"/>
  <c r="AK241" i="17"/>
  <c r="AK245" i="17"/>
  <c r="AK211" i="17"/>
  <c r="AK212" i="17"/>
  <c r="AK246" i="17"/>
  <c r="AM89" i="17"/>
  <c r="AM90" i="17" s="1"/>
  <c r="AM91" i="17" s="1"/>
  <c r="AM92" i="17" s="1"/>
  <c r="AM93" i="17" s="1"/>
  <c r="AM94" i="17" s="1"/>
  <c r="AM95" i="17" s="1"/>
  <c r="AM96" i="17" s="1"/>
  <c r="AM97" i="17" s="1"/>
  <c r="AM98" i="17" s="1"/>
  <c r="AM99" i="17" s="1"/>
  <c r="AM100" i="17" s="1"/>
  <c r="AM101" i="17" s="1"/>
  <c r="AM102" i="17" s="1"/>
  <c r="AM103" i="17" s="1"/>
  <c r="AM104" i="17" s="1"/>
  <c r="AM105" i="17" s="1"/>
  <c r="AM106" i="17" s="1"/>
  <c r="AM107" i="17" s="1"/>
  <c r="AM108" i="17" s="1"/>
  <c r="AM109" i="17" s="1"/>
  <c r="AM110" i="17" s="1"/>
  <c r="AM111" i="17" s="1"/>
  <c r="AM112" i="17" s="1"/>
  <c r="AM113" i="17" s="1"/>
  <c r="AM114" i="17" s="1"/>
  <c r="AM115" i="17" s="1"/>
  <c r="AM116" i="17" s="1"/>
  <c r="AM117" i="17" s="1"/>
  <c r="AM118" i="17" s="1"/>
  <c r="AM119" i="17" s="1"/>
  <c r="AM120" i="17" s="1"/>
  <c r="H62" i="17"/>
  <c r="I61" i="17"/>
  <c r="C57" i="17"/>
  <c r="L22" i="12"/>
  <c r="M22" i="12"/>
  <c r="AH204" i="4"/>
  <c r="Y204" i="4"/>
  <c r="S204" i="4"/>
  <c r="AH198" i="4"/>
  <c r="Y198" i="4"/>
  <c r="S198" i="4"/>
  <c r="AH192" i="4"/>
  <c r="Y192" i="4"/>
  <c r="S192" i="4"/>
  <c r="AP152" i="4"/>
  <c r="AP167" i="4" s="1"/>
  <c r="AI152" i="4"/>
  <c r="AI167" i="4" s="1"/>
  <c r="AP178" i="4" l="1"/>
  <c r="AI178" i="4"/>
  <c r="B59" i="17"/>
  <c r="K59" i="17" s="1"/>
  <c r="AL212" i="17"/>
  <c r="AN212" i="17" s="1"/>
  <c r="AL211" i="17"/>
  <c r="AN211" i="17" s="1"/>
  <c r="AL246" i="17"/>
  <c r="AN246" i="17" s="1"/>
  <c r="AL245" i="17"/>
  <c r="AN245" i="17" s="1"/>
  <c r="AL241" i="17"/>
  <c r="AN241" i="17" s="1"/>
  <c r="AK223" i="17"/>
  <c r="AM121" i="17"/>
  <c r="AH213" i="4"/>
  <c r="D51" i="17"/>
  <c r="D45" i="17"/>
  <c r="D49" i="17"/>
  <c r="D46" i="17"/>
  <c r="D47" i="17"/>
  <c r="D50" i="17"/>
  <c r="D42" i="17"/>
  <c r="D37" i="17"/>
  <c r="D39" i="17"/>
  <c r="D38" i="17"/>
  <c r="D40" i="17"/>
  <c r="D41" i="17"/>
  <c r="D44" i="17"/>
  <c r="D48" i="17"/>
  <c r="D43" i="17"/>
  <c r="H63" i="17"/>
  <c r="I62" i="17"/>
  <c r="C58" i="17"/>
  <c r="Z178" i="4"/>
  <c r="AY152" i="4"/>
  <c r="AY148" i="4"/>
  <c r="AY146" i="4"/>
  <c r="AY144" i="4"/>
  <c r="O37" i="17" l="1"/>
  <c r="H9" i="17" s="1"/>
  <c r="H11" i="17"/>
  <c r="B60" i="17"/>
  <c r="K60" i="17" s="1"/>
  <c r="AL223" i="17"/>
  <c r="AN223" i="17" s="1"/>
  <c r="AM122" i="17"/>
  <c r="AK248" i="17"/>
  <c r="AK247" i="17"/>
  <c r="S39" i="17"/>
  <c r="S40" i="17"/>
  <c r="H64" i="17"/>
  <c r="I63" i="17"/>
  <c r="C59" i="17"/>
  <c r="AY150" i="4"/>
  <c r="AY154" i="4"/>
  <c r="AY156" i="4"/>
  <c r="AY158" i="4"/>
  <c r="AY160" i="4"/>
  <c r="AY162" i="4"/>
  <c r="AY170" i="4"/>
  <c r="AY172" i="4"/>
  <c r="AY176" i="4"/>
  <c r="AO192" i="4"/>
  <c r="AO194" i="4"/>
  <c r="AO196" i="4"/>
  <c r="AO202" i="4"/>
  <c r="AO206" i="4"/>
  <c r="AO208" i="4"/>
  <c r="AO211" i="4"/>
  <c r="D52" i="17" l="1"/>
  <c r="B61" i="17"/>
  <c r="K61" i="17" s="1"/>
  <c r="AL248" i="17"/>
  <c r="AN248" i="17" s="1"/>
  <c r="AL247" i="17"/>
  <c r="AN247" i="17" s="1"/>
  <c r="AM123" i="17"/>
  <c r="H65" i="17"/>
  <c r="I64" i="17"/>
  <c r="C60" i="17"/>
  <c r="AO198" i="4"/>
  <c r="Y213" i="4"/>
  <c r="S213" i="4"/>
  <c r="AO204" i="4"/>
  <c r="B62" i="17" l="1"/>
  <c r="K62" i="17" s="1"/>
  <c r="AM124" i="17"/>
  <c r="H66" i="17"/>
  <c r="I65" i="17"/>
  <c r="C61" i="17"/>
  <c r="AO213" i="4"/>
  <c r="AY167" i="4"/>
  <c r="M197" i="4" s="1"/>
  <c r="AY178" i="4"/>
  <c r="B63" i="17" l="1"/>
  <c r="K63" i="17" s="1"/>
  <c r="AM125" i="17"/>
  <c r="H67" i="17"/>
  <c r="I66" i="17"/>
  <c r="C62" i="17"/>
  <c r="AH193" i="4"/>
  <c r="D216" i="4"/>
  <c r="C19" i="5"/>
  <c r="B64" i="17" l="1"/>
  <c r="K64" i="17" s="1"/>
  <c r="AM126" i="17"/>
  <c r="H68" i="17"/>
  <c r="I67" i="17"/>
  <c r="C63" i="17"/>
  <c r="CD223" i="4"/>
  <c r="CD224" i="4"/>
  <c r="CD225" i="4"/>
  <c r="CD226" i="4"/>
  <c r="CD227" i="4"/>
  <c r="CD228" i="4"/>
  <c r="CD229" i="4"/>
  <c r="CD230" i="4"/>
  <c r="B65" i="17" l="1"/>
  <c r="K65" i="17" s="1"/>
  <c r="AM127" i="17"/>
  <c r="H69" i="17"/>
  <c r="I68" i="17"/>
  <c r="C64" i="17"/>
  <c r="B66" i="17" l="1"/>
  <c r="K66" i="17" s="1"/>
  <c r="AM128" i="17"/>
  <c r="H70" i="17"/>
  <c r="I69" i="17"/>
  <c r="C65" i="17"/>
  <c r="B67" i="17" l="1"/>
  <c r="K67" i="17" s="1"/>
  <c r="AM129" i="17"/>
  <c r="H71" i="17"/>
  <c r="I70" i="17"/>
  <c r="C66" i="17"/>
  <c r="L19" i="3"/>
  <c r="L15" i="3"/>
  <c r="L16" i="3"/>
  <c r="B68" i="17" l="1"/>
  <c r="K68" i="17" s="1"/>
  <c r="AM130" i="17"/>
  <c r="H72" i="17"/>
  <c r="I71" i="17"/>
  <c r="D67" i="17"/>
  <c r="C67" i="17"/>
  <c r="B69" i="17" l="1"/>
  <c r="K69" i="17" s="1"/>
  <c r="AM131" i="17"/>
  <c r="H73" i="17"/>
  <c r="I72" i="17"/>
  <c r="C68" i="17"/>
  <c r="D68" i="17"/>
  <c r="E32" i="1"/>
  <c r="D53" i="17" l="1"/>
  <c r="B70" i="17"/>
  <c r="K70" i="17" s="1"/>
  <c r="AM132" i="17"/>
  <c r="H74" i="17"/>
  <c r="I73" i="17"/>
  <c r="C69" i="17"/>
  <c r="D69" i="17"/>
  <c r="B71" i="17" l="1"/>
  <c r="K71" i="17" s="1"/>
  <c r="AM133" i="17"/>
  <c r="AM134" i="17" s="1"/>
  <c r="AM135" i="17" s="1"/>
  <c r="AM136" i="17" s="1"/>
  <c r="AM137" i="17" s="1"/>
  <c r="AM138" i="17" s="1"/>
  <c r="AM139" i="17" s="1"/>
  <c r="AM140" i="17" s="1"/>
  <c r="AM141" i="17" s="1"/>
  <c r="AM142" i="17" s="1"/>
  <c r="AM143" i="17" s="1"/>
  <c r="AM144" i="17" s="1"/>
  <c r="AM145" i="17" s="1"/>
  <c r="AM146" i="17" s="1"/>
  <c r="AM147" i="17" s="1"/>
  <c r="AM148" i="17" s="1"/>
  <c r="AM149" i="17" s="1"/>
  <c r="AM150" i="17" s="1"/>
  <c r="AM151" i="17" s="1"/>
  <c r="AM152" i="17" s="1"/>
  <c r="AM153" i="17" s="1"/>
  <c r="AM154" i="17" s="1"/>
  <c r="AM155" i="17" s="1"/>
  <c r="AM156" i="17" s="1"/>
  <c r="AM157" i="17" s="1"/>
  <c r="AM158" i="17" s="1"/>
  <c r="AM159" i="17" s="1"/>
  <c r="AM160" i="17" s="1"/>
  <c r="AM161" i="17" s="1"/>
  <c r="AM162" i="17" s="1"/>
  <c r="AM163" i="17" s="1"/>
  <c r="AM164" i="17" s="1"/>
  <c r="AM165" i="17" s="1"/>
  <c r="AM166" i="17" s="1"/>
  <c r="AM167" i="17" s="1"/>
  <c r="AM168" i="17" s="1"/>
  <c r="AM169" i="17" s="1"/>
  <c r="AM170" i="17" s="1"/>
  <c r="AM171" i="17" s="1"/>
  <c r="AM172" i="17" s="1"/>
  <c r="AM173" i="17" s="1"/>
  <c r="AM174" i="17" s="1"/>
  <c r="AM175" i="17" s="1"/>
  <c r="AM176" i="17" s="1"/>
  <c r="AM177" i="17" s="1"/>
  <c r="AM178" i="17" s="1"/>
  <c r="AM179" i="17" s="1"/>
  <c r="AM180" i="17" s="1"/>
  <c r="AM181" i="17" s="1"/>
  <c r="AM182" i="17" s="1"/>
  <c r="AM183" i="17" s="1"/>
  <c r="AM184" i="17" s="1"/>
  <c r="AM185" i="17" s="1"/>
  <c r="AM186" i="17" s="1"/>
  <c r="AM187" i="17" s="1"/>
  <c r="AM188" i="17" s="1"/>
  <c r="AM189" i="17" s="1"/>
  <c r="AM190" i="17" s="1"/>
  <c r="AM191" i="17" s="1"/>
  <c r="AM192" i="17" s="1"/>
  <c r="AM193" i="17" s="1"/>
  <c r="AM194" i="17" s="1"/>
  <c r="AM195" i="17" s="1"/>
  <c r="AM196" i="17" s="1"/>
  <c r="AM197" i="17" s="1"/>
  <c r="AM198" i="17" s="1"/>
  <c r="AM199" i="17" s="1"/>
  <c r="AM200" i="17" s="1"/>
  <c r="AM201" i="17" s="1"/>
  <c r="AM202" i="17" s="1"/>
  <c r="AM203" i="17" s="1"/>
  <c r="AM204" i="17" s="1"/>
  <c r="AM205" i="17" s="1"/>
  <c r="AM206" i="17" s="1"/>
  <c r="AM207" i="17" s="1"/>
  <c r="AM208" i="17" s="1"/>
  <c r="AM209" i="17" s="1"/>
  <c r="AM210" i="17" s="1"/>
  <c r="AM211" i="17" s="1"/>
  <c r="AM212" i="17" s="1"/>
  <c r="AM213" i="17" s="1"/>
  <c r="AM214" i="17" s="1"/>
  <c r="AM215" i="17" s="1"/>
  <c r="AM216" i="17" s="1"/>
  <c r="AM217" i="17" s="1"/>
  <c r="AM218" i="17" s="1"/>
  <c r="AM219" i="17" s="1"/>
  <c r="AM220" i="17" s="1"/>
  <c r="AM221" i="17" s="1"/>
  <c r="AM222" i="17" s="1"/>
  <c r="AM223" i="17" s="1"/>
  <c r="H75" i="17"/>
  <c r="I74" i="17"/>
  <c r="D70" i="17"/>
  <c r="C70" i="17"/>
  <c r="B43" i="1"/>
  <c r="C43" i="1" s="1"/>
  <c r="C40" i="1"/>
  <c r="C41" i="1"/>
  <c r="L8" i="3"/>
  <c r="AM224" i="17" l="1"/>
  <c r="AM225" i="17" s="1"/>
  <c r="AM226" i="17" s="1"/>
  <c r="AM227" i="17" s="1"/>
  <c r="AM228" i="17" s="1"/>
  <c r="AM229" i="17" s="1"/>
  <c r="AM230" i="17" s="1"/>
  <c r="AM231" i="17" s="1"/>
  <c r="AM232" i="17" s="1"/>
  <c r="AM233" i="17" s="1"/>
  <c r="AM234" i="17" s="1"/>
  <c r="AM235" i="17" s="1"/>
  <c r="AM236" i="17" s="1"/>
  <c r="AM237" i="17" s="1"/>
  <c r="AM238" i="17" s="1"/>
  <c r="AM239" i="17" s="1"/>
  <c r="AM240" i="17" s="1"/>
  <c r="AM241" i="17" s="1"/>
  <c r="AM242" i="17" s="1"/>
  <c r="AM243" i="17" s="1"/>
  <c r="AM244" i="17" s="1"/>
  <c r="AM245" i="17" s="1"/>
  <c r="AM246" i="17" s="1"/>
  <c r="AM247" i="17" s="1"/>
  <c r="AM248" i="17" s="1"/>
  <c r="B72" i="17"/>
  <c r="K72" i="17" s="1"/>
  <c r="D63" i="17"/>
  <c r="D65" i="17"/>
  <c r="D56" i="17"/>
  <c r="D54" i="17"/>
  <c r="D59" i="17"/>
  <c r="D60" i="17"/>
  <c r="D57" i="17"/>
  <c r="D58" i="17"/>
  <c r="D55" i="17"/>
  <c r="D61" i="17"/>
  <c r="D66" i="17"/>
  <c r="D62" i="17"/>
  <c r="D64" i="17"/>
  <c r="H76" i="17"/>
  <c r="I75" i="17"/>
  <c r="D71" i="17"/>
  <c r="C71" i="17"/>
  <c r="B73" i="17" l="1"/>
  <c r="K73" i="17" s="1"/>
  <c r="H77" i="17"/>
  <c r="I76" i="17"/>
  <c r="C72" i="17"/>
  <c r="D72" i="17"/>
  <c r="L14" i="3"/>
  <c r="L13" i="3"/>
  <c r="B74" i="17" l="1"/>
  <c r="K74" i="17" s="1"/>
  <c r="H78" i="17"/>
  <c r="I77" i="17"/>
  <c r="C73" i="17"/>
  <c r="D73" i="17"/>
  <c r="D35" i="1"/>
  <c r="B75" i="17" l="1"/>
  <c r="K75" i="17" s="1"/>
  <c r="K15" i="1"/>
  <c r="M16" i="1"/>
  <c r="K16" i="1"/>
  <c r="K17" i="1"/>
  <c r="H79" i="17"/>
  <c r="I78" i="17"/>
  <c r="D74" i="17"/>
  <c r="C74" i="17"/>
  <c r="L11" i="3"/>
  <c r="L10" i="3"/>
  <c r="C26" i="5"/>
  <c r="B76" i="17" l="1"/>
  <c r="K76" i="17" s="1"/>
  <c r="H80" i="17"/>
  <c r="I79" i="17"/>
  <c r="D75" i="17"/>
  <c r="C75" i="17"/>
  <c r="L9" i="3"/>
  <c r="L7" i="3"/>
  <c r="L6" i="3"/>
  <c r="L5" i="3"/>
  <c r="B77" i="17" l="1"/>
  <c r="K77" i="17" s="1"/>
  <c r="H81" i="17"/>
  <c r="I80" i="17"/>
  <c r="C76" i="17"/>
  <c r="D76" i="17"/>
  <c r="D103" i="4"/>
  <c r="B78" i="17" l="1"/>
  <c r="K78" i="17" s="1"/>
  <c r="H82" i="17"/>
  <c r="I81" i="17"/>
  <c r="C77" i="17"/>
  <c r="D77" i="17"/>
  <c r="D24" i="5"/>
  <c r="C29" i="1"/>
  <c r="C28" i="1"/>
  <c r="C25" i="1"/>
  <c r="C24" i="1"/>
  <c r="C21" i="1"/>
  <c r="C20" i="1"/>
  <c r="C13" i="1"/>
  <c r="C11" i="1"/>
  <c r="C39" i="1"/>
  <c r="B79" i="17" l="1"/>
  <c r="K79" i="17" s="1"/>
  <c r="H83" i="17"/>
  <c r="I82" i="17"/>
  <c r="D78" i="17"/>
  <c r="C78" i="17"/>
  <c r="C35" i="1"/>
  <c r="B80" i="17" l="1"/>
  <c r="K80" i="17" s="1"/>
  <c r="H84" i="17"/>
  <c r="I83" i="17"/>
  <c r="D79" i="17"/>
  <c r="C79" i="17"/>
  <c r="C17" i="5"/>
  <c r="D3" i="5"/>
  <c r="D32" i="1"/>
  <c r="C3" i="5"/>
  <c r="J2" i="5" s="1"/>
  <c r="B81" i="17" l="1"/>
  <c r="K81" i="17" s="1"/>
  <c r="V2" i="5"/>
  <c r="H85" i="17"/>
  <c r="I84" i="17"/>
  <c r="C80" i="17"/>
  <c r="D80" i="17"/>
  <c r="C18" i="5"/>
  <c r="B82" i="17" l="1"/>
  <c r="K82" i="17" s="1"/>
  <c r="H86" i="17"/>
  <c r="I85" i="17"/>
  <c r="C81" i="17"/>
  <c r="D81" i="17"/>
  <c r="B83" i="17" l="1"/>
  <c r="K83" i="17" s="1"/>
  <c r="H87" i="17"/>
  <c r="I86" i="17"/>
  <c r="D82" i="17"/>
  <c r="C82" i="17"/>
  <c r="B84" i="17" l="1"/>
  <c r="K84" i="17" s="1"/>
  <c r="H88" i="17"/>
  <c r="I87" i="17"/>
  <c r="D83" i="17"/>
  <c r="C83" i="17"/>
  <c r="CE310" i="4"/>
  <c r="BV297" i="4"/>
  <c r="S294" i="4"/>
  <c r="C1" i="2"/>
  <c r="G47" i="1"/>
  <c r="I47" i="1" s="1"/>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189" i="2"/>
  <c r="C188" i="2"/>
  <c r="O44" i="1"/>
  <c r="O41" i="1"/>
  <c r="O38" i="1"/>
  <c r="G50" i="1"/>
  <c r="N44" i="1"/>
  <c r="N41" i="1"/>
  <c r="N38" i="1"/>
  <c r="M41" i="1"/>
  <c r="M44" i="1"/>
  <c r="M38" i="1"/>
  <c r="N32" i="1"/>
  <c r="O88" i="2"/>
  <c r="O89" i="2"/>
  <c r="O90" i="2"/>
  <c r="O82" i="2"/>
  <c r="O83" i="2"/>
  <c r="O84" i="2"/>
  <c r="O85" i="2"/>
  <c r="O86" i="2"/>
  <c r="O87" i="2"/>
  <c r="O77" i="2"/>
  <c r="O78" i="2"/>
  <c r="O79" i="2"/>
  <c r="O80" i="2"/>
  <c r="O81" i="2"/>
  <c r="G48" i="1"/>
  <c r="L44" i="1"/>
  <c r="L41" i="1"/>
  <c r="L38" i="1"/>
  <c r="K44" i="1"/>
  <c r="K41" i="1"/>
  <c r="K38" i="1"/>
  <c r="J38" i="1"/>
  <c r="J41" i="1"/>
  <c r="J44" i="1"/>
  <c r="I44" i="1"/>
  <c r="I41" i="1"/>
  <c r="I38" i="1"/>
  <c r="H38" i="1"/>
  <c r="H41" i="1"/>
  <c r="H44" i="1"/>
  <c r="G44" i="1"/>
  <c r="G41" i="1"/>
  <c r="G38" i="1"/>
  <c r="C2" i="2"/>
  <c r="C3"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97" i="2"/>
  <c r="C96" i="2"/>
  <c r="C94" i="2"/>
  <c r="C95" i="2"/>
  <c r="C90" i="2"/>
  <c r="C91" i="2"/>
  <c r="C92" i="2"/>
  <c r="C93"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4" i="2"/>
  <c r="O57" i="2"/>
  <c r="O58" i="2"/>
  <c r="O59" i="2"/>
  <c r="O60" i="2"/>
  <c r="O61" i="2"/>
  <c r="O62" i="2"/>
  <c r="O63" i="2"/>
  <c r="O64" i="2"/>
  <c r="O65" i="2"/>
  <c r="O66" i="2"/>
  <c r="O67" i="2"/>
  <c r="O68" i="2"/>
  <c r="O69" i="2"/>
  <c r="O70" i="2"/>
  <c r="O71" i="2"/>
  <c r="O72" i="2"/>
  <c r="O73" i="2"/>
  <c r="O74" i="2"/>
  <c r="O75" i="2"/>
  <c r="O76" i="2"/>
  <c r="O56" i="2"/>
  <c r="B85" i="17" l="1"/>
  <c r="K85" i="17" s="1"/>
  <c r="H89" i="17"/>
  <c r="I88" i="17"/>
  <c r="C84" i="17"/>
  <c r="D84" i="17"/>
  <c r="CE309" i="4"/>
  <c r="CB311" i="4" s="1"/>
  <c r="CB320" i="4" s="1"/>
  <c r="L47" i="1"/>
  <c r="J47" i="1"/>
  <c r="G49" i="1"/>
  <c r="O47" i="1" s="1"/>
  <c r="BV293" i="4"/>
  <c r="N46" i="1"/>
  <c r="BV287" i="4"/>
  <c r="AP286" i="4" s="1"/>
  <c r="B86" i="17" l="1"/>
  <c r="K86" i="17" s="1"/>
  <c r="H90" i="17"/>
  <c r="I89" i="17"/>
  <c r="C85" i="17"/>
  <c r="D85" i="17"/>
  <c r="K47" i="1"/>
  <c r="N47" i="1"/>
  <c r="CD311" i="4"/>
  <c r="CD320" i="4" s="1"/>
  <c r="CB309" i="4"/>
  <c r="CB318" i="4" s="1"/>
  <c r="CB308" i="4"/>
  <c r="CB317" i="4" s="1"/>
  <c r="CB307" i="4"/>
  <c r="CB316" i="4" s="1"/>
  <c r="CC311" i="4"/>
  <c r="CC320" i="4" s="1"/>
  <c r="CD308" i="4"/>
  <c r="CD317" i="4" s="1"/>
  <c r="CD309" i="4"/>
  <c r="CD318" i="4" s="1"/>
  <c r="CB310" i="4"/>
  <c r="CB319" i="4" s="1"/>
  <c r="CD307" i="4"/>
  <c r="CD316" i="4" s="1"/>
  <c r="CC309" i="4"/>
  <c r="CC318" i="4" s="1"/>
  <c r="CC307" i="4"/>
  <c r="CC316" i="4" s="1"/>
  <c r="CC310" i="4"/>
  <c r="CC319" i="4" s="1"/>
  <c r="CC308" i="4"/>
  <c r="CC317" i="4" s="1"/>
  <c r="CD310" i="4"/>
  <c r="CD319" i="4" s="1"/>
  <c r="B87" i="17" l="1"/>
  <c r="K87" i="17" s="1"/>
  <c r="H91" i="17"/>
  <c r="I90" i="17"/>
  <c r="D86" i="17"/>
  <c r="C86" i="17"/>
  <c r="CE320" i="4"/>
  <c r="CE316" i="4"/>
  <c r="CE318" i="4"/>
  <c r="CE317" i="4"/>
  <c r="CE319" i="4"/>
  <c r="B88" i="17" l="1"/>
  <c r="K88" i="17" s="1"/>
  <c r="H92" i="17"/>
  <c r="I91" i="17"/>
  <c r="D87" i="17"/>
  <c r="C87" i="17"/>
  <c r="CE321" i="4"/>
  <c r="B89" i="17" l="1"/>
  <c r="K89" i="17" s="1"/>
  <c r="H93" i="17"/>
  <c r="I92" i="17"/>
  <c r="C88" i="17"/>
  <c r="D88" i="17"/>
  <c r="CE323" i="4"/>
  <c r="S301" i="4" s="1"/>
  <c r="K304" i="4" s="1"/>
  <c r="B90" i="17" l="1"/>
  <c r="K90" i="17" s="1"/>
  <c r="H94" i="17"/>
  <c r="I93" i="17"/>
  <c r="C89" i="17"/>
  <c r="D89" i="17"/>
  <c r="C16" i="5"/>
  <c r="B91" i="17" l="1"/>
  <c r="K91" i="17" s="1"/>
  <c r="S2" i="5"/>
  <c r="T2" i="5" s="1"/>
  <c r="H95" i="17"/>
  <c r="I94" i="17"/>
  <c r="D90" i="17"/>
  <c r="C90" i="17"/>
  <c r="B92" i="17" l="1"/>
  <c r="K92" i="17" s="1"/>
  <c r="H96" i="17"/>
  <c r="I95" i="17"/>
  <c r="D91" i="17"/>
  <c r="C91" i="17"/>
  <c r="U2" i="5"/>
  <c r="B93" i="17" l="1"/>
  <c r="K93" i="17" s="1"/>
  <c r="H97" i="17"/>
  <c r="I96" i="17"/>
  <c r="C92" i="17"/>
  <c r="D92" i="17"/>
  <c r="O32" i="1"/>
  <c r="O46" i="1" s="1"/>
  <c r="M32" i="1"/>
  <c r="B94" i="17" l="1"/>
  <c r="K94" i="17" s="1"/>
  <c r="H98" i="17"/>
  <c r="I97" i="17"/>
  <c r="C93" i="17"/>
  <c r="D93" i="17"/>
  <c r="B57" i="1"/>
  <c r="C57" i="1" s="1"/>
  <c r="B55" i="1"/>
  <c r="C55" i="1" s="1"/>
  <c r="B56" i="1"/>
  <c r="C56" i="1" s="1"/>
  <c r="B54" i="1"/>
  <c r="C54" i="1" s="1"/>
  <c r="B95" i="17" l="1"/>
  <c r="K95" i="17" s="1"/>
  <c r="H99" i="17"/>
  <c r="I98" i="17"/>
  <c r="D94" i="17"/>
  <c r="C94" i="17"/>
  <c r="B96" i="17" l="1"/>
  <c r="K96" i="17" s="1"/>
  <c r="H100" i="17"/>
  <c r="I99" i="17"/>
  <c r="D95" i="17"/>
  <c r="C95" i="17"/>
  <c r="I32" i="1"/>
  <c r="I46" i="1" s="1"/>
  <c r="N10" i="1" s="1"/>
  <c r="B97" i="17" l="1"/>
  <c r="K97" i="17" s="1"/>
  <c r="H101" i="17"/>
  <c r="I100" i="17"/>
  <c r="C96" i="17"/>
  <c r="D96" i="17"/>
  <c r="H102" i="17" l="1"/>
  <c r="I101" i="17"/>
  <c r="B98" i="17"/>
  <c r="K98" i="17" s="1"/>
  <c r="C97" i="17"/>
  <c r="D97" i="17"/>
  <c r="H103" i="17" l="1"/>
  <c r="I102" i="17"/>
  <c r="B99" i="17"/>
  <c r="K99" i="17" s="1"/>
  <c r="D98" i="17"/>
  <c r="C98" i="17"/>
  <c r="H104" i="17" l="1"/>
  <c r="I103" i="17"/>
  <c r="B100" i="17"/>
  <c r="K100" i="17" s="1"/>
  <c r="D99" i="17"/>
  <c r="C99" i="17"/>
  <c r="H105" i="17" l="1"/>
  <c r="I104" i="17"/>
  <c r="B101" i="17"/>
  <c r="K101" i="17" s="1"/>
  <c r="C100" i="17"/>
  <c r="D100" i="17"/>
  <c r="B20" i="5"/>
  <c r="C20" i="5"/>
  <c r="H106" i="17" l="1"/>
  <c r="I105" i="17"/>
  <c r="B102" i="17"/>
  <c r="K102" i="17" s="1"/>
  <c r="C101" i="17"/>
  <c r="D101" i="17"/>
  <c r="H107" i="17" l="1"/>
  <c r="I106" i="17"/>
  <c r="B103" i="17"/>
  <c r="K103" i="17" s="1"/>
  <c r="D102" i="17"/>
  <c r="C102" i="17"/>
  <c r="W2" i="5"/>
  <c r="X2" i="5" s="1"/>
  <c r="H108" i="17" l="1"/>
  <c r="I107" i="17"/>
  <c r="B104" i="17"/>
  <c r="K104" i="17" s="1"/>
  <c r="D103" i="17"/>
  <c r="C103" i="17"/>
  <c r="H109" i="17" l="1"/>
  <c r="I108" i="17"/>
  <c r="B105" i="17"/>
  <c r="K105" i="17" s="1"/>
  <c r="C104" i="17"/>
  <c r="D104" i="17"/>
  <c r="AO200" i="4"/>
  <c r="H110" i="17" l="1"/>
  <c r="I109" i="17"/>
  <c r="B106" i="17"/>
  <c r="K106" i="17" s="1"/>
  <c r="C105" i="17"/>
  <c r="D105" i="17"/>
  <c r="H111" i="17" l="1"/>
  <c r="I110" i="17"/>
  <c r="B107" i="17"/>
  <c r="K107" i="17" s="1"/>
  <c r="D106" i="17"/>
  <c r="C106" i="17"/>
  <c r="H112" i="17" l="1"/>
  <c r="I111" i="17"/>
  <c r="B108" i="17"/>
  <c r="K108" i="17" s="1"/>
  <c r="D107" i="17"/>
  <c r="C107" i="17"/>
  <c r="H113" i="17" l="1"/>
  <c r="I112" i="17"/>
  <c r="B109" i="17"/>
  <c r="K109" i="17" s="1"/>
  <c r="C108" i="17"/>
  <c r="D108" i="17"/>
  <c r="H114" i="17" l="1"/>
  <c r="I113" i="17"/>
  <c r="B110" i="17"/>
  <c r="K110" i="17" s="1"/>
  <c r="C109" i="17"/>
  <c r="D109" i="17"/>
  <c r="H115" i="17" l="1"/>
  <c r="I114" i="17"/>
  <c r="B111" i="17"/>
  <c r="K111" i="17" s="1"/>
  <c r="D110" i="17"/>
  <c r="C110" i="17"/>
  <c r="H116" i="17" l="1"/>
  <c r="I115" i="17"/>
  <c r="B112" i="17"/>
  <c r="K112" i="17" s="1"/>
  <c r="D111" i="17"/>
  <c r="C111" i="17"/>
  <c r="H117" i="17" l="1"/>
  <c r="I116" i="17"/>
  <c r="B113" i="17"/>
  <c r="K113" i="17" s="1"/>
  <c r="C112" i="17"/>
  <c r="D112" i="17"/>
  <c r="H118" i="17" l="1"/>
  <c r="I117" i="17"/>
  <c r="B114" i="17"/>
  <c r="K114" i="17" s="1"/>
  <c r="C113" i="17"/>
  <c r="D113" i="17"/>
  <c r="H119" i="17" l="1"/>
  <c r="I118" i="17"/>
  <c r="B115" i="17"/>
  <c r="K115" i="17" s="1"/>
  <c r="D114" i="17"/>
  <c r="C114" i="17"/>
  <c r="H120" i="17" l="1"/>
  <c r="H121" i="17" s="1"/>
  <c r="I119" i="17"/>
  <c r="B116" i="17"/>
  <c r="K116" i="17" s="1"/>
  <c r="D115" i="17"/>
  <c r="C115" i="17"/>
  <c r="H122" i="17" l="1"/>
  <c r="I121" i="17"/>
  <c r="I120" i="17"/>
  <c r="B117" i="17"/>
  <c r="K117" i="17" s="1"/>
  <c r="C116" i="17"/>
  <c r="D116" i="17"/>
  <c r="H123" i="17" l="1"/>
  <c r="I122" i="17"/>
  <c r="B118" i="17"/>
  <c r="K118" i="17" s="1"/>
  <c r="C117" i="17"/>
  <c r="D117" i="17"/>
  <c r="H124" i="17" l="1"/>
  <c r="I123" i="17"/>
  <c r="B119" i="17"/>
  <c r="K119" i="17" s="1"/>
  <c r="D118" i="17"/>
  <c r="C118" i="17"/>
  <c r="H125" i="17" l="1"/>
  <c r="I124" i="17"/>
  <c r="B120" i="17"/>
  <c r="K120" i="17" s="1"/>
  <c r="D119" i="17"/>
  <c r="C119" i="17"/>
  <c r="B121" i="17" l="1"/>
  <c r="K121" i="17" s="1"/>
  <c r="I125" i="17"/>
  <c r="H126" i="17"/>
  <c r="D120" i="17"/>
  <c r="C120" i="17"/>
  <c r="B122" i="17" l="1"/>
  <c r="K122" i="17" s="1"/>
  <c r="D121" i="17"/>
  <c r="C121" i="17"/>
  <c r="H127" i="17"/>
  <c r="I126" i="17"/>
  <c r="D122" i="17" l="1"/>
  <c r="B123" i="17"/>
  <c r="K123" i="17" s="1"/>
  <c r="C122" i="17"/>
  <c r="H128" i="17"/>
  <c r="I127" i="17"/>
  <c r="B124" i="17" l="1"/>
  <c r="K124" i="17" s="1"/>
  <c r="D123" i="17"/>
  <c r="C123" i="17"/>
  <c r="H129" i="17"/>
  <c r="I128" i="17"/>
  <c r="C124" i="17" l="1"/>
  <c r="D124" i="17"/>
  <c r="B125" i="17"/>
  <c r="K125" i="17" s="1"/>
  <c r="H130" i="17"/>
  <c r="I129" i="17"/>
  <c r="B126" i="17" l="1"/>
  <c r="K126" i="17" s="1"/>
  <c r="C125" i="17"/>
  <c r="D125" i="17"/>
  <c r="H131" i="17"/>
  <c r="I130" i="17"/>
  <c r="B127" i="17" l="1"/>
  <c r="K127" i="17" s="1"/>
  <c r="D126" i="17"/>
  <c r="C126" i="17"/>
  <c r="H132" i="17"/>
  <c r="I131" i="17"/>
  <c r="C127" i="17" l="1"/>
  <c r="B128" i="17"/>
  <c r="K128" i="17" s="1"/>
  <c r="D127" i="17"/>
  <c r="H133" i="17"/>
  <c r="I132" i="17"/>
  <c r="D128" i="17" l="1"/>
  <c r="B129" i="17"/>
  <c r="K129" i="17" s="1"/>
  <c r="C128" i="17"/>
  <c r="H134" i="17"/>
  <c r="I133" i="17"/>
  <c r="C129" i="17" l="1"/>
  <c r="D129" i="17"/>
  <c r="B130" i="17"/>
  <c r="K130" i="17" s="1"/>
  <c r="H135" i="17"/>
  <c r="I134" i="17"/>
  <c r="B131" i="17" l="1"/>
  <c r="K131" i="17" s="1"/>
  <c r="D130" i="17"/>
  <c r="C130" i="17"/>
  <c r="H136" i="17"/>
  <c r="I135" i="17"/>
  <c r="B132" i="17" l="1"/>
  <c r="K132" i="17" s="1"/>
  <c r="C131" i="17"/>
  <c r="D131" i="17"/>
  <c r="H137" i="17"/>
  <c r="I136" i="17"/>
  <c r="B133" i="17" l="1"/>
  <c r="K133" i="17" s="1"/>
  <c r="C132" i="17"/>
  <c r="D132" i="17"/>
  <c r="H138" i="17"/>
  <c r="I137" i="17"/>
  <c r="B134" i="17" l="1"/>
  <c r="K134" i="17" s="1"/>
  <c r="C133" i="17"/>
  <c r="D133" i="17"/>
  <c r="H139" i="17"/>
  <c r="I138" i="17"/>
  <c r="D134" i="17" l="1"/>
  <c r="C134" i="17"/>
  <c r="B135" i="17"/>
  <c r="K135" i="17" s="1"/>
  <c r="H140" i="17"/>
  <c r="I139" i="17"/>
  <c r="D135" i="17" l="1"/>
  <c r="C135" i="17"/>
  <c r="B136" i="17"/>
  <c r="K136" i="17" s="1"/>
  <c r="H141" i="17"/>
  <c r="I140" i="17"/>
  <c r="B137" i="17" l="1"/>
  <c r="K137" i="17" s="1"/>
  <c r="D136" i="17"/>
  <c r="C136" i="17"/>
  <c r="H142" i="17"/>
  <c r="H143" i="17" s="1"/>
  <c r="I143" i="17" s="1"/>
  <c r="I141" i="17"/>
  <c r="D137" i="17" l="1"/>
  <c r="C137" i="17"/>
  <c r="B138" i="17"/>
  <c r="K138" i="17" s="1"/>
  <c r="I142" i="17"/>
  <c r="D138" i="17" l="1"/>
  <c r="B139" i="17"/>
  <c r="K139" i="17" s="1"/>
  <c r="C138" i="17"/>
  <c r="H144" i="17"/>
  <c r="C139" i="17" l="1"/>
  <c r="D139" i="17"/>
  <c r="B140" i="17"/>
  <c r="K140" i="17" s="1"/>
  <c r="H145" i="17"/>
  <c r="I144" i="17"/>
  <c r="D140" i="17" l="1"/>
  <c r="C140" i="17"/>
  <c r="B141" i="17"/>
  <c r="K141" i="17" s="1"/>
  <c r="H146" i="17"/>
  <c r="I145" i="17"/>
  <c r="C141" i="17" l="1"/>
  <c r="B142" i="17"/>
  <c r="D141" i="17"/>
  <c r="H147" i="17"/>
  <c r="I146" i="17"/>
  <c r="B143" i="17" l="1"/>
  <c r="K143" i="17" s="1"/>
  <c r="K142" i="17"/>
  <c r="D142" i="17"/>
  <c r="C142" i="17"/>
  <c r="H148" i="17"/>
  <c r="I147" i="17"/>
  <c r="D143" i="17" l="1"/>
  <c r="B144" i="17"/>
  <c r="K144" i="17" s="1"/>
  <c r="C143" i="17"/>
  <c r="H149" i="17"/>
  <c r="I148" i="17"/>
  <c r="D144" i="17" l="1"/>
  <c r="C144" i="17"/>
  <c r="B145" i="17"/>
  <c r="K145" i="17" s="1"/>
  <c r="H150" i="17"/>
  <c r="I149" i="17"/>
  <c r="C145" i="17" l="1"/>
  <c r="B146" i="17"/>
  <c r="K146" i="17" s="1"/>
  <c r="D145" i="17"/>
  <c r="H151" i="17"/>
  <c r="I150" i="17"/>
  <c r="D146" i="17" l="1"/>
  <c r="B147" i="17"/>
  <c r="K147" i="17" s="1"/>
  <c r="C146" i="17"/>
  <c r="H152" i="17"/>
  <c r="I151" i="17"/>
  <c r="D147" i="17" l="1"/>
  <c r="B148" i="17"/>
  <c r="K148" i="17" s="1"/>
  <c r="C147" i="17"/>
  <c r="H153" i="17"/>
  <c r="I152" i="17"/>
  <c r="C148" i="17" l="1"/>
  <c r="D148" i="17"/>
  <c r="B149" i="17"/>
  <c r="K149" i="17" s="1"/>
  <c r="H154" i="17"/>
  <c r="I153" i="17"/>
  <c r="D149" i="17" l="1"/>
  <c r="B150" i="17"/>
  <c r="K150" i="17" s="1"/>
  <c r="C149" i="17"/>
  <c r="H155" i="17"/>
  <c r="I154" i="17"/>
  <c r="D150" i="17" l="1"/>
  <c r="C150" i="17"/>
  <c r="B151" i="17"/>
  <c r="K151" i="17" s="1"/>
  <c r="H156" i="17"/>
  <c r="I155" i="17"/>
  <c r="C151" i="17" l="1"/>
  <c r="D151" i="17"/>
  <c r="B152" i="17"/>
  <c r="K152" i="17" s="1"/>
  <c r="H157" i="17"/>
  <c r="I156" i="17"/>
  <c r="D152" i="17" l="1"/>
  <c r="B153" i="17"/>
  <c r="K153" i="17" s="1"/>
  <c r="C152" i="17"/>
  <c r="H158" i="17"/>
  <c r="I157" i="17"/>
  <c r="B154" i="17" l="1"/>
  <c r="K154" i="17" s="1"/>
  <c r="C153" i="17"/>
  <c r="D153" i="17"/>
  <c r="H159" i="17"/>
  <c r="I158" i="17"/>
  <c r="D154" i="17" l="1"/>
  <c r="C154" i="17"/>
  <c r="B155" i="17"/>
  <c r="K155" i="17" s="1"/>
  <c r="H160" i="17"/>
  <c r="I159" i="17"/>
  <c r="B156" i="17" l="1"/>
  <c r="K156" i="17" s="1"/>
  <c r="C155" i="17"/>
  <c r="D155" i="17"/>
  <c r="H161" i="17"/>
  <c r="I160" i="17"/>
  <c r="B157" i="17" l="1"/>
  <c r="K157" i="17" s="1"/>
  <c r="C156" i="17"/>
  <c r="D156" i="17"/>
  <c r="H162" i="17"/>
  <c r="I161" i="17"/>
  <c r="C157" i="17" l="1"/>
  <c r="D157" i="17"/>
  <c r="B158" i="17"/>
  <c r="K158" i="17" s="1"/>
  <c r="L158" i="17" s="1"/>
  <c r="G158" i="17" s="1"/>
  <c r="F158" i="17" s="1"/>
  <c r="E158" i="17" s="1"/>
  <c r="H163" i="17"/>
  <c r="I162" i="17"/>
  <c r="B159" i="17" l="1"/>
  <c r="K159" i="17" s="1"/>
  <c r="L159" i="17" s="1"/>
  <c r="G159" i="17" s="1"/>
  <c r="F159" i="17" s="1"/>
  <c r="E159" i="17" s="1"/>
  <c r="C158" i="17"/>
  <c r="N158" i="17"/>
  <c r="D158" i="17"/>
  <c r="H164" i="17"/>
  <c r="I163" i="17"/>
  <c r="C159" i="17" l="1"/>
  <c r="N159" i="17"/>
  <c r="D159" i="17"/>
  <c r="B160" i="17"/>
  <c r="K160" i="17" s="1"/>
  <c r="L160" i="17" s="1"/>
  <c r="G160" i="17" s="1"/>
  <c r="F160" i="17" s="1"/>
  <c r="E160" i="17" s="1"/>
  <c r="H165" i="17"/>
  <c r="I164" i="17"/>
  <c r="N160" i="17" l="1"/>
  <c r="C160" i="17"/>
  <c r="D160" i="17"/>
  <c r="B161" i="17"/>
  <c r="K161" i="17" s="1"/>
  <c r="L161" i="17" s="1"/>
  <c r="G161" i="17" s="1"/>
  <c r="F161" i="17" s="1"/>
  <c r="E161" i="17" s="1"/>
  <c r="H166" i="17"/>
  <c r="I165" i="17"/>
  <c r="N161" i="17" l="1"/>
  <c r="B162" i="17"/>
  <c r="K162" i="17" s="1"/>
  <c r="L162" i="17" s="1"/>
  <c r="G162" i="17" s="1"/>
  <c r="F162" i="17" s="1"/>
  <c r="E162" i="17" s="1"/>
  <c r="C161" i="17"/>
  <c r="D161" i="17"/>
  <c r="H167" i="17"/>
  <c r="I166" i="17"/>
  <c r="N162" i="17" l="1"/>
  <c r="D162" i="17"/>
  <c r="C162" i="17"/>
  <c r="B163" i="17"/>
  <c r="K163" i="17" s="1"/>
  <c r="L163" i="17" s="1"/>
  <c r="G163" i="17" s="1"/>
  <c r="F163" i="17" s="1"/>
  <c r="E163" i="17" s="1"/>
  <c r="H168" i="17"/>
  <c r="I167" i="17"/>
  <c r="B164" i="17" l="1"/>
  <c r="K164" i="17" s="1"/>
  <c r="L164" i="17" s="1"/>
  <c r="G164" i="17" s="1"/>
  <c r="F164" i="17" s="1"/>
  <c r="E164" i="17" s="1"/>
  <c r="C163" i="17"/>
  <c r="N163" i="17"/>
  <c r="D163" i="17"/>
  <c r="H169" i="17"/>
  <c r="I168" i="17"/>
  <c r="N164" i="17" l="1"/>
  <c r="D164" i="17"/>
  <c r="B165" i="17"/>
  <c r="K165" i="17" s="1"/>
  <c r="L165" i="17" s="1"/>
  <c r="G165" i="17" s="1"/>
  <c r="F165" i="17" s="1"/>
  <c r="E165" i="17" s="1"/>
  <c r="C164" i="17"/>
  <c r="H170" i="17"/>
  <c r="I169" i="17"/>
  <c r="N165" i="17" l="1"/>
  <c r="D165" i="17"/>
  <c r="B166" i="17"/>
  <c r="K166" i="17" s="1"/>
  <c r="L166" i="17" s="1"/>
  <c r="G166" i="17" s="1"/>
  <c r="F166" i="17" s="1"/>
  <c r="E166" i="17" s="1"/>
  <c r="C165" i="17"/>
  <c r="H171" i="17"/>
  <c r="I170" i="17"/>
  <c r="N166" i="17" l="1"/>
  <c r="B167" i="17"/>
  <c r="K167" i="17" s="1"/>
  <c r="C166" i="17"/>
  <c r="D166" i="17"/>
  <c r="H172" i="17"/>
  <c r="I171" i="17"/>
  <c r="N167" i="17" l="1"/>
  <c r="L167" i="17"/>
  <c r="G167" i="17" s="1"/>
  <c r="F167" i="17" s="1"/>
  <c r="E167" i="17" s="1"/>
  <c r="C167" i="17"/>
  <c r="D167" i="17"/>
  <c r="B168" i="17"/>
  <c r="K168" i="17" s="1"/>
  <c r="L168" i="17" s="1"/>
  <c r="G168" i="17" s="1"/>
  <c r="F168" i="17" s="1"/>
  <c r="E168" i="17" s="1"/>
  <c r="H173" i="17"/>
  <c r="I172" i="17"/>
  <c r="D168" i="17" l="1"/>
  <c r="N168" i="17"/>
  <c r="B169" i="17"/>
  <c r="K169" i="17" s="1"/>
  <c r="C168" i="17"/>
  <c r="H174" i="17"/>
  <c r="I173" i="17"/>
  <c r="N169" i="17" l="1"/>
  <c r="L169" i="17"/>
  <c r="G169" i="17" s="1"/>
  <c r="F169" i="17" s="1"/>
  <c r="E169" i="17" s="1"/>
  <c r="B170" i="17"/>
  <c r="K170" i="17" s="1"/>
  <c r="L170" i="17" s="1"/>
  <c r="G170" i="17" s="1"/>
  <c r="F170" i="17" s="1"/>
  <c r="E170" i="17" s="1"/>
  <c r="C169" i="17"/>
  <c r="D169" i="17"/>
  <c r="H175" i="17"/>
  <c r="I174" i="17"/>
  <c r="N170" i="17" l="1"/>
  <c r="D170" i="17"/>
  <c r="C170" i="17"/>
  <c r="B171" i="17"/>
  <c r="K171" i="17" s="1"/>
  <c r="H176" i="17"/>
  <c r="I175" i="17"/>
  <c r="N171" i="17" l="1"/>
  <c r="L171" i="17"/>
  <c r="G171" i="17" s="1"/>
  <c r="F171" i="17" s="1"/>
  <c r="E171" i="17" s="1"/>
  <c r="B172" i="17"/>
  <c r="K172" i="17" s="1"/>
  <c r="L172" i="17" s="1"/>
  <c r="G172" i="17" s="1"/>
  <c r="F172" i="17" s="1"/>
  <c r="E172" i="17" s="1"/>
  <c r="C171" i="17"/>
  <c r="D171" i="17"/>
  <c r="H177" i="17"/>
  <c r="I176" i="17"/>
  <c r="D172" i="17" l="1"/>
  <c r="N172" i="17"/>
  <c r="C172" i="17"/>
  <c r="B173" i="17"/>
  <c r="K173" i="17" s="1"/>
  <c r="H178" i="17"/>
  <c r="I177" i="17"/>
  <c r="N173" i="17" l="1"/>
  <c r="L173" i="17"/>
  <c r="G173" i="17" s="1"/>
  <c r="F173" i="17" s="1"/>
  <c r="E173" i="17" s="1"/>
  <c r="B174" i="17"/>
  <c r="K174" i="17" s="1"/>
  <c r="D173" i="17"/>
  <c r="C173" i="17"/>
  <c r="H179" i="17"/>
  <c r="I178" i="17"/>
  <c r="N174" i="17" l="1"/>
  <c r="L174" i="17"/>
  <c r="G174" i="17" s="1"/>
  <c r="F174" i="17" s="1"/>
  <c r="E174" i="17" s="1"/>
  <c r="B175" i="17"/>
  <c r="K175" i="17" s="1"/>
  <c r="C174" i="17"/>
  <c r="D174" i="17"/>
  <c r="H180" i="17"/>
  <c r="I179" i="17"/>
  <c r="N175" i="17" l="1"/>
  <c r="L175" i="17"/>
  <c r="G175" i="17" s="1"/>
  <c r="F175" i="17" s="1"/>
  <c r="E175" i="17" s="1"/>
  <c r="C175" i="17"/>
  <c r="D175" i="17"/>
  <c r="B176" i="17"/>
  <c r="K176" i="17" s="1"/>
  <c r="L176" i="17" s="1"/>
  <c r="G176" i="17" s="1"/>
  <c r="F176" i="17" s="1"/>
  <c r="E176" i="17" s="1"/>
  <c r="H181" i="17"/>
  <c r="I180" i="17"/>
  <c r="D176" i="17" l="1"/>
  <c r="N176" i="17"/>
  <c r="B177" i="17"/>
  <c r="K177" i="17" s="1"/>
  <c r="L177" i="17" s="1"/>
  <c r="G177" i="17" s="1"/>
  <c r="F177" i="17" s="1"/>
  <c r="E177" i="17" s="1"/>
  <c r="C176" i="17"/>
  <c r="H182" i="17"/>
  <c r="I181" i="17"/>
  <c r="B178" i="17" l="1"/>
  <c r="K178" i="17" s="1"/>
  <c r="L178" i="17" s="1"/>
  <c r="G178" i="17" s="1"/>
  <c r="F178" i="17" s="1"/>
  <c r="E178" i="17" s="1"/>
  <c r="C177" i="17"/>
  <c r="N177" i="17"/>
  <c r="D177" i="17"/>
  <c r="H183" i="17"/>
  <c r="I182" i="17"/>
  <c r="N178" i="17" l="1"/>
  <c r="D178" i="17"/>
  <c r="C178" i="17"/>
  <c r="B179" i="17"/>
  <c r="K179" i="17" s="1"/>
  <c r="L179" i="17" s="1"/>
  <c r="G179" i="17" s="1"/>
  <c r="F179" i="17" s="1"/>
  <c r="E179" i="17" s="1"/>
  <c r="H184" i="17"/>
  <c r="I183" i="17"/>
  <c r="N179" i="17" l="1"/>
  <c r="D179" i="17"/>
  <c r="B180" i="17"/>
  <c r="K180" i="17" s="1"/>
  <c r="L180" i="17" s="1"/>
  <c r="G180" i="17" s="1"/>
  <c r="F180" i="17" s="1"/>
  <c r="E180" i="17" s="1"/>
  <c r="C179" i="17"/>
  <c r="H185" i="17"/>
  <c r="I184" i="17"/>
  <c r="D180" i="17" l="1"/>
  <c r="B181" i="17"/>
  <c r="K181" i="17" s="1"/>
  <c r="N180" i="17"/>
  <c r="C180" i="17"/>
  <c r="H186" i="17"/>
  <c r="I185" i="17"/>
  <c r="N181" i="17" l="1"/>
  <c r="L181" i="17"/>
  <c r="G181" i="17" s="1"/>
  <c r="F181" i="17" s="1"/>
  <c r="E181" i="17" s="1"/>
  <c r="C181" i="17"/>
  <c r="B182" i="17"/>
  <c r="K182" i="17" s="1"/>
  <c r="D181" i="17"/>
  <c r="H187" i="17"/>
  <c r="I186" i="17"/>
  <c r="N182" i="17" l="1"/>
  <c r="L182" i="17"/>
  <c r="G182" i="17" s="1"/>
  <c r="F182" i="17" s="1"/>
  <c r="E182" i="17" s="1"/>
  <c r="B183" i="17"/>
  <c r="K183" i="17" s="1"/>
  <c r="L183" i="17" s="1"/>
  <c r="G183" i="17" s="1"/>
  <c r="F183" i="17" s="1"/>
  <c r="E183" i="17" s="1"/>
  <c r="C182" i="17"/>
  <c r="D182" i="17"/>
  <c r="H188" i="17"/>
  <c r="I187" i="17"/>
  <c r="N183" i="17" l="1"/>
  <c r="C183" i="17"/>
  <c r="D183" i="17"/>
  <c r="B184" i="17"/>
  <c r="K184" i="17" s="1"/>
  <c r="H189" i="17"/>
  <c r="I188" i="17"/>
  <c r="N184" i="17" l="1"/>
  <c r="L184" i="17"/>
  <c r="G184" i="17" s="1"/>
  <c r="F184" i="17" s="1"/>
  <c r="E184" i="17" s="1"/>
  <c r="B185" i="17"/>
  <c r="K185" i="17" s="1"/>
  <c r="L185" i="17" s="1"/>
  <c r="G185" i="17" s="1"/>
  <c r="F185" i="17" s="1"/>
  <c r="E185" i="17" s="1"/>
  <c r="D184" i="17"/>
  <c r="C184" i="17"/>
  <c r="H190" i="17"/>
  <c r="I189" i="17"/>
  <c r="N185" i="17" l="1"/>
  <c r="B186" i="17"/>
  <c r="K186" i="17" s="1"/>
  <c r="D185" i="17"/>
  <c r="C185" i="17"/>
  <c r="H191" i="17"/>
  <c r="I190" i="17"/>
  <c r="N186" i="17" l="1"/>
  <c r="L186" i="17"/>
  <c r="G186" i="17" s="1"/>
  <c r="F186" i="17" s="1"/>
  <c r="E186" i="17" s="1"/>
  <c r="D186" i="17"/>
  <c r="B187" i="17"/>
  <c r="K187" i="17" s="1"/>
  <c r="L187" i="17" s="1"/>
  <c r="G187" i="17" s="1"/>
  <c r="F187" i="17" s="1"/>
  <c r="E187" i="17" s="1"/>
  <c r="C186" i="17"/>
  <c r="H192" i="17"/>
  <c r="I191" i="17"/>
  <c r="D187" i="17" l="1"/>
  <c r="C187" i="17"/>
  <c r="N187" i="17"/>
  <c r="B188" i="17"/>
  <c r="K188" i="17" s="1"/>
  <c r="H193" i="17"/>
  <c r="I192" i="17"/>
  <c r="N188" i="17" l="1"/>
  <c r="L188" i="17"/>
  <c r="G188" i="17" s="1"/>
  <c r="F188" i="17" s="1"/>
  <c r="E188" i="17" s="1"/>
  <c r="B189" i="17"/>
  <c r="K189" i="17" s="1"/>
  <c r="D188" i="17"/>
  <c r="C188" i="17"/>
  <c r="H194" i="17"/>
  <c r="I193" i="17"/>
  <c r="N189" i="17" l="1"/>
  <c r="L189" i="17"/>
  <c r="G189" i="17" s="1"/>
  <c r="F189" i="17" s="1"/>
  <c r="E189" i="17" s="1"/>
  <c r="D189" i="17"/>
  <c r="B190" i="17"/>
  <c r="K190" i="17" s="1"/>
  <c r="C189" i="17"/>
  <c r="H195" i="17"/>
  <c r="I194" i="17"/>
  <c r="N190" i="17" l="1"/>
  <c r="L190" i="17"/>
  <c r="G190" i="17" s="1"/>
  <c r="F190" i="17" s="1"/>
  <c r="E190" i="17" s="1"/>
  <c r="D190" i="17"/>
  <c r="C190" i="17"/>
  <c r="B191" i="17"/>
  <c r="K191" i="17" s="1"/>
  <c r="H196" i="17"/>
  <c r="I195" i="17"/>
  <c r="N191" i="17" l="1"/>
  <c r="L191" i="17"/>
  <c r="G191" i="17" s="1"/>
  <c r="F191" i="17" s="1"/>
  <c r="E191" i="17" s="1"/>
  <c r="D191" i="17"/>
  <c r="B192" i="17"/>
  <c r="K192" i="17" s="1"/>
  <c r="C191" i="17"/>
  <c r="H197" i="17"/>
  <c r="I196" i="17"/>
  <c r="N192" i="17" l="1"/>
  <c r="L192" i="17"/>
  <c r="G192" i="17" s="1"/>
  <c r="F192" i="17" s="1"/>
  <c r="E192" i="17" s="1"/>
  <c r="B193" i="17"/>
  <c r="K193" i="17" s="1"/>
  <c r="L193" i="17" s="1"/>
  <c r="G193" i="17" s="1"/>
  <c r="F193" i="17" s="1"/>
  <c r="E193" i="17" s="1"/>
  <c r="D192" i="17"/>
  <c r="C192" i="17"/>
  <c r="H198" i="17"/>
  <c r="I197" i="17"/>
  <c r="N193" i="17" l="1"/>
  <c r="B194" i="17"/>
  <c r="K194" i="17" s="1"/>
  <c r="D193" i="17"/>
  <c r="C193" i="17"/>
  <c r="H199" i="17"/>
  <c r="I198" i="17"/>
  <c r="N194" i="17" l="1"/>
  <c r="L194" i="17"/>
  <c r="G194" i="17" s="1"/>
  <c r="F194" i="17" s="1"/>
  <c r="E194" i="17" s="1"/>
  <c r="B195" i="17"/>
  <c r="K195" i="17" s="1"/>
  <c r="C194" i="17"/>
  <c r="D194" i="17"/>
  <c r="H200" i="17"/>
  <c r="I199" i="17"/>
  <c r="N195" i="17" l="1"/>
  <c r="L195" i="17"/>
  <c r="G195" i="17" s="1"/>
  <c r="F195" i="17" s="1"/>
  <c r="E195" i="17" s="1"/>
  <c r="C195" i="17"/>
  <c r="D195" i="17"/>
  <c r="B196" i="17"/>
  <c r="K196" i="17" s="1"/>
  <c r="H201" i="17"/>
  <c r="I200" i="17"/>
  <c r="N196" i="17" l="1"/>
  <c r="L196" i="17"/>
  <c r="G196" i="17" s="1"/>
  <c r="F196" i="17" s="1"/>
  <c r="E196" i="17" s="1"/>
  <c r="B197" i="17"/>
  <c r="K197" i="17" s="1"/>
  <c r="L197" i="17" s="1"/>
  <c r="G197" i="17" s="1"/>
  <c r="F197" i="17" s="1"/>
  <c r="E197" i="17" s="1"/>
  <c r="C196" i="17"/>
  <c r="D196" i="17"/>
  <c r="H202" i="17"/>
  <c r="I201" i="17"/>
  <c r="D197" i="17" l="1"/>
  <c r="N197" i="17"/>
  <c r="B198" i="17"/>
  <c r="K198" i="17" s="1"/>
  <c r="C197" i="17"/>
  <c r="H203" i="17"/>
  <c r="I202" i="17"/>
  <c r="N198" i="17" l="1"/>
  <c r="L198" i="17"/>
  <c r="G198" i="17" s="1"/>
  <c r="F198" i="17" s="1"/>
  <c r="E198" i="17" s="1"/>
  <c r="C198" i="17"/>
  <c r="D198" i="17"/>
  <c r="B199" i="17"/>
  <c r="K199" i="17" s="1"/>
  <c r="H204" i="17"/>
  <c r="I203" i="17"/>
  <c r="N199" i="17" l="1"/>
  <c r="L199" i="17"/>
  <c r="G199" i="17" s="1"/>
  <c r="F199" i="17" s="1"/>
  <c r="E199" i="17" s="1"/>
  <c r="C199" i="17"/>
  <c r="D199" i="17"/>
  <c r="B200" i="17"/>
  <c r="K200" i="17" s="1"/>
  <c r="H205" i="17"/>
  <c r="I204" i="17"/>
  <c r="N200" i="17" l="1"/>
  <c r="L200" i="17"/>
  <c r="G200" i="17" s="1"/>
  <c r="F200" i="17" s="1"/>
  <c r="E200" i="17" s="1"/>
  <c r="D200" i="17"/>
  <c r="B201" i="17"/>
  <c r="K201" i="17" s="1"/>
  <c r="C200" i="17"/>
  <c r="H206" i="17"/>
  <c r="I205" i="17"/>
  <c r="N201" i="17" l="1"/>
  <c r="L201" i="17"/>
  <c r="G201" i="17" s="1"/>
  <c r="F201" i="17" s="1"/>
  <c r="E201" i="17" s="1"/>
  <c r="B202" i="17"/>
  <c r="K202" i="17" s="1"/>
  <c r="L202" i="17" s="1"/>
  <c r="G202" i="17" s="1"/>
  <c r="F202" i="17" s="1"/>
  <c r="E202" i="17" s="1"/>
  <c r="C201" i="17"/>
  <c r="D201" i="17"/>
  <c r="H207" i="17"/>
  <c r="I206" i="17"/>
  <c r="N202" i="17" l="1"/>
  <c r="D202" i="17"/>
  <c r="C202" i="17"/>
  <c r="B203" i="17"/>
  <c r="K203" i="17" s="1"/>
  <c r="H208" i="17"/>
  <c r="I207" i="17"/>
  <c r="N203" i="17" l="1"/>
  <c r="L203" i="17"/>
  <c r="G203" i="17" s="1"/>
  <c r="F203" i="17" s="1"/>
  <c r="E203" i="17" s="1"/>
  <c r="D203" i="17"/>
  <c r="B204" i="17"/>
  <c r="K204" i="17" s="1"/>
  <c r="C203" i="17"/>
  <c r="H209" i="17"/>
  <c r="I208" i="17"/>
  <c r="N204" i="17" l="1"/>
  <c r="L204" i="17"/>
  <c r="G204" i="17" s="1"/>
  <c r="F204" i="17" s="1"/>
  <c r="E204" i="17" s="1"/>
  <c r="C204" i="17"/>
  <c r="D204" i="17"/>
  <c r="B205" i="17"/>
  <c r="K205" i="17" s="1"/>
  <c r="H210" i="17"/>
  <c r="I209" i="17"/>
  <c r="N205" i="17" l="1"/>
  <c r="L205" i="17"/>
  <c r="G205" i="17" s="1"/>
  <c r="F205" i="17" s="1"/>
  <c r="E205" i="17" s="1"/>
  <c r="D205" i="17"/>
  <c r="B206" i="17"/>
  <c r="K206" i="17" s="1"/>
  <c r="L206" i="17" s="1"/>
  <c r="G206" i="17" s="1"/>
  <c r="F206" i="17" s="1"/>
  <c r="E206" i="17" s="1"/>
  <c r="C205" i="17"/>
  <c r="H211" i="17"/>
  <c r="I210" i="17"/>
  <c r="D206" i="17" l="1"/>
  <c r="C206" i="17"/>
  <c r="B207" i="17"/>
  <c r="K207" i="17" s="1"/>
  <c r="N206" i="17"/>
  <c r="H212" i="17"/>
  <c r="I211" i="17"/>
  <c r="N207" i="17" l="1"/>
  <c r="L207" i="17"/>
  <c r="G207" i="17" s="1"/>
  <c r="F207" i="17" s="1"/>
  <c r="E207" i="17" s="1"/>
  <c r="D207" i="17"/>
  <c r="C207" i="17"/>
  <c r="B208" i="17"/>
  <c r="K208" i="17" s="1"/>
  <c r="H213" i="17"/>
  <c r="I212" i="17"/>
  <c r="N208" i="17" l="1"/>
  <c r="L208" i="17"/>
  <c r="G208" i="17" s="1"/>
  <c r="F208" i="17" s="1"/>
  <c r="E208" i="17" s="1"/>
  <c r="D208" i="17"/>
  <c r="C208" i="17"/>
  <c r="B209" i="17"/>
  <c r="K209" i="17" s="1"/>
  <c r="H214" i="17"/>
  <c r="I213" i="17"/>
  <c r="N209" i="17" l="1"/>
  <c r="L209" i="17"/>
  <c r="G209" i="17" s="1"/>
  <c r="F209" i="17" s="1"/>
  <c r="E209" i="17" s="1"/>
  <c r="B210" i="17"/>
  <c r="K210" i="17" s="1"/>
  <c r="L210" i="17" s="1"/>
  <c r="G210" i="17" s="1"/>
  <c r="F210" i="17" s="1"/>
  <c r="E210" i="17" s="1"/>
  <c r="C209" i="17"/>
  <c r="D209" i="17"/>
  <c r="H215" i="17"/>
  <c r="I214" i="17"/>
  <c r="N210" i="17" l="1"/>
  <c r="D210" i="17"/>
  <c r="C210" i="17"/>
  <c r="B211" i="17"/>
  <c r="K211" i="17" s="1"/>
  <c r="H216" i="17"/>
  <c r="I216" i="17" s="1"/>
  <c r="I215" i="17"/>
  <c r="N211" i="17" l="1"/>
  <c r="L211" i="17"/>
  <c r="G211" i="17" s="1"/>
  <c r="F211" i="17" s="1"/>
  <c r="E211" i="17" s="1"/>
  <c r="D211" i="17"/>
  <c r="C211" i="17"/>
  <c r="B212" i="17"/>
  <c r="K212" i="17" s="1"/>
  <c r="N212" i="17" l="1"/>
  <c r="L212" i="17"/>
  <c r="G212" i="17" s="1"/>
  <c r="F212" i="17" s="1"/>
  <c r="E212" i="17" s="1"/>
  <c r="D212" i="17"/>
  <c r="B213" i="17"/>
  <c r="K213" i="17" s="1"/>
  <c r="C212" i="17"/>
  <c r="N213" i="17" l="1"/>
  <c r="L213" i="17"/>
  <c r="G213" i="17" s="1"/>
  <c r="F213" i="17" s="1"/>
  <c r="E213" i="17" s="1"/>
  <c r="C213" i="17"/>
  <c r="D213" i="17"/>
  <c r="B214" i="17"/>
  <c r="K214" i="17" s="1"/>
  <c r="L214" i="17" s="1"/>
  <c r="G214" i="17" s="1"/>
  <c r="F214" i="17" s="1"/>
  <c r="E214" i="17" s="1"/>
  <c r="D214" i="17" l="1"/>
  <c r="N214" i="17"/>
  <c r="C214" i="17"/>
  <c r="B215" i="17"/>
  <c r="K215" i="17" s="1"/>
  <c r="N215" i="17" l="1"/>
  <c r="L215" i="17"/>
  <c r="G215" i="17" s="1"/>
  <c r="F215" i="17" s="1"/>
  <c r="E215" i="17" s="1"/>
  <c r="C215" i="17"/>
  <c r="D215" i="17"/>
  <c r="B216" i="17"/>
  <c r="K216" i="17" s="1"/>
  <c r="N216" i="17" l="1"/>
  <c r="L216" i="17"/>
  <c r="G216" i="17" s="1"/>
  <c r="F216" i="17" s="1"/>
  <c r="E216" i="17" s="1"/>
  <c r="N28" i="17"/>
  <c r="N86" i="17" s="1"/>
  <c r="L28" i="17"/>
  <c r="C216" i="17"/>
  <c r="M28" i="17"/>
  <c r="M217" i="17" s="1"/>
  <c r="D216" i="17"/>
  <c r="I203" i="5" s="1"/>
  <c r="Y203" i="5" s="1"/>
  <c r="N157" i="17"/>
  <c r="I3" i="5" l="1"/>
  <c r="L37" i="17"/>
  <c r="G37" i="17" s="1"/>
  <c r="F37" i="17" s="1"/>
  <c r="E37" i="17" s="1"/>
  <c r="L38" i="17"/>
  <c r="G38" i="17" s="1"/>
  <c r="F38" i="17" s="1"/>
  <c r="L39" i="17"/>
  <c r="G39" i="17" s="1"/>
  <c r="F39" i="17" s="1"/>
  <c r="E39" i="17" s="1"/>
  <c r="L40" i="17"/>
  <c r="G40" i="17" s="1"/>
  <c r="F40" i="17" s="1"/>
  <c r="E40" i="17" s="1"/>
  <c r="L41" i="17"/>
  <c r="G41" i="17" s="1"/>
  <c r="F41" i="17" s="1"/>
  <c r="E41" i="17" s="1"/>
  <c r="L42" i="17"/>
  <c r="G42" i="17" s="1"/>
  <c r="F42" i="17" s="1"/>
  <c r="E42" i="17" s="1"/>
  <c r="L43" i="17"/>
  <c r="G43" i="17" s="1"/>
  <c r="F43" i="17" s="1"/>
  <c r="E43" i="17" s="1"/>
  <c r="L44" i="17"/>
  <c r="G44" i="17" s="1"/>
  <c r="F44" i="17" s="1"/>
  <c r="E44" i="17" s="1"/>
  <c r="L45" i="17"/>
  <c r="G45" i="17" s="1"/>
  <c r="F45" i="17" s="1"/>
  <c r="E45" i="17" s="1"/>
  <c r="L46" i="17"/>
  <c r="G46" i="17" s="1"/>
  <c r="F46" i="17" s="1"/>
  <c r="E46" i="17" s="1"/>
  <c r="L47" i="17"/>
  <c r="G47" i="17" s="1"/>
  <c r="F47" i="17" s="1"/>
  <c r="E47" i="17" s="1"/>
  <c r="L48" i="17"/>
  <c r="G48" i="17" s="1"/>
  <c r="F48" i="17" s="1"/>
  <c r="E48" i="17" s="1"/>
  <c r="L49" i="17"/>
  <c r="G49" i="17" s="1"/>
  <c r="F49" i="17" s="1"/>
  <c r="E49" i="17" s="1"/>
  <c r="L50" i="17"/>
  <c r="G50" i="17" s="1"/>
  <c r="F50" i="17" s="1"/>
  <c r="E50" i="17" s="1"/>
  <c r="L51" i="17"/>
  <c r="G51" i="17" s="1"/>
  <c r="F51" i="17" s="1"/>
  <c r="E51" i="17" s="1"/>
  <c r="L52" i="17"/>
  <c r="G52" i="17" s="1"/>
  <c r="F52" i="17" s="1"/>
  <c r="E52" i="17" s="1"/>
  <c r="L53" i="17"/>
  <c r="G53" i="17" s="1"/>
  <c r="F53" i="17" s="1"/>
  <c r="E53" i="17" s="1"/>
  <c r="L54" i="17"/>
  <c r="G54" i="17" s="1"/>
  <c r="F54" i="17" s="1"/>
  <c r="E54" i="17" s="1"/>
  <c r="L55" i="17"/>
  <c r="G55" i="17" s="1"/>
  <c r="F55" i="17" s="1"/>
  <c r="E55" i="17" s="1"/>
  <c r="L56" i="17"/>
  <c r="G56" i="17" s="1"/>
  <c r="F56" i="17" s="1"/>
  <c r="E56" i="17" s="1"/>
  <c r="L57" i="17"/>
  <c r="G57" i="17" s="1"/>
  <c r="F57" i="17" s="1"/>
  <c r="E57" i="17" s="1"/>
  <c r="L58" i="17"/>
  <c r="G58" i="17" s="1"/>
  <c r="F58" i="17" s="1"/>
  <c r="E58" i="17" s="1"/>
  <c r="L59" i="17"/>
  <c r="G59" i="17" s="1"/>
  <c r="F59" i="17" s="1"/>
  <c r="E59" i="17" s="1"/>
  <c r="L60" i="17"/>
  <c r="G60" i="17" s="1"/>
  <c r="F60" i="17" s="1"/>
  <c r="E60" i="17" s="1"/>
  <c r="L61" i="17"/>
  <c r="G61" i="17" s="1"/>
  <c r="F61" i="17" s="1"/>
  <c r="E61" i="17" s="1"/>
  <c r="L62" i="17"/>
  <c r="G62" i="17" s="1"/>
  <c r="F62" i="17" s="1"/>
  <c r="E62" i="17" s="1"/>
  <c r="L63" i="17"/>
  <c r="G63" i="17" s="1"/>
  <c r="F63" i="17" s="1"/>
  <c r="E63" i="17" s="1"/>
  <c r="L64" i="17"/>
  <c r="G64" i="17" s="1"/>
  <c r="F64" i="17" s="1"/>
  <c r="E64" i="17" s="1"/>
  <c r="L65" i="17"/>
  <c r="G65" i="17" s="1"/>
  <c r="F65" i="17" s="1"/>
  <c r="E65" i="17" s="1"/>
  <c r="L66" i="17"/>
  <c r="G66" i="17" s="1"/>
  <c r="F66" i="17" s="1"/>
  <c r="E66" i="17" s="1"/>
  <c r="L67" i="17"/>
  <c r="G67" i="17" s="1"/>
  <c r="F67" i="17" s="1"/>
  <c r="E67" i="17" s="1"/>
  <c r="L68" i="17"/>
  <c r="G68" i="17" s="1"/>
  <c r="F68" i="17" s="1"/>
  <c r="E68" i="17" s="1"/>
  <c r="L69" i="17"/>
  <c r="G69" i="17" s="1"/>
  <c r="F69" i="17" s="1"/>
  <c r="E69" i="17" s="1"/>
  <c r="L70" i="17"/>
  <c r="G70" i="17" s="1"/>
  <c r="F70" i="17" s="1"/>
  <c r="E70" i="17" s="1"/>
  <c r="L71" i="17"/>
  <c r="G71" i="17" s="1"/>
  <c r="F71" i="17" s="1"/>
  <c r="E71" i="17" s="1"/>
  <c r="L72" i="17"/>
  <c r="G72" i="17" s="1"/>
  <c r="F72" i="17" s="1"/>
  <c r="E72" i="17" s="1"/>
  <c r="L73" i="17"/>
  <c r="G73" i="17" s="1"/>
  <c r="F73" i="17" s="1"/>
  <c r="E73" i="17" s="1"/>
  <c r="L74" i="17"/>
  <c r="G74" i="17" s="1"/>
  <c r="F74" i="17" s="1"/>
  <c r="E74" i="17" s="1"/>
  <c r="L75" i="17"/>
  <c r="G75" i="17" s="1"/>
  <c r="F75" i="17" s="1"/>
  <c r="E75" i="17" s="1"/>
  <c r="L76" i="17"/>
  <c r="G76" i="17" s="1"/>
  <c r="F76" i="17" s="1"/>
  <c r="E76" i="17" s="1"/>
  <c r="L77" i="17"/>
  <c r="G77" i="17" s="1"/>
  <c r="F77" i="17" s="1"/>
  <c r="E77" i="17" s="1"/>
  <c r="L78" i="17"/>
  <c r="G78" i="17" s="1"/>
  <c r="F78" i="17" s="1"/>
  <c r="E78" i="17" s="1"/>
  <c r="L79" i="17"/>
  <c r="G79" i="17" s="1"/>
  <c r="F79" i="17" s="1"/>
  <c r="E79" i="17" s="1"/>
  <c r="L80" i="17"/>
  <c r="G80" i="17" s="1"/>
  <c r="F80" i="17" s="1"/>
  <c r="E80" i="17" s="1"/>
  <c r="L81" i="17"/>
  <c r="G81" i="17" s="1"/>
  <c r="F81" i="17" s="1"/>
  <c r="E81" i="17" s="1"/>
  <c r="L82" i="17"/>
  <c r="G82" i="17" s="1"/>
  <c r="F82" i="17" s="1"/>
  <c r="E82" i="17" s="1"/>
  <c r="L83" i="17"/>
  <c r="G83" i="17" s="1"/>
  <c r="F83" i="17" s="1"/>
  <c r="E83" i="17" s="1"/>
  <c r="L84" i="17"/>
  <c r="G84" i="17" s="1"/>
  <c r="F84" i="17" s="1"/>
  <c r="E84" i="17" s="1"/>
  <c r="L85" i="17"/>
  <c r="G85" i="17" s="1"/>
  <c r="F85" i="17" s="1"/>
  <c r="E85" i="17" s="1"/>
  <c r="L86" i="17"/>
  <c r="G86" i="17" s="1"/>
  <c r="F86" i="17" s="1"/>
  <c r="E86" i="17" s="1"/>
  <c r="L87" i="17"/>
  <c r="G87" i="17" s="1"/>
  <c r="F87" i="17" s="1"/>
  <c r="E87" i="17" s="1"/>
  <c r="L88" i="17"/>
  <c r="G88" i="17" s="1"/>
  <c r="F88" i="17" s="1"/>
  <c r="E88" i="17" s="1"/>
  <c r="L89" i="17"/>
  <c r="G89" i="17" s="1"/>
  <c r="F89" i="17" s="1"/>
  <c r="E89" i="17" s="1"/>
  <c r="L90" i="17"/>
  <c r="G90" i="17" s="1"/>
  <c r="F90" i="17" s="1"/>
  <c r="E90" i="17" s="1"/>
  <c r="L91" i="17"/>
  <c r="G91" i="17" s="1"/>
  <c r="F91" i="17" s="1"/>
  <c r="E91" i="17" s="1"/>
  <c r="L92" i="17"/>
  <c r="G92" i="17" s="1"/>
  <c r="F92" i="17" s="1"/>
  <c r="E92" i="17" s="1"/>
  <c r="L93" i="17"/>
  <c r="G93" i="17" s="1"/>
  <c r="F93" i="17" s="1"/>
  <c r="E93" i="17" s="1"/>
  <c r="L94" i="17"/>
  <c r="G94" i="17" s="1"/>
  <c r="F94" i="17" s="1"/>
  <c r="E94" i="17" s="1"/>
  <c r="L95" i="17"/>
  <c r="G95" i="17" s="1"/>
  <c r="F95" i="17" s="1"/>
  <c r="E95" i="17" s="1"/>
  <c r="L96" i="17"/>
  <c r="G96" i="17" s="1"/>
  <c r="F96" i="17" s="1"/>
  <c r="E96" i="17" s="1"/>
  <c r="L97" i="17"/>
  <c r="G97" i="17" s="1"/>
  <c r="F97" i="17" s="1"/>
  <c r="E97" i="17" s="1"/>
  <c r="L98" i="17"/>
  <c r="G98" i="17" s="1"/>
  <c r="F98" i="17" s="1"/>
  <c r="E98" i="17" s="1"/>
  <c r="L99" i="17"/>
  <c r="G99" i="17" s="1"/>
  <c r="F99" i="17" s="1"/>
  <c r="E99" i="17" s="1"/>
  <c r="L100" i="17"/>
  <c r="G100" i="17" s="1"/>
  <c r="F100" i="17" s="1"/>
  <c r="E100" i="17" s="1"/>
  <c r="L101" i="17"/>
  <c r="G101" i="17" s="1"/>
  <c r="F101" i="17" s="1"/>
  <c r="E101" i="17" s="1"/>
  <c r="L102" i="17"/>
  <c r="G102" i="17" s="1"/>
  <c r="F102" i="17" s="1"/>
  <c r="E102" i="17" s="1"/>
  <c r="L103" i="17"/>
  <c r="G103" i="17" s="1"/>
  <c r="F103" i="17" s="1"/>
  <c r="E103" i="17" s="1"/>
  <c r="L104" i="17"/>
  <c r="G104" i="17" s="1"/>
  <c r="F104" i="17" s="1"/>
  <c r="E104" i="17" s="1"/>
  <c r="L105" i="17"/>
  <c r="G105" i="17" s="1"/>
  <c r="F105" i="17" s="1"/>
  <c r="E105" i="17" s="1"/>
  <c r="L106" i="17"/>
  <c r="G106" i="17" s="1"/>
  <c r="F106" i="17" s="1"/>
  <c r="E106" i="17" s="1"/>
  <c r="L107" i="17"/>
  <c r="G107" i="17" s="1"/>
  <c r="F107" i="17" s="1"/>
  <c r="E107" i="17" s="1"/>
  <c r="L108" i="17"/>
  <c r="G108" i="17" s="1"/>
  <c r="F108" i="17" s="1"/>
  <c r="E108" i="17" s="1"/>
  <c r="L109" i="17"/>
  <c r="G109" i="17" s="1"/>
  <c r="F109" i="17" s="1"/>
  <c r="E109" i="17" s="1"/>
  <c r="L110" i="17"/>
  <c r="G110" i="17" s="1"/>
  <c r="F110" i="17" s="1"/>
  <c r="E110" i="17" s="1"/>
  <c r="L111" i="17"/>
  <c r="G111" i="17" s="1"/>
  <c r="F111" i="17" s="1"/>
  <c r="E111" i="17" s="1"/>
  <c r="L112" i="17"/>
  <c r="G112" i="17" s="1"/>
  <c r="F112" i="17" s="1"/>
  <c r="E112" i="17" s="1"/>
  <c r="L113" i="17"/>
  <c r="G113" i="17" s="1"/>
  <c r="F113" i="17" s="1"/>
  <c r="E113" i="17" s="1"/>
  <c r="L114" i="17"/>
  <c r="G114" i="17" s="1"/>
  <c r="F114" i="17" s="1"/>
  <c r="E114" i="17" s="1"/>
  <c r="L115" i="17"/>
  <c r="G115" i="17" s="1"/>
  <c r="F115" i="17" s="1"/>
  <c r="E115" i="17" s="1"/>
  <c r="L116" i="17"/>
  <c r="G116" i="17" s="1"/>
  <c r="F116" i="17" s="1"/>
  <c r="E116" i="17" s="1"/>
  <c r="L117" i="17"/>
  <c r="G117" i="17" s="1"/>
  <c r="F117" i="17" s="1"/>
  <c r="E117" i="17" s="1"/>
  <c r="L118" i="17"/>
  <c r="G118" i="17" s="1"/>
  <c r="F118" i="17" s="1"/>
  <c r="E118" i="17" s="1"/>
  <c r="L119" i="17"/>
  <c r="G119" i="17" s="1"/>
  <c r="F119" i="17" s="1"/>
  <c r="E119" i="17" s="1"/>
  <c r="L120" i="17"/>
  <c r="G120" i="17" s="1"/>
  <c r="F120" i="17" s="1"/>
  <c r="E120" i="17" s="1"/>
  <c r="L121" i="17"/>
  <c r="G121" i="17" s="1"/>
  <c r="F121" i="17" s="1"/>
  <c r="E121" i="17" s="1"/>
  <c r="L122" i="17"/>
  <c r="G122" i="17" s="1"/>
  <c r="F122" i="17" s="1"/>
  <c r="E122" i="17" s="1"/>
  <c r="L123" i="17"/>
  <c r="G123" i="17" s="1"/>
  <c r="F123" i="17" s="1"/>
  <c r="E123" i="17" s="1"/>
  <c r="L124" i="17"/>
  <c r="G124" i="17" s="1"/>
  <c r="F124" i="17" s="1"/>
  <c r="E124" i="17" s="1"/>
  <c r="L125" i="17"/>
  <c r="G125" i="17" s="1"/>
  <c r="F125" i="17" s="1"/>
  <c r="E125" i="17" s="1"/>
  <c r="L126" i="17"/>
  <c r="G126" i="17" s="1"/>
  <c r="F126" i="17" s="1"/>
  <c r="E126" i="17" s="1"/>
  <c r="L127" i="17"/>
  <c r="G127" i="17" s="1"/>
  <c r="F127" i="17" s="1"/>
  <c r="E127" i="17" s="1"/>
  <c r="L128" i="17"/>
  <c r="G128" i="17" s="1"/>
  <c r="F128" i="17" s="1"/>
  <c r="E128" i="17" s="1"/>
  <c r="L129" i="17"/>
  <c r="G129" i="17" s="1"/>
  <c r="F129" i="17" s="1"/>
  <c r="E129" i="17" s="1"/>
  <c r="L130" i="17"/>
  <c r="G130" i="17" s="1"/>
  <c r="F130" i="17" s="1"/>
  <c r="E130" i="17" s="1"/>
  <c r="L131" i="17"/>
  <c r="G131" i="17" s="1"/>
  <c r="F131" i="17" s="1"/>
  <c r="E131" i="17" s="1"/>
  <c r="L132" i="17"/>
  <c r="G132" i="17" s="1"/>
  <c r="F132" i="17" s="1"/>
  <c r="E132" i="17" s="1"/>
  <c r="L133" i="17"/>
  <c r="G133" i="17" s="1"/>
  <c r="F133" i="17" s="1"/>
  <c r="E133" i="17" s="1"/>
  <c r="L134" i="17"/>
  <c r="G134" i="17" s="1"/>
  <c r="F134" i="17" s="1"/>
  <c r="E134" i="17" s="1"/>
  <c r="L135" i="17"/>
  <c r="G135" i="17" s="1"/>
  <c r="F135" i="17" s="1"/>
  <c r="E135" i="17" s="1"/>
  <c r="L136" i="17"/>
  <c r="G136" i="17" s="1"/>
  <c r="F136" i="17" s="1"/>
  <c r="E136" i="17" s="1"/>
  <c r="L137" i="17"/>
  <c r="G137" i="17" s="1"/>
  <c r="F137" i="17" s="1"/>
  <c r="E137" i="17" s="1"/>
  <c r="L138" i="17"/>
  <c r="G138" i="17" s="1"/>
  <c r="F138" i="17" s="1"/>
  <c r="E138" i="17" s="1"/>
  <c r="L139" i="17"/>
  <c r="G139" i="17" s="1"/>
  <c r="F139" i="17" s="1"/>
  <c r="E139" i="17" s="1"/>
  <c r="L140" i="17"/>
  <c r="G140" i="17" s="1"/>
  <c r="F140" i="17" s="1"/>
  <c r="E140" i="17" s="1"/>
  <c r="L141" i="17"/>
  <c r="G141" i="17" s="1"/>
  <c r="F141" i="17" s="1"/>
  <c r="E141" i="17" s="1"/>
  <c r="L142" i="17"/>
  <c r="G142" i="17" s="1"/>
  <c r="F142" i="17" s="1"/>
  <c r="E142" i="17" s="1"/>
  <c r="L143" i="17"/>
  <c r="G143" i="17" s="1"/>
  <c r="F143" i="17" s="1"/>
  <c r="E143" i="17" s="1"/>
  <c r="L144" i="17"/>
  <c r="G144" i="17" s="1"/>
  <c r="F144" i="17" s="1"/>
  <c r="E144" i="17" s="1"/>
  <c r="L145" i="17"/>
  <c r="G145" i="17" s="1"/>
  <c r="F145" i="17" s="1"/>
  <c r="E145" i="17" s="1"/>
  <c r="L146" i="17"/>
  <c r="G146" i="17" s="1"/>
  <c r="F146" i="17" s="1"/>
  <c r="E146" i="17" s="1"/>
  <c r="L147" i="17"/>
  <c r="G147" i="17" s="1"/>
  <c r="F147" i="17" s="1"/>
  <c r="E147" i="17" s="1"/>
  <c r="L148" i="17"/>
  <c r="G148" i="17" s="1"/>
  <c r="F148" i="17" s="1"/>
  <c r="E148" i="17" s="1"/>
  <c r="L149" i="17"/>
  <c r="G149" i="17" s="1"/>
  <c r="F149" i="17" s="1"/>
  <c r="E149" i="17" s="1"/>
  <c r="L150" i="17"/>
  <c r="G150" i="17" s="1"/>
  <c r="F150" i="17" s="1"/>
  <c r="E150" i="17" s="1"/>
  <c r="L151" i="17"/>
  <c r="G151" i="17" s="1"/>
  <c r="F151" i="17" s="1"/>
  <c r="E151" i="17" s="1"/>
  <c r="L152" i="17"/>
  <c r="G152" i="17" s="1"/>
  <c r="F152" i="17" s="1"/>
  <c r="E152" i="17" s="1"/>
  <c r="L153" i="17"/>
  <c r="G153" i="17" s="1"/>
  <c r="F153" i="17" s="1"/>
  <c r="E153" i="17" s="1"/>
  <c r="L154" i="17"/>
  <c r="G154" i="17" s="1"/>
  <c r="F154" i="17" s="1"/>
  <c r="E154" i="17" s="1"/>
  <c r="L155" i="17"/>
  <c r="G155" i="17" s="1"/>
  <c r="F155" i="17" s="1"/>
  <c r="E155" i="17" s="1"/>
  <c r="L156" i="17"/>
  <c r="G156" i="17" s="1"/>
  <c r="F156" i="17" s="1"/>
  <c r="E156" i="17" s="1"/>
  <c r="L157" i="17"/>
  <c r="G157" i="17" s="1"/>
  <c r="F157" i="17" s="1"/>
  <c r="E157" i="17" s="1"/>
  <c r="N156" i="17"/>
  <c r="N155" i="17"/>
  <c r="I210" i="5"/>
  <c r="Y210" i="5" s="1"/>
  <c r="I182" i="5"/>
  <c r="Y182" i="5" s="1"/>
  <c r="N68" i="17"/>
  <c r="N135" i="17"/>
  <c r="I193" i="5"/>
  <c r="Y193" i="5" s="1"/>
  <c r="N56" i="17"/>
  <c r="N123" i="17"/>
  <c r="I214" i="5"/>
  <c r="Y214" i="5" s="1"/>
  <c r="N80" i="17"/>
  <c r="N51" i="17"/>
  <c r="N116" i="17"/>
  <c r="I205" i="5"/>
  <c r="Y205" i="5" s="1"/>
  <c r="I186" i="5"/>
  <c r="Y186" i="5" s="1"/>
  <c r="H13" i="17"/>
  <c r="N72" i="17"/>
  <c r="N45" i="17"/>
  <c r="N145" i="17"/>
  <c r="N95" i="17"/>
  <c r="I195" i="5"/>
  <c r="Y195" i="5" s="1"/>
  <c r="N84" i="17"/>
  <c r="N64" i="17"/>
  <c r="N140" i="17"/>
  <c r="N108" i="17"/>
  <c r="I207" i="5"/>
  <c r="Y207" i="5" s="1"/>
  <c r="N76" i="17"/>
  <c r="N60" i="17"/>
  <c r="N40" i="17"/>
  <c r="N151" i="17"/>
  <c r="N129" i="17"/>
  <c r="N101" i="17"/>
  <c r="I183" i="5"/>
  <c r="Y183" i="5" s="1"/>
  <c r="I208" i="5"/>
  <c r="Y208" i="5" s="1"/>
  <c r="I194" i="5"/>
  <c r="Y194" i="5" s="1"/>
  <c r="I211" i="5"/>
  <c r="Y211" i="5" s="1"/>
  <c r="I189" i="5"/>
  <c r="Y189" i="5" s="1"/>
  <c r="N83" i="17"/>
  <c r="N79" i="17"/>
  <c r="N75" i="17"/>
  <c r="N71" i="17"/>
  <c r="N67" i="17"/>
  <c r="N63" i="17"/>
  <c r="N59" i="17"/>
  <c r="N55" i="17"/>
  <c r="N49" i="17"/>
  <c r="N44" i="17"/>
  <c r="N39" i="17"/>
  <c r="N149" i="17"/>
  <c r="N144" i="17"/>
  <c r="N139" i="17"/>
  <c r="N133" i="17"/>
  <c r="N128" i="17"/>
  <c r="N121" i="17"/>
  <c r="N113" i="17"/>
  <c r="N107" i="17"/>
  <c r="N100" i="17"/>
  <c r="N92" i="17"/>
  <c r="I196" i="5"/>
  <c r="Y196" i="5" s="1"/>
  <c r="I185" i="5"/>
  <c r="Y185" i="5" s="1"/>
  <c r="I199" i="5"/>
  <c r="Y199" i="5" s="1"/>
  <c r="I197" i="5"/>
  <c r="Y197" i="5" s="1"/>
  <c r="I192" i="5"/>
  <c r="Y192" i="5" s="1"/>
  <c r="I188" i="5"/>
  <c r="Y188" i="5" s="1"/>
  <c r="I187" i="5"/>
  <c r="Y187" i="5" s="1"/>
  <c r="I202" i="5"/>
  <c r="Y202" i="5" s="1"/>
  <c r="I190" i="5"/>
  <c r="Y190" i="5" s="1"/>
  <c r="N82" i="17"/>
  <c r="N78" i="17"/>
  <c r="N74" i="17"/>
  <c r="N70" i="17"/>
  <c r="N66" i="17"/>
  <c r="N62" i="17"/>
  <c r="N58" i="17"/>
  <c r="N53" i="17"/>
  <c r="N48" i="17"/>
  <c r="N43" i="17"/>
  <c r="N37" i="17"/>
  <c r="N153" i="17"/>
  <c r="N148" i="17"/>
  <c r="N142" i="17"/>
  <c r="N137" i="17"/>
  <c r="N132" i="17"/>
  <c r="N127" i="17"/>
  <c r="N119" i="17"/>
  <c r="N112" i="17"/>
  <c r="N105" i="17"/>
  <c r="N97" i="17"/>
  <c r="N89" i="17"/>
  <c r="I213" i="5"/>
  <c r="Y213" i="5" s="1"/>
  <c r="I201" i="5"/>
  <c r="Y201" i="5" s="1"/>
  <c r="I206" i="5"/>
  <c r="Y206" i="5" s="1"/>
  <c r="I209" i="5"/>
  <c r="Y209" i="5" s="1"/>
  <c r="I184" i="5"/>
  <c r="Y184" i="5" s="1"/>
  <c r="I215" i="5"/>
  <c r="Y215" i="5" s="1"/>
  <c r="I217" i="5"/>
  <c r="Y217" i="5" s="1"/>
  <c r="I212" i="5"/>
  <c r="Y212" i="5" s="1"/>
  <c r="I200" i="5"/>
  <c r="Y200" i="5" s="1"/>
  <c r="I191" i="5"/>
  <c r="Y191" i="5" s="1"/>
  <c r="I204" i="5"/>
  <c r="Y204" i="5" s="1"/>
  <c r="I216" i="5"/>
  <c r="Y216" i="5" s="1"/>
  <c r="I198" i="5"/>
  <c r="Y198" i="5" s="1"/>
  <c r="N85" i="17"/>
  <c r="N81" i="17"/>
  <c r="N77" i="17"/>
  <c r="N73" i="17"/>
  <c r="N69" i="17"/>
  <c r="N65" i="17"/>
  <c r="N61" i="17"/>
  <c r="N57" i="17"/>
  <c r="N52" i="17"/>
  <c r="N47" i="17"/>
  <c r="N41" i="17"/>
  <c r="N152" i="17"/>
  <c r="N147" i="17"/>
  <c r="N141" i="17"/>
  <c r="N136" i="17"/>
  <c r="N131" i="17"/>
  <c r="N124" i="17"/>
  <c r="N117" i="17"/>
  <c r="N111" i="17"/>
  <c r="N103" i="17"/>
  <c r="N96" i="17"/>
  <c r="N87" i="17"/>
  <c r="N91" i="17"/>
  <c r="M120" i="17"/>
  <c r="N125" i="17"/>
  <c r="N120" i="17"/>
  <c r="N115" i="17"/>
  <c r="N109" i="17"/>
  <c r="N104" i="17"/>
  <c r="N99" i="17"/>
  <c r="N93" i="17"/>
  <c r="N88" i="17"/>
  <c r="N54" i="17"/>
  <c r="N50" i="17"/>
  <c r="N46" i="17"/>
  <c r="N42" i="17"/>
  <c r="N38" i="17"/>
  <c r="M219" i="17"/>
  <c r="N154" i="17"/>
  <c r="N150" i="17"/>
  <c r="N146" i="17"/>
  <c r="N143" i="17"/>
  <c r="N138" i="17"/>
  <c r="N134" i="17"/>
  <c r="N130" i="17"/>
  <c r="N126" i="17"/>
  <c r="N122" i="17"/>
  <c r="N118" i="17"/>
  <c r="N114" i="17"/>
  <c r="N110" i="17"/>
  <c r="N106" i="17"/>
  <c r="N102" i="17"/>
  <c r="N98" i="17"/>
  <c r="N94" i="17"/>
  <c r="N90" i="17"/>
  <c r="M184" i="17"/>
  <c r="M168" i="17"/>
  <c r="M104" i="17"/>
  <c r="M216" i="17"/>
  <c r="M152" i="17"/>
  <c r="M88" i="17"/>
  <c r="M200" i="17"/>
  <c r="M136" i="17"/>
  <c r="M68" i="17"/>
  <c r="M212" i="17"/>
  <c r="M180" i="17"/>
  <c r="M148" i="17"/>
  <c r="M132" i="17"/>
  <c r="M100" i="17"/>
  <c r="M84" i="17"/>
  <c r="M60" i="17"/>
  <c r="M208" i="17"/>
  <c r="M192" i="17"/>
  <c r="M176" i="17"/>
  <c r="M160" i="17"/>
  <c r="M144" i="17"/>
  <c r="M128" i="17"/>
  <c r="M112" i="17"/>
  <c r="M96" i="17"/>
  <c r="M80" i="17"/>
  <c r="M52" i="17"/>
  <c r="M196" i="17"/>
  <c r="M164" i="17"/>
  <c r="M116" i="17"/>
  <c r="M204" i="17"/>
  <c r="M188" i="17"/>
  <c r="M172" i="17"/>
  <c r="M156" i="17"/>
  <c r="M140" i="17"/>
  <c r="M124" i="17"/>
  <c r="M108" i="17"/>
  <c r="M92" i="17"/>
  <c r="M76" i="17"/>
  <c r="M44" i="17"/>
  <c r="M210" i="17"/>
  <c r="M202" i="17"/>
  <c r="M194" i="17"/>
  <c r="M186" i="17"/>
  <c r="M178" i="17"/>
  <c r="M170" i="17"/>
  <c r="M162" i="17"/>
  <c r="M154" i="17"/>
  <c r="M146" i="17"/>
  <c r="M138" i="17"/>
  <c r="M130" i="17"/>
  <c r="M122" i="17"/>
  <c r="M114" i="17"/>
  <c r="M106" i="17"/>
  <c r="M98" i="17"/>
  <c r="M90" i="17"/>
  <c r="M82" i="17"/>
  <c r="M72" i="17"/>
  <c r="M56" i="17"/>
  <c r="M40" i="17"/>
  <c r="M214" i="17"/>
  <c r="M206" i="17"/>
  <c r="M198" i="17"/>
  <c r="M190" i="17"/>
  <c r="M182" i="17"/>
  <c r="M174" i="17"/>
  <c r="M166" i="17"/>
  <c r="M158" i="17"/>
  <c r="M150" i="17"/>
  <c r="M142" i="17"/>
  <c r="M134" i="17"/>
  <c r="M126" i="17"/>
  <c r="M118" i="17"/>
  <c r="M110" i="17"/>
  <c r="M102" i="17"/>
  <c r="M94" i="17"/>
  <c r="M86" i="17"/>
  <c r="M78" i="17"/>
  <c r="M64" i="17"/>
  <c r="M48" i="17"/>
  <c r="M221" i="17"/>
  <c r="M74" i="17"/>
  <c r="M70" i="17"/>
  <c r="M66" i="17"/>
  <c r="M62" i="17"/>
  <c r="M58" i="17"/>
  <c r="M54" i="17"/>
  <c r="M50" i="17"/>
  <c r="M46" i="17"/>
  <c r="M42" i="17"/>
  <c r="M38" i="17"/>
  <c r="M220" i="17"/>
  <c r="M213" i="17"/>
  <c r="M209" i="17"/>
  <c r="M205" i="17"/>
  <c r="M201" i="17"/>
  <c r="M197" i="17"/>
  <c r="M193" i="17"/>
  <c r="M189" i="17"/>
  <c r="M185" i="17"/>
  <c r="M181" i="17"/>
  <c r="M177" i="17"/>
  <c r="M173" i="17"/>
  <c r="M169" i="17"/>
  <c r="M165" i="17"/>
  <c r="M161" i="17"/>
  <c r="M157" i="17"/>
  <c r="M153" i="17"/>
  <c r="M149" i="17"/>
  <c r="M145" i="17"/>
  <c r="M141" i="17"/>
  <c r="M137" i="17"/>
  <c r="M133" i="17"/>
  <c r="M129" i="17"/>
  <c r="M125" i="17"/>
  <c r="M121" i="17"/>
  <c r="M117" i="17"/>
  <c r="M113" i="17"/>
  <c r="M109" i="17"/>
  <c r="M105" i="17"/>
  <c r="M101" i="17"/>
  <c r="M97" i="17"/>
  <c r="M93" i="17"/>
  <c r="M89" i="17"/>
  <c r="M85" i="17"/>
  <c r="M81" i="17"/>
  <c r="M77" i="17"/>
  <c r="M73" i="17"/>
  <c r="M69" i="17"/>
  <c r="M65" i="17"/>
  <c r="M61" i="17"/>
  <c r="M57" i="17"/>
  <c r="M53" i="17"/>
  <c r="M49" i="17"/>
  <c r="M45" i="17"/>
  <c r="M41" i="17"/>
  <c r="M37" i="17"/>
  <c r="M222" i="17"/>
  <c r="M215" i="17"/>
  <c r="M211" i="17"/>
  <c r="M207" i="17"/>
  <c r="M203" i="17"/>
  <c r="M199" i="17"/>
  <c r="M195" i="17"/>
  <c r="M191" i="17"/>
  <c r="M187" i="17"/>
  <c r="M183" i="17"/>
  <c r="M179" i="17"/>
  <c r="M175" i="17"/>
  <c r="M171" i="17"/>
  <c r="M167" i="17"/>
  <c r="M163" i="17"/>
  <c r="M159" i="17"/>
  <c r="M155" i="17"/>
  <c r="M151" i="17"/>
  <c r="M147" i="17"/>
  <c r="M143" i="17"/>
  <c r="M139" i="17"/>
  <c r="M135" i="17"/>
  <c r="M131" i="17"/>
  <c r="M127" i="17"/>
  <c r="M123" i="17"/>
  <c r="M119" i="17"/>
  <c r="M115" i="17"/>
  <c r="M111" i="17"/>
  <c r="M107" i="17"/>
  <c r="M103" i="17"/>
  <c r="M99" i="17"/>
  <c r="M95" i="17"/>
  <c r="M91" i="17"/>
  <c r="M87" i="17"/>
  <c r="M83" i="17"/>
  <c r="M79" i="17"/>
  <c r="M75" i="17"/>
  <c r="M71" i="17"/>
  <c r="M67" i="17"/>
  <c r="M63" i="17"/>
  <c r="M59" i="17"/>
  <c r="M55" i="17"/>
  <c r="M51" i="17"/>
  <c r="M47" i="17"/>
  <c r="M43" i="17"/>
  <c r="M39" i="17"/>
  <c r="M218" i="17"/>
  <c r="I5" i="5" l="1"/>
  <c r="E38" i="17"/>
  <c r="N31" i="17"/>
  <c r="L31" i="17"/>
  <c r="M31" i="17"/>
  <c r="I181" i="5" l="1"/>
  <c r="Y181" i="5" s="1"/>
  <c r="I14" i="5"/>
  <c r="Y14" i="5" s="1"/>
  <c r="I8" i="5"/>
  <c r="Y8" i="5" s="1"/>
  <c r="I2" i="5"/>
  <c r="J3" i="5" s="1"/>
  <c r="K3" i="5" s="1"/>
  <c r="Y3" i="5"/>
  <c r="Y5" i="5"/>
  <c r="I7" i="5"/>
  <c r="Y7" i="5" s="1"/>
  <c r="I19" i="5"/>
  <c r="Y19" i="5" s="1"/>
  <c r="I16" i="5"/>
  <c r="Y16" i="5" s="1"/>
  <c r="I20" i="5"/>
  <c r="Y20" i="5" s="1"/>
  <c r="I26" i="5"/>
  <c r="Y26" i="5" s="1"/>
  <c r="I12" i="5"/>
  <c r="Y12" i="5" s="1"/>
  <c r="I15" i="5"/>
  <c r="Y15" i="5" s="1"/>
  <c r="I25" i="5"/>
  <c r="Y25" i="5" s="1"/>
  <c r="I13" i="5"/>
  <c r="Y13" i="5" s="1"/>
  <c r="I6" i="5"/>
  <c r="Y6" i="5" s="1"/>
  <c r="I18" i="5"/>
  <c r="Y18" i="5" s="1"/>
  <c r="I11" i="5"/>
  <c r="Y11" i="5" s="1"/>
  <c r="I23" i="5"/>
  <c r="Y23" i="5" s="1"/>
  <c r="I21" i="5"/>
  <c r="Y21" i="5" s="1"/>
  <c r="I24" i="5"/>
  <c r="Y24" i="5" s="1"/>
  <c r="I27" i="5"/>
  <c r="Y27" i="5" s="1"/>
  <c r="I29" i="5"/>
  <c r="Y29" i="5" s="1"/>
  <c r="I31" i="5"/>
  <c r="Y31" i="5" s="1"/>
  <c r="I10" i="5" l="1"/>
  <c r="Y10" i="5" s="1"/>
  <c r="I22" i="5"/>
  <c r="Y22" i="5" s="1"/>
  <c r="I4" i="5"/>
  <c r="Y4" i="5" s="1"/>
  <c r="I9" i="5"/>
  <c r="Y9" i="5" s="1"/>
  <c r="I17" i="5"/>
  <c r="Y17" i="5" s="1"/>
  <c r="Y2" i="5"/>
  <c r="J4" i="5"/>
  <c r="I30" i="5"/>
  <c r="Y30" i="5" s="1"/>
  <c r="I34" i="5"/>
  <c r="Y34" i="5" s="1"/>
  <c r="I28" i="5"/>
  <c r="Y28" i="5" s="1"/>
  <c r="S3" i="5"/>
  <c r="V3" i="5"/>
  <c r="I32" i="5"/>
  <c r="Y32" i="5" s="1"/>
  <c r="I35" i="5"/>
  <c r="Y35" i="5" s="1"/>
  <c r="J5" i="5" l="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K4" i="5"/>
  <c r="I33" i="5"/>
  <c r="Y33" i="5" s="1"/>
  <c r="T3" i="5"/>
  <c r="U3" i="5" s="1"/>
  <c r="I36" i="5"/>
  <c r="Y36" i="5" s="1"/>
  <c r="I39" i="5"/>
  <c r="Y39" i="5" s="1"/>
  <c r="W3" i="5"/>
  <c r="X3" i="5" s="1"/>
  <c r="V4" i="5"/>
  <c r="S4" i="5"/>
  <c r="T4" i="5" s="1"/>
  <c r="U4" i="5" s="1"/>
  <c r="K5" i="5" l="1"/>
  <c r="I38" i="5"/>
  <c r="Y38" i="5" s="1"/>
  <c r="J34" i="5"/>
  <c r="J35" i="5" s="1"/>
  <c r="J36" i="5" s="1"/>
  <c r="J37" i="5" s="1"/>
  <c r="W4" i="5"/>
  <c r="X4" i="5" s="1"/>
  <c r="I37" i="5"/>
  <c r="Y37" i="5" s="1"/>
  <c r="I43" i="5"/>
  <c r="Y43" i="5" s="1"/>
  <c r="K6" i="5"/>
  <c r="S5" i="5"/>
  <c r="V5" i="5"/>
  <c r="I40" i="5"/>
  <c r="Y40" i="5" s="1"/>
  <c r="I42" i="5" l="1"/>
  <c r="Y42" i="5" s="1"/>
  <c r="J38" i="5"/>
  <c r="J39" i="5" s="1"/>
  <c r="J40" i="5" s="1"/>
  <c r="J41" i="5" s="1"/>
  <c r="W5" i="5"/>
  <c r="I46" i="5"/>
  <c r="Y46" i="5" s="1"/>
  <c r="I41" i="5"/>
  <c r="Y41" i="5" s="1"/>
  <c r="V6" i="5"/>
  <c r="S6" i="5"/>
  <c r="T6" i="5" s="1"/>
  <c r="K7" i="5"/>
  <c r="I44" i="5"/>
  <c r="Y44" i="5" s="1"/>
  <c r="X5" i="5"/>
  <c r="I47" i="5"/>
  <c r="Y47" i="5" s="1"/>
  <c r="U5" i="5"/>
  <c r="T5" i="5"/>
  <c r="J42" i="5" l="1"/>
  <c r="J43" i="5" s="1"/>
  <c r="J44" i="5" s="1"/>
  <c r="J45" i="5" s="1"/>
  <c r="W6" i="5"/>
  <c r="I45" i="5"/>
  <c r="Y45" i="5" s="1"/>
  <c r="I50" i="5"/>
  <c r="Y50" i="5" s="1"/>
  <c r="I48" i="5"/>
  <c r="Y48" i="5" s="1"/>
  <c r="V7" i="5"/>
  <c r="W7" i="5" s="1"/>
  <c r="K8" i="5"/>
  <c r="S7" i="5"/>
  <c r="I51" i="5"/>
  <c r="Y51" i="5" s="1"/>
  <c r="U6" i="5"/>
  <c r="X6" i="5"/>
  <c r="J46" i="5" l="1"/>
  <c r="J47" i="5" s="1"/>
  <c r="J48" i="5" s="1"/>
  <c r="J49" i="5" s="1"/>
  <c r="X7" i="5"/>
  <c r="I54" i="5"/>
  <c r="Y54" i="5" s="1"/>
  <c r="I49" i="5"/>
  <c r="Y49" i="5" s="1"/>
  <c r="U7" i="5"/>
  <c r="I52" i="5"/>
  <c r="Y52" i="5" s="1"/>
  <c r="T7" i="5"/>
  <c r="I55" i="5"/>
  <c r="Y55" i="5" s="1"/>
  <c r="V8" i="5"/>
  <c r="W8" i="5" s="1"/>
  <c r="K9" i="5"/>
  <c r="S8" i="5"/>
  <c r="U8" i="5" s="1"/>
  <c r="J50" i="5" l="1"/>
  <c r="J51" i="5" s="1"/>
  <c r="J52" i="5" s="1"/>
  <c r="J53" i="5" s="1"/>
  <c r="X8" i="5"/>
  <c r="I53" i="5"/>
  <c r="Y53" i="5" s="1"/>
  <c r="I60" i="5"/>
  <c r="Y60" i="5" s="1"/>
  <c r="T8" i="5"/>
  <c r="I59" i="5"/>
  <c r="Y59" i="5" s="1"/>
  <c r="I56" i="5"/>
  <c r="Y56" i="5" s="1"/>
  <c r="V9" i="5"/>
  <c r="S9" i="5"/>
  <c r="K10" i="5"/>
  <c r="I58" i="5" l="1"/>
  <c r="Y58" i="5" s="1"/>
  <c r="J54" i="5"/>
  <c r="J55" i="5" s="1"/>
  <c r="J56" i="5" s="1"/>
  <c r="J57" i="5" s="1"/>
  <c r="X9" i="5"/>
  <c r="W9" i="5"/>
  <c r="I57" i="5"/>
  <c r="Y57" i="5" s="1"/>
  <c r="S10" i="5"/>
  <c r="U10" i="5" s="1"/>
  <c r="V10" i="5"/>
  <c r="K11" i="5"/>
  <c r="T9" i="5"/>
  <c r="U9" i="5"/>
  <c r="I62" i="5"/>
  <c r="Y62" i="5" s="1"/>
  <c r="J58" i="5" l="1"/>
  <c r="J59" i="5" s="1"/>
  <c r="J60" i="5" s="1"/>
  <c r="J61" i="5" s="1"/>
  <c r="W10" i="5"/>
  <c r="X10" i="5"/>
  <c r="I61" i="5"/>
  <c r="Y61" i="5" s="1"/>
  <c r="I66" i="5"/>
  <c r="Y66" i="5" s="1"/>
  <c r="I63" i="5"/>
  <c r="Y63" i="5" s="1"/>
  <c r="T10" i="5"/>
  <c r="S11" i="5"/>
  <c r="K12" i="5"/>
  <c r="V11" i="5"/>
  <c r="I65" i="5" l="1"/>
  <c r="Y65" i="5" s="1"/>
  <c r="I64" i="5"/>
  <c r="Y64" i="5" s="1"/>
  <c r="J62" i="5"/>
  <c r="J63" i="5" s="1"/>
  <c r="J64" i="5" s="1"/>
  <c r="W11" i="5"/>
  <c r="X11" i="5"/>
  <c r="I70" i="5"/>
  <c r="Y70" i="5" s="1"/>
  <c r="I67" i="5"/>
  <c r="Y67" i="5" s="1"/>
  <c r="K13" i="5"/>
  <c r="S12" i="5"/>
  <c r="T12" i="5" s="1"/>
  <c r="V12" i="5"/>
  <c r="T11" i="5"/>
  <c r="U11" i="5"/>
  <c r="I68" i="5"/>
  <c r="Y68" i="5" s="1"/>
  <c r="J65" i="5" l="1"/>
  <c r="J66" i="5" s="1"/>
  <c r="J67" i="5" s="1"/>
  <c r="J68" i="5" s="1"/>
  <c r="J69" i="5" s="1"/>
  <c r="X12" i="5"/>
  <c r="W12" i="5"/>
  <c r="I72" i="5"/>
  <c r="Y72" i="5" s="1"/>
  <c r="I69" i="5"/>
  <c r="Y69" i="5" s="1"/>
  <c r="I74" i="5"/>
  <c r="Y74" i="5" s="1"/>
  <c r="I71" i="5"/>
  <c r="Y71" i="5" s="1"/>
  <c r="U12" i="5"/>
  <c r="S13" i="5"/>
  <c r="U13" i="5" s="1"/>
  <c r="K14" i="5"/>
  <c r="V13" i="5"/>
  <c r="X13" i="5" s="1"/>
  <c r="J70" i="5" l="1"/>
  <c r="J71" i="5" s="1"/>
  <c r="J72" i="5" s="1"/>
  <c r="J73" i="5" s="1"/>
  <c r="W13" i="5"/>
  <c r="I78" i="5"/>
  <c r="Y78" i="5" s="1"/>
  <c r="I76" i="5"/>
  <c r="Y76" i="5" s="1"/>
  <c r="I73" i="5"/>
  <c r="Y73" i="5" s="1"/>
  <c r="I75" i="5"/>
  <c r="Y75" i="5" s="1"/>
  <c r="T13" i="5"/>
  <c r="S14" i="5"/>
  <c r="T14" i="5" s="1"/>
  <c r="V14" i="5"/>
  <c r="W14" i="5" s="1"/>
  <c r="K15" i="5"/>
  <c r="J74" i="5" l="1"/>
  <c r="J75" i="5" s="1"/>
  <c r="J76" i="5" s="1"/>
  <c r="J77" i="5" s="1"/>
  <c r="X14" i="5"/>
  <c r="I82" i="5"/>
  <c r="Y82" i="5" s="1"/>
  <c r="I79" i="5"/>
  <c r="Y79" i="5" s="1"/>
  <c r="I80" i="5"/>
  <c r="Y80" i="5" s="1"/>
  <c r="I77" i="5"/>
  <c r="Y77" i="5" s="1"/>
  <c r="U14" i="5"/>
  <c r="K16" i="5"/>
  <c r="V15" i="5"/>
  <c r="S15" i="5"/>
  <c r="J78" i="5" l="1"/>
  <c r="J79" i="5" s="1"/>
  <c r="J80" i="5" s="1"/>
  <c r="J81" i="5" s="1"/>
  <c r="W15" i="5"/>
  <c r="X15" i="5"/>
  <c r="I83" i="5"/>
  <c r="Y83" i="5" s="1"/>
  <c r="I84" i="5"/>
  <c r="Y84" i="5" s="1"/>
  <c r="I81" i="5"/>
  <c r="Y81" i="5" s="1"/>
  <c r="I86" i="5"/>
  <c r="Y86" i="5" s="1"/>
  <c r="U15" i="5"/>
  <c r="S16" i="5"/>
  <c r="V16" i="5"/>
  <c r="K17" i="5"/>
  <c r="T15" i="5"/>
  <c r="J82" i="5" l="1"/>
  <c r="J83" i="5" s="1"/>
  <c r="J84" i="5" s="1"/>
  <c r="J85" i="5" s="1"/>
  <c r="W16" i="5"/>
  <c r="X16" i="5"/>
  <c r="I88" i="5"/>
  <c r="Y88" i="5" s="1"/>
  <c r="I85" i="5"/>
  <c r="Y85" i="5" s="1"/>
  <c r="I90" i="5"/>
  <c r="Y90" i="5" s="1"/>
  <c r="I87" i="5"/>
  <c r="Y87" i="5" s="1"/>
  <c r="S17" i="5"/>
  <c r="T17" i="5" s="1"/>
  <c r="V17" i="5"/>
  <c r="W17" i="5" s="1"/>
  <c r="K18" i="5"/>
  <c r="U16" i="5"/>
  <c r="T16" i="5"/>
  <c r="J86" i="5" l="1"/>
  <c r="J87" i="5" s="1"/>
  <c r="J88" i="5" s="1"/>
  <c r="J89" i="5" s="1"/>
  <c r="X17" i="5"/>
  <c r="I92" i="5"/>
  <c r="Y92" i="5" s="1"/>
  <c r="I89" i="5"/>
  <c r="Y89" i="5" s="1"/>
  <c r="I94" i="5"/>
  <c r="Y94" i="5" s="1"/>
  <c r="I91" i="5"/>
  <c r="Y91" i="5" s="1"/>
  <c r="K19" i="5"/>
  <c r="S18" i="5"/>
  <c r="U18" i="5" s="1"/>
  <c r="V18" i="5"/>
  <c r="W18" i="5" s="1"/>
  <c r="U17" i="5"/>
  <c r="J90" i="5" l="1"/>
  <c r="J91" i="5" s="1"/>
  <c r="J92" i="5" s="1"/>
  <c r="J93" i="5" s="1"/>
  <c r="X18" i="5"/>
  <c r="I95" i="5"/>
  <c r="Y95" i="5" s="1"/>
  <c r="I98" i="5"/>
  <c r="Y98" i="5" s="1"/>
  <c r="I100" i="5"/>
  <c r="Y100" i="5" s="1"/>
  <c r="I96" i="5"/>
  <c r="Y96" i="5" s="1"/>
  <c r="I93" i="5"/>
  <c r="Y93" i="5" s="1"/>
  <c r="T18" i="5"/>
  <c r="V19" i="5"/>
  <c r="K20" i="5"/>
  <c r="S19" i="5"/>
  <c r="U19" i="5" s="1"/>
  <c r="J94" i="5" l="1"/>
  <c r="J95" i="5" s="1"/>
  <c r="J96" i="5" s="1"/>
  <c r="J97" i="5" s="1"/>
  <c r="W19" i="5"/>
  <c r="X19" i="5"/>
  <c r="I104" i="5"/>
  <c r="Y104" i="5" s="1"/>
  <c r="I99" i="5"/>
  <c r="Y99" i="5" s="1"/>
  <c r="I97" i="5"/>
  <c r="Y97" i="5" s="1"/>
  <c r="I102" i="5"/>
  <c r="Y102" i="5" s="1"/>
  <c r="T19" i="5"/>
  <c r="S20" i="5"/>
  <c r="V20" i="5"/>
  <c r="K21" i="5"/>
  <c r="J98" i="5" l="1"/>
  <c r="J99" i="5" s="1"/>
  <c r="J100" i="5" s="1"/>
  <c r="J101" i="5" s="1"/>
  <c r="W20" i="5"/>
  <c r="X20" i="5"/>
  <c r="I101" i="5"/>
  <c r="Y101" i="5" s="1"/>
  <c r="I108" i="5"/>
  <c r="Y108" i="5" s="1"/>
  <c r="I106" i="5"/>
  <c r="Y106" i="5" s="1"/>
  <c r="I103" i="5"/>
  <c r="Y103" i="5" s="1"/>
  <c r="T20" i="5"/>
  <c r="S21" i="5"/>
  <c r="T21" i="5" s="1"/>
  <c r="V21" i="5"/>
  <c r="K22" i="5"/>
  <c r="U20" i="5"/>
  <c r="J102" i="5" l="1"/>
  <c r="J103" i="5" s="1"/>
  <c r="J104" i="5" s="1"/>
  <c r="J105" i="5" s="1"/>
  <c r="X21" i="5"/>
  <c r="W21" i="5"/>
  <c r="I110" i="5"/>
  <c r="Y110" i="5" s="1"/>
  <c r="I105" i="5"/>
  <c r="Y105" i="5" s="1"/>
  <c r="I107" i="5"/>
  <c r="Y107" i="5" s="1"/>
  <c r="I112" i="5"/>
  <c r="Y112" i="5" s="1"/>
  <c r="V22" i="5"/>
  <c r="W22" i="5" s="1"/>
  <c r="K23" i="5"/>
  <c r="S22" i="5"/>
  <c r="U21" i="5"/>
  <c r="J106" i="5" l="1"/>
  <c r="J107" i="5" s="1"/>
  <c r="J108" i="5" s="1"/>
  <c r="J109" i="5" s="1"/>
  <c r="X22" i="5"/>
  <c r="I111" i="5"/>
  <c r="Y111" i="5" s="1"/>
  <c r="I114" i="5"/>
  <c r="Y114" i="5" s="1"/>
  <c r="I116" i="5"/>
  <c r="Y116" i="5" s="1"/>
  <c r="I109" i="5"/>
  <c r="Y109" i="5" s="1"/>
  <c r="T22" i="5"/>
  <c r="U22" i="5"/>
  <c r="V23" i="5"/>
  <c r="W23" i="5" s="1"/>
  <c r="K24" i="5"/>
  <c r="S23" i="5"/>
  <c r="U23" i="5" s="1"/>
  <c r="J110" i="5" l="1"/>
  <c r="J111" i="5" s="1"/>
  <c r="J112" i="5" s="1"/>
  <c r="J113" i="5" s="1"/>
  <c r="X23" i="5"/>
  <c r="I120" i="5"/>
  <c r="Y120" i="5" s="1"/>
  <c r="I115" i="5"/>
  <c r="Y115" i="5" s="1"/>
  <c r="I113" i="5"/>
  <c r="Y113" i="5" s="1"/>
  <c r="I118" i="5"/>
  <c r="Y118" i="5" s="1"/>
  <c r="K25" i="5"/>
  <c r="S24" i="5"/>
  <c r="U24" i="5" s="1"/>
  <c r="V24" i="5"/>
  <c r="X24" i="5" s="1"/>
  <c r="T23" i="5"/>
  <c r="J114" i="5" l="1"/>
  <c r="J115" i="5" s="1"/>
  <c r="J116" i="5" s="1"/>
  <c r="J117" i="5" s="1"/>
  <c r="W24" i="5"/>
  <c r="I117" i="5"/>
  <c r="Y117" i="5" s="1"/>
  <c r="I124" i="5"/>
  <c r="Y124" i="5" s="1"/>
  <c r="I122" i="5"/>
  <c r="Y122" i="5" s="1"/>
  <c r="I119" i="5"/>
  <c r="Y119" i="5" s="1"/>
  <c r="T24" i="5"/>
  <c r="S25" i="5"/>
  <c r="V25" i="5"/>
  <c r="W25" i="5" s="1"/>
  <c r="K26" i="5"/>
  <c r="J118" i="5" l="1"/>
  <c r="J119" i="5" s="1"/>
  <c r="J120" i="5" s="1"/>
  <c r="J121" i="5" s="1"/>
  <c r="X25" i="5"/>
  <c r="I126" i="5"/>
  <c r="Y126" i="5" s="1"/>
  <c r="I121" i="5"/>
  <c r="Y121" i="5" s="1"/>
  <c r="I123" i="5"/>
  <c r="Y123" i="5" s="1"/>
  <c r="I128" i="5"/>
  <c r="Y128" i="5" s="1"/>
  <c r="T25" i="5"/>
  <c r="S26" i="5"/>
  <c r="U26" i="5" s="1"/>
  <c r="K27" i="5"/>
  <c r="V26" i="5"/>
  <c r="U25" i="5"/>
  <c r="J122" i="5" l="1"/>
  <c r="J123" i="5" s="1"/>
  <c r="J124" i="5" s="1"/>
  <c r="J125" i="5" s="1"/>
  <c r="W26" i="5"/>
  <c r="X26" i="5"/>
  <c r="I127" i="5"/>
  <c r="Y127" i="5" s="1"/>
  <c r="I130" i="5"/>
  <c r="Y130" i="5" s="1"/>
  <c r="I132" i="5"/>
  <c r="Y132" i="5" s="1"/>
  <c r="I125" i="5"/>
  <c r="Y125" i="5" s="1"/>
  <c r="T26" i="5"/>
  <c r="S27" i="5"/>
  <c r="U27" i="5" s="1"/>
  <c r="V27" i="5"/>
  <c r="W27" i="5" s="1"/>
  <c r="K28" i="5"/>
  <c r="J126" i="5" l="1"/>
  <c r="J127" i="5" s="1"/>
  <c r="J128" i="5" s="1"/>
  <c r="J129" i="5" s="1"/>
  <c r="X27" i="5"/>
  <c r="I136" i="5"/>
  <c r="Y136" i="5" s="1"/>
  <c r="I131" i="5"/>
  <c r="Y131" i="5" s="1"/>
  <c r="I129" i="5"/>
  <c r="Y129" i="5" s="1"/>
  <c r="I134" i="5"/>
  <c r="Y134" i="5" s="1"/>
  <c r="K29" i="5"/>
  <c r="S28" i="5"/>
  <c r="V28" i="5"/>
  <c r="W28" i="5" s="1"/>
  <c r="T27" i="5"/>
  <c r="J130" i="5" l="1"/>
  <c r="J131" i="5" s="1"/>
  <c r="J132" i="5" s="1"/>
  <c r="J133" i="5" s="1"/>
  <c r="X28" i="5"/>
  <c r="I133" i="5"/>
  <c r="Y133" i="5" s="1"/>
  <c r="I140" i="5"/>
  <c r="Y140" i="5" s="1"/>
  <c r="I138" i="5"/>
  <c r="Y138" i="5" s="1"/>
  <c r="I135" i="5"/>
  <c r="Y135" i="5" s="1"/>
  <c r="V29" i="5"/>
  <c r="W29" i="5" s="1"/>
  <c r="S29" i="5"/>
  <c r="T29" i="5" s="1"/>
  <c r="K30" i="5"/>
  <c r="U28" i="5"/>
  <c r="T28" i="5"/>
  <c r="J134" i="5" l="1"/>
  <c r="J135" i="5" s="1"/>
  <c r="J136" i="5" s="1"/>
  <c r="J137" i="5" s="1"/>
  <c r="X29" i="5"/>
  <c r="I142" i="5"/>
  <c r="Y142" i="5" s="1"/>
  <c r="I137" i="5"/>
  <c r="Y137" i="5" s="1"/>
  <c r="I139" i="5"/>
  <c r="Y139" i="5" s="1"/>
  <c r="I144" i="5"/>
  <c r="Y144" i="5" s="1"/>
  <c r="K31" i="5"/>
  <c r="S30" i="5"/>
  <c r="V30" i="5"/>
  <c r="U29" i="5"/>
  <c r="J138" i="5" l="1"/>
  <c r="J139" i="5" s="1"/>
  <c r="J140" i="5" s="1"/>
  <c r="J141" i="5" s="1"/>
  <c r="W30" i="5"/>
  <c r="X30" i="5"/>
  <c r="I143" i="5"/>
  <c r="Y143" i="5" s="1"/>
  <c r="I146" i="5"/>
  <c r="Y146" i="5" s="1"/>
  <c r="I148" i="5"/>
  <c r="Y148" i="5" s="1"/>
  <c r="I141" i="5"/>
  <c r="Y141" i="5" s="1"/>
  <c r="T30" i="5"/>
  <c r="U30" i="5"/>
  <c r="S31" i="5"/>
  <c r="T31" i="5" s="1"/>
  <c r="V31" i="5"/>
  <c r="K32" i="5"/>
  <c r="J142" i="5" l="1"/>
  <c r="J143" i="5" s="1"/>
  <c r="J144" i="5" s="1"/>
  <c r="J145" i="5" s="1"/>
  <c r="X31" i="5"/>
  <c r="W31" i="5"/>
  <c r="I152" i="5"/>
  <c r="Y152" i="5" s="1"/>
  <c r="I147" i="5"/>
  <c r="Y147" i="5" s="1"/>
  <c r="I145" i="5"/>
  <c r="Y145" i="5" s="1"/>
  <c r="I150" i="5"/>
  <c r="Y150" i="5" s="1"/>
  <c r="K33" i="5"/>
  <c r="S32" i="5"/>
  <c r="V32" i="5"/>
  <c r="X32" i="5" s="1"/>
  <c r="U31" i="5"/>
  <c r="J146" i="5" l="1"/>
  <c r="J147" i="5" s="1"/>
  <c r="J148" i="5" s="1"/>
  <c r="J149" i="5" s="1"/>
  <c r="W32" i="5"/>
  <c r="I149" i="5"/>
  <c r="Y149" i="5" s="1"/>
  <c r="I156" i="5"/>
  <c r="Y156" i="5" s="1"/>
  <c r="I154" i="5"/>
  <c r="Y154" i="5" s="1"/>
  <c r="I151" i="5"/>
  <c r="Y151" i="5" s="1"/>
  <c r="K34" i="5"/>
  <c r="V33" i="5"/>
  <c r="S33" i="5"/>
  <c r="U33" i="5" s="1"/>
  <c r="U32" i="5"/>
  <c r="T32" i="5"/>
  <c r="J150" i="5" l="1"/>
  <c r="J151" i="5" s="1"/>
  <c r="J152" i="5" s="1"/>
  <c r="J153" i="5" s="1"/>
  <c r="W33" i="5"/>
  <c r="X33" i="5"/>
  <c r="I158" i="5"/>
  <c r="Y158" i="5" s="1"/>
  <c r="I153" i="5"/>
  <c r="Y153" i="5" s="1"/>
  <c r="I155" i="5"/>
  <c r="Y155" i="5" s="1"/>
  <c r="I160" i="5"/>
  <c r="Y160" i="5" s="1"/>
  <c r="T33" i="5"/>
  <c r="K35" i="5"/>
  <c r="S34" i="5"/>
  <c r="U34" i="5" s="1"/>
  <c r="V34" i="5"/>
  <c r="J154" i="5" l="1"/>
  <c r="J155" i="5" s="1"/>
  <c r="J156" i="5" s="1"/>
  <c r="J157" i="5" s="1"/>
  <c r="X34" i="5"/>
  <c r="W34" i="5"/>
  <c r="I159" i="5"/>
  <c r="Y159" i="5" s="1"/>
  <c r="I162" i="5"/>
  <c r="Y162" i="5" s="1"/>
  <c r="I164" i="5"/>
  <c r="Y164" i="5" s="1"/>
  <c r="I157" i="5"/>
  <c r="Y157" i="5" s="1"/>
  <c r="T34" i="5"/>
  <c r="V35" i="5"/>
  <c r="W35" i="5" s="1"/>
  <c r="K36" i="5"/>
  <c r="S35" i="5"/>
  <c r="U35" i="5" s="1"/>
  <c r="J158" i="5" l="1"/>
  <c r="J159" i="5" s="1"/>
  <c r="J160" i="5" s="1"/>
  <c r="J161" i="5" s="1"/>
  <c r="X35" i="5"/>
  <c r="I168" i="5"/>
  <c r="Y168" i="5" s="1"/>
  <c r="I163" i="5"/>
  <c r="Y163" i="5" s="1"/>
  <c r="I161" i="5"/>
  <c r="Y161" i="5" s="1"/>
  <c r="I166" i="5"/>
  <c r="Y166" i="5" s="1"/>
  <c r="K37" i="5"/>
  <c r="S36" i="5"/>
  <c r="T36" i="5" s="1"/>
  <c r="V36" i="5"/>
  <c r="W36" i="5" s="1"/>
  <c r="T35" i="5"/>
  <c r="J162" i="5" l="1"/>
  <c r="J163" i="5" s="1"/>
  <c r="J164" i="5" s="1"/>
  <c r="J165" i="5" s="1"/>
  <c r="X36" i="5"/>
  <c r="I165" i="5"/>
  <c r="Y165" i="5" s="1"/>
  <c r="I172" i="5"/>
  <c r="Y172" i="5" s="1"/>
  <c r="I170" i="5"/>
  <c r="Y170" i="5" s="1"/>
  <c r="I167" i="5"/>
  <c r="Y167" i="5" s="1"/>
  <c r="U36" i="5"/>
  <c r="K38" i="5"/>
  <c r="S37" i="5"/>
  <c r="T37" i="5" s="1"/>
  <c r="V37" i="5"/>
  <c r="J166" i="5" l="1"/>
  <c r="J167" i="5" s="1"/>
  <c r="J168" i="5" s="1"/>
  <c r="J169" i="5" s="1"/>
  <c r="W37" i="5"/>
  <c r="X37" i="5"/>
  <c r="I178" i="5"/>
  <c r="Y178" i="5" s="1"/>
  <c r="I174" i="5"/>
  <c r="Y174" i="5" s="1"/>
  <c r="I169" i="5"/>
  <c r="Y169" i="5" s="1"/>
  <c r="I171" i="5"/>
  <c r="Y171" i="5" s="1"/>
  <c r="I176" i="5"/>
  <c r="Y176" i="5" s="1"/>
  <c r="K39" i="5"/>
  <c r="V38" i="5"/>
  <c r="X38" i="5" s="1"/>
  <c r="S38" i="5"/>
  <c r="T38" i="5" s="1"/>
  <c r="U37" i="5"/>
  <c r="J170" i="5" l="1"/>
  <c r="J171" i="5" s="1"/>
  <c r="J172" i="5" s="1"/>
  <c r="J173" i="5" s="1"/>
  <c r="W38" i="5"/>
  <c r="U38" i="5"/>
  <c r="I179" i="5"/>
  <c r="Y179" i="5" s="1"/>
  <c r="I175" i="5"/>
  <c r="Y175" i="5" s="1"/>
  <c r="I180" i="5"/>
  <c r="Y180" i="5" s="1"/>
  <c r="I177" i="5"/>
  <c r="Y177" i="5" s="1"/>
  <c r="I173" i="5"/>
  <c r="Y173" i="5" s="1"/>
  <c r="K40" i="5"/>
  <c r="V39" i="5"/>
  <c r="S39" i="5"/>
  <c r="T39" i="5" s="1"/>
  <c r="E32" i="17" l="1"/>
  <c r="J174" i="5"/>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W39" i="5"/>
  <c r="X39" i="5"/>
  <c r="C29" i="5"/>
  <c r="C30" i="5" s="1"/>
  <c r="C31" i="5" s="1"/>
  <c r="A35" i="5" s="1"/>
  <c r="C2" i="5" s="1"/>
  <c r="U39" i="5"/>
  <c r="K41" i="5"/>
  <c r="V40" i="5"/>
  <c r="W40" i="5" s="1"/>
  <c r="S40" i="5"/>
  <c r="T40" i="5" s="1"/>
  <c r="K218" i="5" l="1"/>
  <c r="J219" i="5"/>
  <c r="X40" i="5"/>
  <c r="R56" i="17"/>
  <c r="K42" i="5"/>
  <c r="V41" i="5"/>
  <c r="S41" i="5"/>
  <c r="U41" i="5" s="1"/>
  <c r="U40" i="5"/>
  <c r="J220" i="5" l="1"/>
  <c r="K219" i="5"/>
  <c r="W41" i="5"/>
  <c r="X41" i="5"/>
  <c r="V42" i="5"/>
  <c r="W42" i="5" s="1"/>
  <c r="K43" i="5"/>
  <c r="S42" i="5"/>
  <c r="U42" i="5" s="1"/>
  <c r="T41" i="5"/>
  <c r="K220" i="5" l="1"/>
  <c r="J221" i="5"/>
  <c r="X42" i="5"/>
  <c r="T42" i="5"/>
  <c r="V43" i="5"/>
  <c r="S43" i="5"/>
  <c r="U43" i="5" s="1"/>
  <c r="K44" i="5"/>
  <c r="K221" i="5" l="1"/>
  <c r="J222" i="5"/>
  <c r="W43" i="5"/>
  <c r="X43" i="5"/>
  <c r="T43" i="5"/>
  <c r="K45" i="5"/>
  <c r="S44" i="5"/>
  <c r="V44" i="5"/>
  <c r="X44" i="5" s="1"/>
  <c r="K222" i="5" l="1"/>
  <c r="J223" i="5"/>
  <c r="W44" i="5"/>
  <c r="T44" i="5"/>
  <c r="S45" i="5"/>
  <c r="U45" i="5" s="1"/>
  <c r="K46" i="5"/>
  <c r="V45" i="5"/>
  <c r="U44" i="5"/>
  <c r="K223" i="5" l="1"/>
  <c r="J224" i="5"/>
  <c r="X45" i="5"/>
  <c r="W45" i="5"/>
  <c r="T45" i="5"/>
  <c r="K47" i="5"/>
  <c r="S46" i="5"/>
  <c r="U46" i="5" s="1"/>
  <c r="V46" i="5"/>
  <c r="X46" i="5" s="1"/>
  <c r="K224" i="5" l="1"/>
  <c r="J225" i="5"/>
  <c r="W46" i="5"/>
  <c r="T46" i="5"/>
  <c r="V47" i="5"/>
  <c r="X47" i="5" s="1"/>
  <c r="K48" i="5"/>
  <c r="S47" i="5"/>
  <c r="T47" i="5" s="1"/>
  <c r="K225" i="5" l="1"/>
  <c r="J226" i="5"/>
  <c r="W47" i="5"/>
  <c r="U47" i="5"/>
  <c r="K49" i="5"/>
  <c r="V48" i="5"/>
  <c r="S48" i="5"/>
  <c r="U48" i="5" s="1"/>
  <c r="K226" i="5" l="1"/>
  <c r="J227" i="5"/>
  <c r="X48" i="5"/>
  <c r="W48" i="5"/>
  <c r="S49" i="5"/>
  <c r="V49" i="5"/>
  <c r="W49" i="5" s="1"/>
  <c r="K50" i="5"/>
  <c r="T48" i="5"/>
  <c r="K227" i="5" l="1"/>
  <c r="J228" i="5"/>
  <c r="X49" i="5"/>
  <c r="S50" i="5"/>
  <c r="U50" i="5" s="1"/>
  <c r="V50" i="5"/>
  <c r="K51" i="5"/>
  <c r="U49" i="5"/>
  <c r="T49" i="5"/>
  <c r="K228" i="5" l="1"/>
  <c r="J229" i="5"/>
  <c r="W50" i="5"/>
  <c r="X50" i="5"/>
  <c r="T50" i="5"/>
  <c r="S51" i="5"/>
  <c r="T51" i="5" s="1"/>
  <c r="V51" i="5"/>
  <c r="X51" i="5" s="1"/>
  <c r="K52" i="5"/>
  <c r="J230" i="5" l="1"/>
  <c r="K229" i="5"/>
  <c r="W51" i="5"/>
  <c r="U51" i="5"/>
  <c r="S52" i="5"/>
  <c r="K53" i="5"/>
  <c r="V52" i="5"/>
  <c r="W52" i="5" s="1"/>
  <c r="J231" i="5" l="1"/>
  <c r="K230" i="5"/>
  <c r="X52" i="5"/>
  <c r="S53" i="5"/>
  <c r="U53" i="5" s="1"/>
  <c r="V53" i="5"/>
  <c r="K54" i="5"/>
  <c r="U52" i="5"/>
  <c r="T52" i="5"/>
  <c r="J232" i="5" l="1"/>
  <c r="K231" i="5"/>
  <c r="W53" i="5"/>
  <c r="X53" i="5"/>
  <c r="S54" i="5"/>
  <c r="T54" i="5" s="1"/>
  <c r="V54" i="5"/>
  <c r="X54" i="5" s="1"/>
  <c r="K55" i="5"/>
  <c r="T53" i="5"/>
  <c r="J233" i="5" l="1"/>
  <c r="K232" i="5"/>
  <c r="W54" i="5"/>
  <c r="U54" i="5"/>
  <c r="V55" i="5"/>
  <c r="S55" i="5"/>
  <c r="U55" i="5" s="1"/>
  <c r="K56" i="5"/>
  <c r="J234" i="5" l="1"/>
  <c r="K233" i="5"/>
  <c r="W55" i="5"/>
  <c r="X55" i="5"/>
  <c r="T55" i="5"/>
  <c r="V56" i="5"/>
  <c r="X56" i="5" s="1"/>
  <c r="S56" i="5"/>
  <c r="K57" i="5"/>
  <c r="J235" i="5" l="1"/>
  <c r="K234" i="5"/>
  <c r="W56" i="5"/>
  <c r="V57" i="5"/>
  <c r="S57" i="5"/>
  <c r="T57" i="5" s="1"/>
  <c r="K58" i="5"/>
  <c r="U56" i="5"/>
  <c r="T56" i="5"/>
  <c r="J236" i="5" l="1"/>
  <c r="K235" i="5"/>
  <c r="W57" i="5"/>
  <c r="X57" i="5"/>
  <c r="U57" i="5"/>
  <c r="K59" i="5"/>
  <c r="S58" i="5"/>
  <c r="T58" i="5" s="1"/>
  <c r="V58" i="5"/>
  <c r="W58" i="5" s="1"/>
  <c r="J237" i="5" l="1"/>
  <c r="K236" i="5"/>
  <c r="X58" i="5"/>
  <c r="U58" i="5"/>
  <c r="S59" i="5"/>
  <c r="U59" i="5" s="1"/>
  <c r="K60" i="5"/>
  <c r="V59" i="5"/>
  <c r="J238" i="5" l="1"/>
  <c r="K237" i="5"/>
  <c r="X59" i="5"/>
  <c r="W59" i="5"/>
  <c r="K61" i="5"/>
  <c r="V60" i="5"/>
  <c r="S60" i="5"/>
  <c r="T60" i="5" s="1"/>
  <c r="T59" i="5"/>
  <c r="J239" i="5" l="1"/>
  <c r="K238" i="5"/>
  <c r="W60" i="5"/>
  <c r="X60" i="5"/>
  <c r="S61" i="5"/>
  <c r="U61" i="5" s="1"/>
  <c r="K62" i="5"/>
  <c r="V61" i="5"/>
  <c r="W61" i="5" s="1"/>
  <c r="U60" i="5"/>
  <c r="J240" i="5" l="1"/>
  <c r="K239" i="5"/>
  <c r="X61" i="5"/>
  <c r="T61" i="5"/>
  <c r="K63" i="5"/>
  <c r="V62" i="5"/>
  <c r="X62" i="5" s="1"/>
  <c r="S62" i="5"/>
  <c r="T62" i="5" s="1"/>
  <c r="J241" i="5" l="1"/>
  <c r="K240" i="5"/>
  <c r="W62" i="5"/>
  <c r="V63" i="5"/>
  <c r="K64" i="5"/>
  <c r="S63" i="5"/>
  <c r="U63" i="5" s="1"/>
  <c r="U62" i="5"/>
  <c r="K241" i="5" l="1"/>
  <c r="J242" i="5"/>
  <c r="W63" i="5"/>
  <c r="X63" i="5"/>
  <c r="T63" i="5"/>
  <c r="V64" i="5"/>
  <c r="K65" i="5"/>
  <c r="S64" i="5"/>
  <c r="U64" i="5" s="1"/>
  <c r="J243" i="5" l="1"/>
  <c r="K242" i="5"/>
  <c r="X64" i="5"/>
  <c r="W64" i="5"/>
  <c r="T64" i="5"/>
  <c r="V65" i="5"/>
  <c r="W65" i="5" s="1"/>
  <c r="K66" i="5"/>
  <c r="S65" i="5"/>
  <c r="J244" i="5" l="1"/>
  <c r="K243" i="5"/>
  <c r="X65" i="5"/>
  <c r="U65" i="5"/>
  <c r="T65" i="5"/>
  <c r="K67" i="5"/>
  <c r="S66" i="5"/>
  <c r="U66" i="5" s="1"/>
  <c r="V66" i="5"/>
  <c r="W66" i="5" s="1"/>
  <c r="J245" i="5" l="1"/>
  <c r="K244" i="5"/>
  <c r="X66" i="5"/>
  <c r="T66" i="5"/>
  <c r="V67" i="5"/>
  <c r="S67" i="5"/>
  <c r="K68" i="5"/>
  <c r="J246" i="5" l="1"/>
  <c r="K245" i="5"/>
  <c r="X67" i="5"/>
  <c r="W67" i="5"/>
  <c r="S68" i="5"/>
  <c r="T68" i="5" s="1"/>
  <c r="K69" i="5"/>
  <c r="V68" i="5"/>
  <c r="U67" i="5"/>
  <c r="T67" i="5"/>
  <c r="J247" i="5" l="1"/>
  <c r="K246" i="5"/>
  <c r="W68" i="5"/>
  <c r="X68" i="5"/>
  <c r="V69" i="5"/>
  <c r="S69" i="5"/>
  <c r="U69" i="5" s="1"/>
  <c r="K70" i="5"/>
  <c r="U68" i="5"/>
  <c r="J248" i="5" l="1"/>
  <c r="K247" i="5"/>
  <c r="W69" i="5"/>
  <c r="X69" i="5"/>
  <c r="T69" i="5"/>
  <c r="V70" i="5"/>
  <c r="K71" i="5"/>
  <c r="S70" i="5"/>
  <c r="T70" i="5" s="1"/>
  <c r="J249" i="5" l="1"/>
  <c r="K248" i="5"/>
  <c r="X70" i="5"/>
  <c r="W70" i="5"/>
  <c r="U70" i="5"/>
  <c r="K72" i="5"/>
  <c r="S71" i="5"/>
  <c r="T71" i="5" s="1"/>
  <c r="V71" i="5"/>
  <c r="W71" i="5" s="1"/>
  <c r="J250" i="5" l="1"/>
  <c r="K249" i="5"/>
  <c r="X71" i="5"/>
  <c r="K73" i="5"/>
  <c r="S72" i="5"/>
  <c r="T72" i="5" s="1"/>
  <c r="V72" i="5"/>
  <c r="W72" i="5" s="1"/>
  <c r="U71" i="5"/>
  <c r="J251" i="5" l="1"/>
  <c r="K250" i="5"/>
  <c r="X72" i="5"/>
  <c r="U72" i="5"/>
  <c r="K74" i="5"/>
  <c r="V73" i="5"/>
  <c r="S73" i="5"/>
  <c r="U73" i="5" s="1"/>
  <c r="J252" i="5" l="1"/>
  <c r="K251" i="5"/>
  <c r="W73" i="5"/>
  <c r="X73" i="5"/>
  <c r="T73" i="5"/>
  <c r="V74" i="5"/>
  <c r="W74" i="5" s="1"/>
  <c r="S74" i="5"/>
  <c r="U74" i="5" s="1"/>
  <c r="K75" i="5"/>
  <c r="J253" i="5" l="1"/>
  <c r="K252" i="5"/>
  <c r="X74" i="5"/>
  <c r="S75" i="5"/>
  <c r="V75" i="5"/>
  <c r="K76" i="5"/>
  <c r="T74" i="5"/>
  <c r="J254" i="5" l="1"/>
  <c r="K253" i="5"/>
  <c r="W75" i="5"/>
  <c r="X75" i="5"/>
  <c r="T75" i="5"/>
  <c r="S76" i="5"/>
  <c r="U76" i="5" s="1"/>
  <c r="K77" i="5"/>
  <c r="V76" i="5"/>
  <c r="X76" i="5" s="1"/>
  <c r="U75" i="5"/>
  <c r="J255" i="5" l="1"/>
  <c r="K254" i="5"/>
  <c r="W76" i="5"/>
  <c r="T76" i="5"/>
  <c r="V77" i="5"/>
  <c r="S77" i="5"/>
  <c r="T77" i="5" s="1"/>
  <c r="K78" i="5"/>
  <c r="J256" i="5" l="1"/>
  <c r="K255" i="5"/>
  <c r="X77" i="5"/>
  <c r="W77" i="5"/>
  <c r="U77" i="5"/>
  <c r="V78" i="5"/>
  <c r="S78" i="5"/>
  <c r="K79" i="5"/>
  <c r="J257" i="5" l="1"/>
  <c r="K256" i="5"/>
  <c r="X78" i="5"/>
  <c r="W78" i="5"/>
  <c r="S79" i="5"/>
  <c r="T79" i="5" s="1"/>
  <c r="V79" i="5"/>
  <c r="X79" i="5" s="1"/>
  <c r="K80" i="5"/>
  <c r="T78" i="5"/>
  <c r="U78" i="5"/>
  <c r="J258" i="5" l="1"/>
  <c r="K257" i="5"/>
  <c r="W79" i="5"/>
  <c r="U79" i="5"/>
  <c r="K81" i="5"/>
  <c r="S80" i="5"/>
  <c r="V80" i="5"/>
  <c r="J259" i="5" l="1"/>
  <c r="K258" i="5"/>
  <c r="W80" i="5"/>
  <c r="X80" i="5"/>
  <c r="T80" i="5"/>
  <c r="U80" i="5"/>
  <c r="S81" i="5"/>
  <c r="U81" i="5" s="1"/>
  <c r="V81" i="5"/>
  <c r="W81" i="5" s="1"/>
  <c r="K82" i="5"/>
  <c r="J260" i="5" l="1"/>
  <c r="K259" i="5"/>
  <c r="X81" i="5"/>
  <c r="T81" i="5"/>
  <c r="K83" i="5"/>
  <c r="V82" i="5"/>
  <c r="W82" i="5" s="1"/>
  <c r="S82" i="5"/>
  <c r="J261" i="5" l="1"/>
  <c r="K260" i="5"/>
  <c r="X82" i="5"/>
  <c r="T82" i="5"/>
  <c r="S83" i="5"/>
  <c r="T83" i="5" s="1"/>
  <c r="V83" i="5"/>
  <c r="K84" i="5"/>
  <c r="U82" i="5"/>
  <c r="K261" i="5" l="1"/>
  <c r="J262" i="5"/>
  <c r="X83" i="5"/>
  <c r="W83" i="5"/>
  <c r="U83" i="5"/>
  <c r="K85" i="5"/>
  <c r="S84" i="5"/>
  <c r="V84" i="5"/>
  <c r="J263" i="5" l="1"/>
  <c r="K262" i="5"/>
  <c r="X84" i="5"/>
  <c r="W84" i="5"/>
  <c r="U84" i="5"/>
  <c r="T84" i="5"/>
  <c r="V85" i="5"/>
  <c r="S85" i="5"/>
  <c r="T85" i="5" s="1"/>
  <c r="K86" i="5"/>
  <c r="J264" i="5" l="1"/>
  <c r="K263" i="5"/>
  <c r="W85" i="5"/>
  <c r="X85" i="5"/>
  <c r="V86" i="5"/>
  <c r="W86" i="5" s="1"/>
  <c r="K87" i="5"/>
  <c r="S86" i="5"/>
  <c r="U85" i="5"/>
  <c r="J265" i="5" l="1"/>
  <c r="K264" i="5"/>
  <c r="X86" i="5"/>
  <c r="U86" i="5"/>
  <c r="T86" i="5"/>
  <c r="S87" i="5"/>
  <c r="U87" i="5" s="1"/>
  <c r="V87" i="5"/>
  <c r="K88" i="5"/>
  <c r="J266" i="5" l="1"/>
  <c r="K265" i="5"/>
  <c r="X87" i="5"/>
  <c r="W87" i="5"/>
  <c r="S88" i="5"/>
  <c r="K89" i="5"/>
  <c r="V88" i="5"/>
  <c r="W88" i="5" s="1"/>
  <c r="T87" i="5"/>
  <c r="J267" i="5" l="1"/>
  <c r="K266" i="5"/>
  <c r="X88" i="5"/>
  <c r="K90" i="5"/>
  <c r="V89" i="5"/>
  <c r="W89" i="5" s="1"/>
  <c r="S89" i="5"/>
  <c r="T89" i="5" s="1"/>
  <c r="T88" i="5"/>
  <c r="U88" i="5"/>
  <c r="J268" i="5" l="1"/>
  <c r="K267" i="5"/>
  <c r="X89" i="5"/>
  <c r="S90" i="5"/>
  <c r="T90" i="5" s="1"/>
  <c r="K91" i="5"/>
  <c r="V90" i="5"/>
  <c r="X90" i="5" s="1"/>
  <c r="U89" i="5"/>
  <c r="J269" i="5" l="1"/>
  <c r="K268" i="5"/>
  <c r="W90" i="5"/>
  <c r="U90" i="5"/>
  <c r="V91" i="5"/>
  <c r="K92" i="5"/>
  <c r="S91" i="5"/>
  <c r="U91" i="5" s="1"/>
  <c r="J270" i="5" l="1"/>
  <c r="K269" i="5"/>
  <c r="W91" i="5"/>
  <c r="X91" i="5"/>
  <c r="V92" i="5"/>
  <c r="K93" i="5"/>
  <c r="S92" i="5"/>
  <c r="U92" i="5" s="1"/>
  <c r="T91" i="5"/>
  <c r="J271" i="5" l="1"/>
  <c r="K270" i="5"/>
  <c r="W92" i="5"/>
  <c r="X92" i="5"/>
  <c r="T92" i="5"/>
  <c r="K94" i="5"/>
  <c r="S93" i="5"/>
  <c r="U93" i="5" s="1"/>
  <c r="V93" i="5"/>
  <c r="J272" i="5" l="1"/>
  <c r="K271" i="5"/>
  <c r="X93" i="5"/>
  <c r="W93" i="5"/>
  <c r="T93" i="5"/>
  <c r="S94" i="5"/>
  <c r="V94" i="5"/>
  <c r="K95" i="5"/>
  <c r="J273" i="5" l="1"/>
  <c r="K272" i="5"/>
  <c r="W94" i="5"/>
  <c r="X94" i="5"/>
  <c r="T94" i="5"/>
  <c r="U94" i="5"/>
  <c r="V95" i="5"/>
  <c r="K96" i="5"/>
  <c r="S95" i="5"/>
  <c r="U95" i="5" s="1"/>
  <c r="J274" i="5" l="1"/>
  <c r="K273" i="5"/>
  <c r="W95" i="5"/>
  <c r="X95" i="5"/>
  <c r="V96" i="5"/>
  <c r="S96" i="5"/>
  <c r="K97" i="5"/>
  <c r="T95" i="5"/>
  <c r="J275" i="5" l="1"/>
  <c r="K274" i="5"/>
  <c r="W96" i="5"/>
  <c r="X96" i="5"/>
  <c r="U96" i="5"/>
  <c r="T96" i="5"/>
  <c r="S97" i="5"/>
  <c r="T97" i="5" s="1"/>
  <c r="K98" i="5"/>
  <c r="V97" i="5"/>
  <c r="J276" i="5" l="1"/>
  <c r="K275" i="5"/>
  <c r="X97" i="5"/>
  <c r="W97" i="5"/>
  <c r="U97" i="5"/>
  <c r="V98" i="5"/>
  <c r="K99" i="5"/>
  <c r="S98" i="5"/>
  <c r="J277" i="5" l="1"/>
  <c r="K276" i="5"/>
  <c r="W98" i="5"/>
  <c r="X98" i="5"/>
  <c r="K100" i="5"/>
  <c r="V99" i="5"/>
  <c r="X99" i="5" s="1"/>
  <c r="S99" i="5"/>
  <c r="U99" i="5" s="1"/>
  <c r="U98" i="5"/>
  <c r="T98" i="5"/>
  <c r="J278" i="5" l="1"/>
  <c r="K277" i="5"/>
  <c r="W99" i="5"/>
  <c r="T99" i="5"/>
  <c r="K101" i="5"/>
  <c r="S100" i="5"/>
  <c r="V100" i="5"/>
  <c r="J279" i="5" l="1"/>
  <c r="K278" i="5"/>
  <c r="W100" i="5"/>
  <c r="X100" i="5"/>
  <c r="U100" i="5"/>
  <c r="T100" i="5"/>
  <c r="S101" i="5"/>
  <c r="T101" i="5" s="1"/>
  <c r="K102" i="5"/>
  <c r="V101" i="5"/>
  <c r="X101" i="5" s="1"/>
  <c r="J280" i="5" l="1"/>
  <c r="K279" i="5"/>
  <c r="W101" i="5"/>
  <c r="U101" i="5"/>
  <c r="S102" i="5"/>
  <c r="K103" i="5"/>
  <c r="V102" i="5"/>
  <c r="J281" i="5" l="1"/>
  <c r="K280" i="5"/>
  <c r="W102" i="5"/>
  <c r="X102" i="5"/>
  <c r="T102" i="5"/>
  <c r="U102" i="5"/>
  <c r="V103" i="5"/>
  <c r="W103" i="5" s="1"/>
  <c r="S103" i="5"/>
  <c r="K104" i="5"/>
  <c r="J282" i="5" l="1"/>
  <c r="K281" i="5"/>
  <c r="X103" i="5"/>
  <c r="T103" i="5"/>
  <c r="K105" i="5"/>
  <c r="S104" i="5"/>
  <c r="U104" i="5" s="1"/>
  <c r="V104" i="5"/>
  <c r="U103" i="5"/>
  <c r="J283" i="5" l="1"/>
  <c r="K282" i="5"/>
  <c r="W104" i="5"/>
  <c r="X104" i="5"/>
  <c r="T104" i="5"/>
  <c r="V105" i="5"/>
  <c r="K106" i="5"/>
  <c r="S105" i="5"/>
  <c r="U105" i="5" s="1"/>
  <c r="J284" i="5" l="1"/>
  <c r="K283" i="5"/>
  <c r="W105" i="5"/>
  <c r="X105" i="5"/>
  <c r="T105" i="5"/>
  <c r="K107" i="5"/>
  <c r="S106" i="5"/>
  <c r="V106" i="5"/>
  <c r="J285" i="5" l="1"/>
  <c r="K284" i="5"/>
  <c r="W106" i="5"/>
  <c r="X106" i="5"/>
  <c r="U106" i="5"/>
  <c r="V107" i="5"/>
  <c r="S107" i="5"/>
  <c r="U107" i="5" s="1"/>
  <c r="K108" i="5"/>
  <c r="T106" i="5"/>
  <c r="J286" i="5" l="1"/>
  <c r="K285" i="5"/>
  <c r="X107" i="5"/>
  <c r="W107" i="5"/>
  <c r="T107" i="5"/>
  <c r="V108" i="5"/>
  <c r="W108" i="5" s="1"/>
  <c r="K109" i="5"/>
  <c r="S108" i="5"/>
  <c r="U108" i="5" s="1"/>
  <c r="J287" i="5" l="1"/>
  <c r="K286" i="5"/>
  <c r="X108" i="5"/>
  <c r="K110" i="5"/>
  <c r="S109" i="5"/>
  <c r="V109" i="5"/>
  <c r="W109" i="5" s="1"/>
  <c r="T108" i="5"/>
  <c r="J288" i="5" l="1"/>
  <c r="K287" i="5"/>
  <c r="X109" i="5"/>
  <c r="U109" i="5"/>
  <c r="T109" i="5"/>
  <c r="V110" i="5"/>
  <c r="X110" i="5" s="1"/>
  <c r="K111" i="5"/>
  <c r="S110" i="5"/>
  <c r="T110" i="5" s="1"/>
  <c r="J289" i="5" l="1"/>
  <c r="K288" i="5"/>
  <c r="W110" i="5"/>
  <c r="U110" i="5"/>
  <c r="V111" i="5"/>
  <c r="K112" i="5"/>
  <c r="S111" i="5"/>
  <c r="J290" i="5" l="1"/>
  <c r="K289" i="5"/>
  <c r="W111" i="5"/>
  <c r="X111" i="5"/>
  <c r="S112" i="5"/>
  <c r="T112" i="5" s="1"/>
  <c r="V112" i="5"/>
  <c r="X112" i="5" s="1"/>
  <c r="K113" i="5"/>
  <c r="U111" i="5"/>
  <c r="T111" i="5"/>
  <c r="J291" i="5" l="1"/>
  <c r="K290" i="5"/>
  <c r="W112" i="5"/>
  <c r="V113" i="5"/>
  <c r="K114" i="5"/>
  <c r="S113" i="5"/>
  <c r="U113" i="5" s="1"/>
  <c r="U112" i="5"/>
  <c r="J292" i="5" l="1"/>
  <c r="K291" i="5"/>
  <c r="W113" i="5"/>
  <c r="X113" i="5"/>
  <c r="K115" i="5"/>
  <c r="V114" i="5"/>
  <c r="S114" i="5"/>
  <c r="U114" i="5" s="1"/>
  <c r="T113" i="5"/>
  <c r="J293" i="5" l="1"/>
  <c r="K292" i="5"/>
  <c r="W114" i="5"/>
  <c r="X114" i="5"/>
  <c r="T114" i="5"/>
  <c r="V115" i="5"/>
  <c r="W115" i="5" s="1"/>
  <c r="S115" i="5"/>
  <c r="U115" i="5" s="1"/>
  <c r="K116" i="5"/>
  <c r="J294" i="5" l="1"/>
  <c r="K293" i="5"/>
  <c r="X115" i="5"/>
  <c r="T115" i="5"/>
  <c r="K117" i="5"/>
  <c r="V116" i="5"/>
  <c r="S116" i="5"/>
  <c r="T116" i="5" s="1"/>
  <c r="J295" i="5" l="1"/>
  <c r="K294" i="5"/>
  <c r="W116" i="5"/>
  <c r="X116" i="5"/>
  <c r="U116" i="5"/>
  <c r="K118" i="5"/>
  <c r="S117" i="5"/>
  <c r="U117" i="5" s="1"/>
  <c r="V117" i="5"/>
  <c r="X117" i="5" s="1"/>
  <c r="J296" i="5" l="1"/>
  <c r="K295" i="5"/>
  <c r="W117" i="5"/>
  <c r="T117" i="5"/>
  <c r="S118" i="5"/>
  <c r="V118" i="5"/>
  <c r="K119" i="5"/>
  <c r="J297" i="5" l="1"/>
  <c r="K296" i="5"/>
  <c r="W118" i="5"/>
  <c r="X118" i="5"/>
  <c r="S119" i="5"/>
  <c r="U119" i="5" s="1"/>
  <c r="V119" i="5"/>
  <c r="W119" i="5" s="1"/>
  <c r="K120" i="5"/>
  <c r="T118" i="5"/>
  <c r="U118" i="5"/>
  <c r="J298" i="5" l="1"/>
  <c r="K297" i="5"/>
  <c r="X119" i="5"/>
  <c r="T119" i="5"/>
  <c r="K121" i="5"/>
  <c r="V120" i="5"/>
  <c r="X120" i="5" s="1"/>
  <c r="S120" i="5"/>
  <c r="J299" i="5" l="1"/>
  <c r="K298" i="5"/>
  <c r="W120" i="5"/>
  <c r="S121" i="5"/>
  <c r="T121" i="5" s="1"/>
  <c r="V121" i="5"/>
  <c r="K122" i="5"/>
  <c r="T120" i="5"/>
  <c r="U120" i="5"/>
  <c r="J300" i="5" l="1"/>
  <c r="K299" i="5"/>
  <c r="W121" i="5"/>
  <c r="X121" i="5"/>
  <c r="U121" i="5"/>
  <c r="S122" i="5"/>
  <c r="U122" i="5" s="1"/>
  <c r="V122" i="5"/>
  <c r="X122" i="5" s="1"/>
  <c r="K123" i="5"/>
  <c r="J301" i="5" l="1"/>
  <c r="K300" i="5"/>
  <c r="W122" i="5"/>
  <c r="V123" i="5"/>
  <c r="S123" i="5"/>
  <c r="U123" i="5" s="1"/>
  <c r="K124" i="5"/>
  <c r="T122" i="5"/>
  <c r="J302" i="5" l="1"/>
  <c r="K301" i="5"/>
  <c r="W123" i="5"/>
  <c r="X123" i="5"/>
  <c r="K125" i="5"/>
  <c r="S124" i="5"/>
  <c r="T124" i="5" s="1"/>
  <c r="V124" i="5"/>
  <c r="X124" i="5" s="1"/>
  <c r="T123" i="5"/>
  <c r="J303" i="5" l="1"/>
  <c r="K302" i="5"/>
  <c r="W124" i="5"/>
  <c r="U124" i="5"/>
  <c r="S125" i="5"/>
  <c r="T125" i="5" s="1"/>
  <c r="V125" i="5"/>
  <c r="K126" i="5"/>
  <c r="J304" i="5" l="1"/>
  <c r="K303" i="5"/>
  <c r="W125" i="5"/>
  <c r="X125" i="5"/>
  <c r="U125" i="5"/>
  <c r="V126" i="5"/>
  <c r="W126" i="5" s="1"/>
  <c r="K127" i="5"/>
  <c r="S126" i="5"/>
  <c r="K304" i="5" l="1"/>
  <c r="J305" i="5"/>
  <c r="X126" i="5"/>
  <c r="U126" i="5"/>
  <c r="T126" i="5"/>
  <c r="S127" i="5"/>
  <c r="K128" i="5"/>
  <c r="V127" i="5"/>
  <c r="X127" i="5" s="1"/>
  <c r="K305" i="5" l="1"/>
  <c r="J306" i="5"/>
  <c r="W127" i="5"/>
  <c r="T127" i="5"/>
  <c r="U127" i="5"/>
  <c r="V128" i="5"/>
  <c r="X128" i="5" s="1"/>
  <c r="K129" i="5"/>
  <c r="S128" i="5"/>
  <c r="T128" i="5" s="1"/>
  <c r="J307" i="5" l="1"/>
  <c r="K306" i="5"/>
  <c r="W128" i="5"/>
  <c r="U128" i="5"/>
  <c r="V129" i="5"/>
  <c r="K130" i="5"/>
  <c r="S129" i="5"/>
  <c r="J308" i="5" l="1"/>
  <c r="K307" i="5"/>
  <c r="X129" i="5"/>
  <c r="W129" i="5"/>
  <c r="K131" i="5"/>
  <c r="S130" i="5"/>
  <c r="T130" i="5" s="1"/>
  <c r="V130" i="5"/>
  <c r="W130" i="5" s="1"/>
  <c r="U129" i="5"/>
  <c r="T129" i="5"/>
  <c r="J309" i="5" l="1"/>
  <c r="K308" i="5"/>
  <c r="X130" i="5"/>
  <c r="U130" i="5"/>
  <c r="K132" i="5"/>
  <c r="V131" i="5"/>
  <c r="S131" i="5"/>
  <c r="J310" i="5" l="1"/>
  <c r="K309" i="5"/>
  <c r="W131" i="5"/>
  <c r="X131" i="5"/>
  <c r="S132" i="5"/>
  <c r="K133" i="5"/>
  <c r="V132" i="5"/>
  <c r="U131" i="5"/>
  <c r="T131" i="5"/>
  <c r="J311" i="5" l="1"/>
  <c r="K310" i="5"/>
  <c r="X132" i="5"/>
  <c r="W132" i="5"/>
  <c r="U132" i="5"/>
  <c r="T132" i="5"/>
  <c r="K134" i="5"/>
  <c r="V133" i="5"/>
  <c r="X133" i="5" s="1"/>
  <c r="S133" i="5"/>
  <c r="U133" i="5" s="1"/>
  <c r="J312" i="5" l="1"/>
  <c r="K311" i="5"/>
  <c r="W133" i="5"/>
  <c r="K135" i="5"/>
  <c r="S134" i="5"/>
  <c r="U134" i="5" s="1"/>
  <c r="V134" i="5"/>
  <c r="X134" i="5" s="1"/>
  <c r="T133" i="5"/>
  <c r="J313" i="5" l="1"/>
  <c r="K312" i="5"/>
  <c r="W134" i="5"/>
  <c r="V135" i="5"/>
  <c r="W135" i="5" s="1"/>
  <c r="K136" i="5"/>
  <c r="S135" i="5"/>
  <c r="T135" i="5" s="1"/>
  <c r="T134" i="5"/>
  <c r="J314" i="5" l="1"/>
  <c r="K313" i="5"/>
  <c r="X135" i="5"/>
  <c r="V136" i="5"/>
  <c r="S136" i="5"/>
  <c r="U136" i="5" s="1"/>
  <c r="K137" i="5"/>
  <c r="U135" i="5"/>
  <c r="J315" i="5" l="1"/>
  <c r="K314" i="5"/>
  <c r="X136" i="5"/>
  <c r="W136" i="5"/>
  <c r="S137" i="5"/>
  <c r="U137" i="5" s="1"/>
  <c r="K138" i="5"/>
  <c r="V137" i="5"/>
  <c r="T136" i="5"/>
  <c r="J316" i="5" l="1"/>
  <c r="K315" i="5"/>
  <c r="W137" i="5"/>
  <c r="X137" i="5"/>
  <c r="T137" i="5"/>
  <c r="S138" i="5"/>
  <c r="U138" i="5" s="1"/>
  <c r="V138" i="5"/>
  <c r="K139" i="5"/>
  <c r="J317" i="5" l="1"/>
  <c r="K316" i="5"/>
  <c r="W138" i="5"/>
  <c r="X138" i="5"/>
  <c r="K140" i="5"/>
  <c r="V139" i="5"/>
  <c r="X139" i="5" s="1"/>
  <c r="S139" i="5"/>
  <c r="T138" i="5"/>
  <c r="J318" i="5" l="1"/>
  <c r="K317" i="5"/>
  <c r="W139" i="5"/>
  <c r="U139" i="5"/>
  <c r="T139" i="5"/>
  <c r="S140" i="5"/>
  <c r="K141" i="5"/>
  <c r="V140" i="5"/>
  <c r="W140" i="5" s="1"/>
  <c r="J319" i="5" l="1"/>
  <c r="K318" i="5"/>
  <c r="X140" i="5"/>
  <c r="V141" i="5"/>
  <c r="K142" i="5"/>
  <c r="S141" i="5"/>
  <c r="U141" i="5" s="1"/>
  <c r="T140" i="5"/>
  <c r="U140" i="5"/>
  <c r="J320" i="5" l="1"/>
  <c r="K319" i="5"/>
  <c r="X141" i="5"/>
  <c r="W141" i="5"/>
  <c r="T141" i="5"/>
  <c r="S142" i="5"/>
  <c r="K143" i="5"/>
  <c r="V142" i="5"/>
  <c r="J321" i="5" l="1"/>
  <c r="K320" i="5"/>
  <c r="W142" i="5"/>
  <c r="X142" i="5"/>
  <c r="V143" i="5"/>
  <c r="W143" i="5" s="1"/>
  <c r="K144" i="5"/>
  <c r="S143" i="5"/>
  <c r="U143" i="5" s="1"/>
  <c r="U142" i="5"/>
  <c r="T142" i="5"/>
  <c r="J322" i="5" l="1"/>
  <c r="K321" i="5"/>
  <c r="X143" i="5"/>
  <c r="T143" i="5"/>
  <c r="S144" i="5"/>
  <c r="U144" i="5" s="1"/>
  <c r="K145" i="5"/>
  <c r="V144" i="5"/>
  <c r="J323" i="5" l="1"/>
  <c r="K322" i="5"/>
  <c r="W144" i="5"/>
  <c r="X144" i="5"/>
  <c r="K146" i="5"/>
  <c r="V145" i="5"/>
  <c r="W145" i="5" s="1"/>
  <c r="S145" i="5"/>
  <c r="T144" i="5"/>
  <c r="J324" i="5" l="1"/>
  <c r="K323" i="5"/>
  <c r="X145" i="5"/>
  <c r="T145" i="5"/>
  <c r="U145" i="5"/>
  <c r="K147" i="5"/>
  <c r="V146" i="5"/>
  <c r="S146" i="5"/>
  <c r="J325" i="5" l="1"/>
  <c r="K324" i="5"/>
  <c r="W146" i="5"/>
  <c r="X146" i="5"/>
  <c r="T146" i="5"/>
  <c r="S147" i="5"/>
  <c r="U147" i="5" s="1"/>
  <c r="V147" i="5"/>
  <c r="K148" i="5"/>
  <c r="U146" i="5"/>
  <c r="K325" i="5" l="1"/>
  <c r="J326" i="5"/>
  <c r="X147" i="5"/>
  <c r="W147" i="5"/>
  <c r="V148" i="5"/>
  <c r="W148" i="5" s="1"/>
  <c r="K149" i="5"/>
  <c r="S148" i="5"/>
  <c r="T148" i="5" s="1"/>
  <c r="T147" i="5"/>
  <c r="J327" i="5" l="1"/>
  <c r="K326" i="5"/>
  <c r="X148" i="5"/>
  <c r="U148" i="5"/>
  <c r="S149" i="5"/>
  <c r="K150" i="5"/>
  <c r="V149" i="5"/>
  <c r="W149" i="5" s="1"/>
  <c r="J328" i="5" l="1"/>
  <c r="K327" i="5"/>
  <c r="X149" i="5"/>
  <c r="T149" i="5"/>
  <c r="U149" i="5"/>
  <c r="S150" i="5"/>
  <c r="U150" i="5" s="1"/>
  <c r="V150" i="5"/>
  <c r="X150" i="5" s="1"/>
  <c r="K151" i="5"/>
  <c r="J329" i="5" l="1"/>
  <c r="K328" i="5"/>
  <c r="W150" i="5"/>
  <c r="T150" i="5"/>
  <c r="S151" i="5"/>
  <c r="U151" i="5" s="1"/>
  <c r="V151" i="5"/>
  <c r="K152" i="5"/>
  <c r="J330" i="5" l="1"/>
  <c r="K329" i="5"/>
  <c r="X151" i="5"/>
  <c r="W151" i="5"/>
  <c r="T151" i="5"/>
  <c r="V152" i="5"/>
  <c r="X152" i="5" s="1"/>
  <c r="S152" i="5"/>
  <c r="U152" i="5" s="1"/>
  <c r="K153" i="5"/>
  <c r="J331" i="5" l="1"/>
  <c r="K330" i="5"/>
  <c r="W152" i="5"/>
  <c r="T152" i="5"/>
  <c r="S153" i="5"/>
  <c r="V153" i="5"/>
  <c r="W153" i="5" s="1"/>
  <c r="K154" i="5"/>
  <c r="J332" i="5" l="1"/>
  <c r="K331" i="5"/>
  <c r="X153" i="5"/>
  <c r="T153" i="5"/>
  <c r="U153" i="5"/>
  <c r="V154" i="5"/>
  <c r="K155" i="5"/>
  <c r="S154" i="5"/>
  <c r="U154" i="5" s="1"/>
  <c r="J333" i="5" l="1"/>
  <c r="K332" i="5"/>
  <c r="W154" i="5"/>
  <c r="X154" i="5"/>
  <c r="T154" i="5"/>
  <c r="K156" i="5"/>
  <c r="V155" i="5"/>
  <c r="S155" i="5"/>
  <c r="U155" i="5" s="1"/>
  <c r="J334" i="5" l="1"/>
  <c r="K333" i="5"/>
  <c r="W155" i="5"/>
  <c r="X155" i="5"/>
  <c r="T155" i="5"/>
  <c r="V156" i="5"/>
  <c r="W156" i="5" s="1"/>
  <c r="K157" i="5"/>
  <c r="S156" i="5"/>
  <c r="J335" i="5" l="1"/>
  <c r="K334" i="5"/>
  <c r="X156" i="5"/>
  <c r="T156" i="5"/>
  <c r="S157" i="5"/>
  <c r="T157" i="5" s="1"/>
  <c r="V157" i="5"/>
  <c r="W157" i="5" s="1"/>
  <c r="K158" i="5"/>
  <c r="U156" i="5"/>
  <c r="J336" i="5" l="1"/>
  <c r="K335" i="5"/>
  <c r="X157" i="5"/>
  <c r="U157" i="5"/>
  <c r="K159" i="5"/>
  <c r="S158" i="5"/>
  <c r="U158" i="5" s="1"/>
  <c r="V158" i="5"/>
  <c r="J337" i="5" l="1"/>
  <c r="K336" i="5"/>
  <c r="X158" i="5"/>
  <c r="W158" i="5"/>
  <c r="S159" i="5"/>
  <c r="T159" i="5" s="1"/>
  <c r="K160" i="5"/>
  <c r="V159" i="5"/>
  <c r="W159" i="5" s="1"/>
  <c r="T158" i="5"/>
  <c r="J338" i="5" l="1"/>
  <c r="K337" i="5"/>
  <c r="X159" i="5"/>
  <c r="S160" i="5"/>
  <c r="T160" i="5" s="1"/>
  <c r="V160" i="5"/>
  <c r="K161" i="5"/>
  <c r="U159" i="5"/>
  <c r="J339" i="5" l="1"/>
  <c r="K338" i="5"/>
  <c r="X160" i="5"/>
  <c r="W160" i="5"/>
  <c r="U160" i="5"/>
  <c r="V161" i="5"/>
  <c r="K162" i="5"/>
  <c r="S161" i="5"/>
  <c r="J340" i="5" l="1"/>
  <c r="K339" i="5"/>
  <c r="W161" i="5"/>
  <c r="X161" i="5"/>
  <c r="U161" i="5"/>
  <c r="S162" i="5"/>
  <c r="V162" i="5"/>
  <c r="K163" i="5"/>
  <c r="T161" i="5"/>
  <c r="J341" i="5" l="1"/>
  <c r="K340" i="5"/>
  <c r="W162" i="5"/>
  <c r="X162" i="5"/>
  <c r="S163" i="5"/>
  <c r="U163" i="5" s="1"/>
  <c r="K164" i="5"/>
  <c r="V163" i="5"/>
  <c r="X163" i="5" s="1"/>
  <c r="U162" i="5"/>
  <c r="T162" i="5"/>
  <c r="J342" i="5" l="1"/>
  <c r="K341" i="5"/>
  <c r="W163" i="5"/>
  <c r="T163" i="5"/>
  <c r="V164" i="5"/>
  <c r="S164" i="5"/>
  <c r="T164" i="5" s="1"/>
  <c r="K165" i="5"/>
  <c r="J343" i="5" l="1"/>
  <c r="K342" i="5"/>
  <c r="W164" i="5"/>
  <c r="X164" i="5"/>
  <c r="U164" i="5"/>
  <c r="K166" i="5"/>
  <c r="S165" i="5"/>
  <c r="U165" i="5" s="1"/>
  <c r="V165" i="5"/>
  <c r="W165" i="5" s="1"/>
  <c r="J344" i="5" l="1"/>
  <c r="K343" i="5"/>
  <c r="X165" i="5"/>
  <c r="S166" i="5"/>
  <c r="V166" i="5"/>
  <c r="W166" i="5" s="1"/>
  <c r="K167" i="5"/>
  <c r="T165" i="5"/>
  <c r="J345" i="5" l="1"/>
  <c r="K344" i="5"/>
  <c r="X166" i="5"/>
  <c r="U166" i="5"/>
  <c r="V167" i="5"/>
  <c r="X167" i="5" s="1"/>
  <c r="K168" i="5"/>
  <c r="S167" i="5"/>
  <c r="T167" i="5" s="1"/>
  <c r="T166" i="5"/>
  <c r="J346" i="5" l="1"/>
  <c r="K345" i="5"/>
  <c r="W167" i="5"/>
  <c r="U167" i="5"/>
  <c r="K169" i="5"/>
  <c r="S168" i="5"/>
  <c r="V168" i="5"/>
  <c r="K346" i="5" l="1"/>
  <c r="J347" i="5"/>
  <c r="W168" i="5"/>
  <c r="X168" i="5"/>
  <c r="U168" i="5"/>
  <c r="T168" i="5"/>
  <c r="K170" i="5"/>
  <c r="S169" i="5"/>
  <c r="V169" i="5"/>
  <c r="X169" i="5" s="1"/>
  <c r="K347" i="5" l="1"/>
  <c r="J348" i="5"/>
  <c r="W169" i="5"/>
  <c r="S170" i="5"/>
  <c r="T170" i="5" s="1"/>
  <c r="K171" i="5"/>
  <c r="V170" i="5"/>
  <c r="X170" i="5" s="1"/>
  <c r="U169" i="5"/>
  <c r="T169" i="5"/>
  <c r="J349" i="5" l="1"/>
  <c r="K348" i="5"/>
  <c r="W170" i="5"/>
  <c r="K172" i="5"/>
  <c r="V171" i="5"/>
  <c r="W171" i="5" s="1"/>
  <c r="S171" i="5"/>
  <c r="U170" i="5"/>
  <c r="J350" i="5" l="1"/>
  <c r="K349" i="5"/>
  <c r="X171" i="5"/>
  <c r="T171" i="5"/>
  <c r="S172" i="5"/>
  <c r="T172" i="5" s="1"/>
  <c r="V172" i="5"/>
  <c r="X172" i="5" s="1"/>
  <c r="K173" i="5"/>
  <c r="U171" i="5"/>
  <c r="J351" i="5" l="1"/>
  <c r="K350" i="5"/>
  <c r="W172" i="5"/>
  <c r="U172" i="5"/>
  <c r="K174" i="5"/>
  <c r="S173" i="5"/>
  <c r="V173" i="5"/>
  <c r="J352" i="5" l="1"/>
  <c r="K351" i="5"/>
  <c r="W173" i="5"/>
  <c r="X173" i="5"/>
  <c r="U173" i="5"/>
  <c r="T173" i="5"/>
  <c r="V174" i="5"/>
  <c r="W174" i="5" s="1"/>
  <c r="K175" i="5"/>
  <c r="S174" i="5"/>
  <c r="T174" i="5" s="1"/>
  <c r="J353" i="5" l="1"/>
  <c r="K352" i="5"/>
  <c r="X174" i="5"/>
  <c r="K176" i="5"/>
  <c r="S175" i="5"/>
  <c r="T175" i="5" s="1"/>
  <c r="V175" i="5"/>
  <c r="X175" i="5" s="1"/>
  <c r="U174" i="5"/>
  <c r="J354" i="5" l="1"/>
  <c r="K353" i="5"/>
  <c r="W175" i="5"/>
  <c r="U175" i="5"/>
  <c r="V176" i="5"/>
  <c r="W176" i="5" s="1"/>
  <c r="K177" i="5"/>
  <c r="S176" i="5"/>
  <c r="J355" i="5" l="1"/>
  <c r="K354" i="5"/>
  <c r="X176" i="5"/>
  <c r="U176" i="5"/>
  <c r="V177" i="5"/>
  <c r="K178" i="5"/>
  <c r="S177" i="5"/>
  <c r="T177" i="5" s="1"/>
  <c r="T176" i="5"/>
  <c r="J356" i="5" l="1"/>
  <c r="K355" i="5"/>
  <c r="X177" i="5"/>
  <c r="W177" i="5"/>
  <c r="V178" i="5"/>
  <c r="W178" i="5" s="1"/>
  <c r="S178" i="5"/>
  <c r="K179" i="5"/>
  <c r="U177" i="5"/>
  <c r="J357" i="5" l="1"/>
  <c r="K356" i="5"/>
  <c r="X178" i="5"/>
  <c r="U178" i="5"/>
  <c r="T178" i="5"/>
  <c r="V179" i="5"/>
  <c r="K180" i="5"/>
  <c r="S179" i="5"/>
  <c r="U179" i="5" s="1"/>
  <c r="J358" i="5" l="1"/>
  <c r="K357" i="5"/>
  <c r="X179" i="5"/>
  <c r="W179" i="5"/>
  <c r="S180" i="5"/>
  <c r="V180" i="5"/>
  <c r="K181" i="5"/>
  <c r="T179" i="5"/>
  <c r="J359" i="5" l="1"/>
  <c r="K358" i="5"/>
  <c r="W180" i="5"/>
  <c r="X180" i="5"/>
  <c r="V181" i="5"/>
  <c r="K182" i="5"/>
  <c r="S181" i="5"/>
  <c r="T181" i="5" s="1"/>
  <c r="U180" i="5"/>
  <c r="T180" i="5"/>
  <c r="J360" i="5" l="1"/>
  <c r="K359" i="5"/>
  <c r="W181" i="5"/>
  <c r="X181" i="5"/>
  <c r="U181" i="5"/>
  <c r="K183" i="5"/>
  <c r="S182" i="5"/>
  <c r="U182" i="5" s="1"/>
  <c r="V182" i="5"/>
  <c r="J361" i="5" l="1"/>
  <c r="K360" i="5"/>
  <c r="X182" i="5"/>
  <c r="W182" i="5"/>
  <c r="S183" i="5"/>
  <c r="V183" i="5"/>
  <c r="K184" i="5"/>
  <c r="T182" i="5"/>
  <c r="J362" i="5" l="1"/>
  <c r="K361" i="5"/>
  <c r="X183" i="5"/>
  <c r="W183" i="5"/>
  <c r="K185" i="5"/>
  <c r="S184" i="5"/>
  <c r="T184" i="5" s="1"/>
  <c r="V184" i="5"/>
  <c r="X184" i="5" s="1"/>
  <c r="T183" i="5"/>
  <c r="U183" i="5"/>
  <c r="K362" i="5" l="1"/>
  <c r="J363" i="5"/>
  <c r="W184" i="5"/>
  <c r="U184" i="5"/>
  <c r="K186" i="5"/>
  <c r="S185" i="5"/>
  <c r="U185" i="5" s="1"/>
  <c r="V185" i="5"/>
  <c r="J364" i="5" l="1"/>
  <c r="K363" i="5"/>
  <c r="W185" i="5"/>
  <c r="X185" i="5"/>
  <c r="T185" i="5"/>
  <c r="S186" i="5"/>
  <c r="U186" i="5" s="1"/>
  <c r="V186" i="5"/>
  <c r="K187" i="5"/>
  <c r="J365" i="5" l="1"/>
  <c r="K364" i="5"/>
  <c r="X186" i="5"/>
  <c r="W186" i="5"/>
  <c r="T186" i="5"/>
  <c r="S187" i="5"/>
  <c r="U187" i="5" s="1"/>
  <c r="V187" i="5"/>
  <c r="K188" i="5"/>
  <c r="J366" i="5" l="1"/>
  <c r="K365" i="5"/>
  <c r="W187" i="5"/>
  <c r="X187" i="5"/>
  <c r="S188" i="5"/>
  <c r="U188" i="5" s="1"/>
  <c r="V188" i="5"/>
  <c r="X188" i="5" s="1"/>
  <c r="K189" i="5"/>
  <c r="T187" i="5"/>
  <c r="J367" i="5" l="1"/>
  <c r="K366" i="5"/>
  <c r="W188" i="5"/>
  <c r="T188" i="5"/>
  <c r="K190" i="5"/>
  <c r="V189" i="5"/>
  <c r="S189" i="5"/>
  <c r="U189" i="5" s="1"/>
  <c r="J368" i="5" l="1"/>
  <c r="K367" i="5"/>
  <c r="W189" i="5"/>
  <c r="X189" i="5"/>
  <c r="V190" i="5"/>
  <c r="S190" i="5"/>
  <c r="U190" i="5" s="1"/>
  <c r="K191" i="5"/>
  <c r="T189" i="5"/>
  <c r="J369" i="5" l="1"/>
  <c r="K368" i="5"/>
  <c r="X190" i="5"/>
  <c r="W190" i="5"/>
  <c r="S191" i="5"/>
  <c r="T191" i="5" s="1"/>
  <c r="K192" i="5"/>
  <c r="V191" i="5"/>
  <c r="X191" i="5" s="1"/>
  <c r="T190" i="5"/>
  <c r="J370" i="5" l="1"/>
  <c r="K369" i="5"/>
  <c r="W191" i="5"/>
  <c r="U191" i="5"/>
  <c r="V192" i="5"/>
  <c r="K193" i="5"/>
  <c r="S192" i="5"/>
  <c r="T192" i="5" s="1"/>
  <c r="J371" i="5" l="1"/>
  <c r="K370" i="5"/>
  <c r="X192" i="5"/>
  <c r="W192" i="5"/>
  <c r="U192" i="5"/>
  <c r="V193" i="5"/>
  <c r="X193" i="5" s="1"/>
  <c r="K194" i="5"/>
  <c r="S193" i="5"/>
  <c r="T193" i="5" s="1"/>
  <c r="J372" i="5" l="1"/>
  <c r="K371" i="5"/>
  <c r="W193" i="5"/>
  <c r="S194" i="5"/>
  <c r="U194" i="5" s="1"/>
  <c r="K195" i="5"/>
  <c r="V194" i="5"/>
  <c r="W194" i="5" s="1"/>
  <c r="U193" i="5"/>
  <c r="J373" i="5" l="1"/>
  <c r="K372" i="5"/>
  <c r="X194" i="5"/>
  <c r="V195" i="5"/>
  <c r="S195" i="5"/>
  <c r="K196" i="5"/>
  <c r="T194" i="5"/>
  <c r="J374" i="5" l="1"/>
  <c r="K373" i="5"/>
  <c r="W195" i="5"/>
  <c r="X195" i="5"/>
  <c r="T195" i="5"/>
  <c r="U195" i="5"/>
  <c r="K197" i="5"/>
  <c r="V196" i="5"/>
  <c r="X196" i="5" s="1"/>
  <c r="S196" i="5"/>
  <c r="U196" i="5" s="1"/>
  <c r="J375" i="5" l="1"/>
  <c r="K374" i="5"/>
  <c r="W196" i="5"/>
  <c r="T196" i="5"/>
  <c r="V197" i="5"/>
  <c r="K198" i="5"/>
  <c r="S197" i="5"/>
  <c r="T197" i="5" s="1"/>
  <c r="J376" i="5" l="1"/>
  <c r="K375" i="5"/>
  <c r="W197" i="5"/>
  <c r="X197" i="5"/>
  <c r="V198" i="5"/>
  <c r="W198" i="5" s="1"/>
  <c r="S198" i="5"/>
  <c r="T198" i="5" s="1"/>
  <c r="K199" i="5"/>
  <c r="U197" i="5"/>
  <c r="J377" i="5" l="1"/>
  <c r="K376" i="5"/>
  <c r="X198" i="5"/>
  <c r="V199" i="5"/>
  <c r="K200" i="5"/>
  <c r="S199" i="5"/>
  <c r="U199" i="5" s="1"/>
  <c r="U198" i="5"/>
  <c r="J378" i="5" l="1"/>
  <c r="K377" i="5"/>
  <c r="W199" i="5"/>
  <c r="X199" i="5"/>
  <c r="S200" i="5"/>
  <c r="U200" i="5" s="1"/>
  <c r="K201" i="5"/>
  <c r="V200" i="5"/>
  <c r="T199" i="5"/>
  <c r="K378" i="5" l="1"/>
  <c r="J379" i="5"/>
  <c r="X200" i="5"/>
  <c r="W200" i="5"/>
  <c r="T200" i="5"/>
  <c r="S201" i="5"/>
  <c r="K202" i="5"/>
  <c r="V201" i="5"/>
  <c r="W201" i="5" s="1"/>
  <c r="J380" i="5" l="1"/>
  <c r="K379" i="5"/>
  <c r="X201" i="5"/>
  <c r="V202" i="5"/>
  <c r="S202" i="5"/>
  <c r="K203" i="5"/>
  <c r="T201" i="5"/>
  <c r="U201" i="5"/>
  <c r="J381" i="5" l="1"/>
  <c r="K380" i="5"/>
  <c r="W202" i="5"/>
  <c r="X202" i="5"/>
  <c r="U202" i="5"/>
  <c r="S203" i="5"/>
  <c r="U203" i="5" s="1"/>
  <c r="K204" i="5"/>
  <c r="V203" i="5"/>
  <c r="X203" i="5" s="1"/>
  <c r="T202" i="5"/>
  <c r="J382" i="5" l="1"/>
  <c r="K381" i="5"/>
  <c r="W203" i="5"/>
  <c r="T203" i="5"/>
  <c r="V204" i="5"/>
  <c r="K205" i="5"/>
  <c r="S204" i="5"/>
  <c r="U204" i="5" s="1"/>
  <c r="J383" i="5" l="1"/>
  <c r="K382" i="5"/>
  <c r="X204" i="5"/>
  <c r="W204" i="5"/>
  <c r="T204" i="5"/>
  <c r="K206" i="5"/>
  <c r="V205" i="5"/>
  <c r="X205" i="5" s="1"/>
  <c r="S205" i="5"/>
  <c r="U205" i="5" s="1"/>
  <c r="J384" i="5" l="1"/>
  <c r="K383" i="5"/>
  <c r="W205" i="5"/>
  <c r="T205" i="5"/>
  <c r="S206" i="5"/>
  <c r="T206" i="5" s="1"/>
  <c r="K207" i="5"/>
  <c r="V206" i="5"/>
  <c r="J385" i="5" l="1"/>
  <c r="K384" i="5"/>
  <c r="X206" i="5"/>
  <c r="W206" i="5"/>
  <c r="U206" i="5"/>
  <c r="S207" i="5"/>
  <c r="T207" i="5" s="1"/>
  <c r="K208" i="5"/>
  <c r="V207" i="5"/>
  <c r="J386" i="5" l="1"/>
  <c r="K385" i="5"/>
  <c r="W207" i="5"/>
  <c r="X207" i="5"/>
  <c r="V208" i="5"/>
  <c r="X208" i="5" s="1"/>
  <c r="K209" i="5"/>
  <c r="S208" i="5"/>
  <c r="T208" i="5" s="1"/>
  <c r="U207" i="5"/>
  <c r="J387" i="5" l="1"/>
  <c r="K386" i="5"/>
  <c r="W208" i="5"/>
  <c r="K210" i="5"/>
  <c r="V209" i="5"/>
  <c r="X209" i="5" s="1"/>
  <c r="S209" i="5"/>
  <c r="U208" i="5"/>
  <c r="J388" i="5" l="1"/>
  <c r="K387" i="5"/>
  <c r="W209" i="5"/>
  <c r="T209" i="5"/>
  <c r="K211" i="5"/>
  <c r="S210" i="5"/>
  <c r="U210" i="5" s="1"/>
  <c r="V210" i="5"/>
  <c r="U209" i="5"/>
  <c r="J389" i="5" l="1"/>
  <c r="K388" i="5"/>
  <c r="W210" i="5"/>
  <c r="X210" i="5"/>
  <c r="T210" i="5"/>
  <c r="K212" i="5"/>
  <c r="S211" i="5"/>
  <c r="U211" i="5" s="1"/>
  <c r="V211" i="5"/>
  <c r="J390" i="5" l="1"/>
  <c r="K389" i="5"/>
  <c r="X211" i="5"/>
  <c r="W211" i="5"/>
  <c r="V212" i="5"/>
  <c r="W212" i="5" s="1"/>
  <c r="K213" i="5"/>
  <c r="S212" i="5"/>
  <c r="T212" i="5" s="1"/>
  <c r="T211" i="5"/>
  <c r="J391" i="5" l="1"/>
  <c r="K390" i="5"/>
  <c r="X212" i="5"/>
  <c r="U212" i="5"/>
  <c r="V213" i="5"/>
  <c r="W213" i="5" s="1"/>
  <c r="K214" i="5"/>
  <c r="S213" i="5"/>
  <c r="U213" i="5" s="1"/>
  <c r="J392" i="5" l="1"/>
  <c r="K391" i="5"/>
  <c r="X213" i="5"/>
  <c r="S214" i="5"/>
  <c r="T214" i="5" s="1"/>
  <c r="V214" i="5"/>
  <c r="K215" i="5"/>
  <c r="T213" i="5"/>
  <c r="J393" i="5" l="1"/>
  <c r="K392" i="5"/>
  <c r="X214" i="5"/>
  <c r="W214" i="5"/>
  <c r="S215" i="5"/>
  <c r="T215" i="5" s="1"/>
  <c r="V215" i="5"/>
  <c r="X215" i="5" s="1"/>
  <c r="K216" i="5"/>
  <c r="U214" i="5"/>
  <c r="J394" i="5" l="1"/>
  <c r="K393" i="5"/>
  <c r="W215" i="5"/>
  <c r="S216" i="5"/>
  <c r="U216" i="5" s="1"/>
  <c r="K217" i="5"/>
  <c r="V216" i="5"/>
  <c r="X216" i="5" s="1"/>
  <c r="U215" i="5"/>
  <c r="K394" i="5" l="1"/>
  <c r="J395" i="5"/>
  <c r="W216" i="5"/>
  <c r="V217" i="5"/>
  <c r="X217" i="5" s="1"/>
  <c r="S217" i="5"/>
  <c r="T217" i="5" s="1"/>
  <c r="T216" i="5"/>
  <c r="J396" i="5" l="1"/>
  <c r="K395" i="5"/>
  <c r="W217" i="5"/>
  <c r="U217" i="5"/>
  <c r="J397" i="5" l="1"/>
  <c r="K396" i="5"/>
  <c r="J398" i="5" l="1"/>
  <c r="K397" i="5"/>
  <c r="J399" i="5" l="1"/>
  <c r="K398" i="5"/>
  <c r="J400" i="5" l="1"/>
  <c r="K399" i="5"/>
  <c r="J401" i="5" l="1"/>
  <c r="K400" i="5"/>
  <c r="J402" i="5" l="1"/>
  <c r="K401" i="5"/>
  <c r="J403" i="5" l="1"/>
  <c r="K402" i="5"/>
  <c r="J404" i="5" l="1"/>
  <c r="K403" i="5"/>
  <c r="J405" i="5" l="1"/>
  <c r="K404" i="5"/>
  <c r="J406" i="5" l="1"/>
  <c r="K405" i="5"/>
  <c r="J407" i="5" l="1"/>
  <c r="K406" i="5"/>
  <c r="J408" i="5" l="1"/>
  <c r="K407" i="5"/>
  <c r="J409" i="5" l="1"/>
  <c r="K408" i="5"/>
  <c r="J410" i="5" l="1"/>
  <c r="K409" i="5"/>
  <c r="K410" i="5" l="1"/>
  <c r="J411" i="5"/>
  <c r="K411" i="5" l="1"/>
  <c r="J412" i="5"/>
  <c r="J413" i="5" l="1"/>
  <c r="K412" i="5"/>
  <c r="J414" i="5" l="1"/>
  <c r="K413" i="5"/>
  <c r="J415" i="5" l="1"/>
  <c r="K414" i="5"/>
  <c r="J416" i="5" l="1"/>
  <c r="K415" i="5"/>
  <c r="J417" i="5" l="1"/>
  <c r="K416" i="5"/>
  <c r="J418" i="5" l="1"/>
  <c r="K417" i="5"/>
  <c r="J419" i="5" l="1"/>
  <c r="K418" i="5"/>
  <c r="J420" i="5" l="1"/>
  <c r="K419" i="5"/>
  <c r="J421" i="5" l="1"/>
  <c r="K420" i="5"/>
  <c r="J422" i="5" l="1"/>
  <c r="K421" i="5"/>
  <c r="J423" i="5" l="1"/>
  <c r="K422" i="5"/>
  <c r="J424" i="5" l="1"/>
  <c r="K423" i="5"/>
  <c r="J425" i="5" l="1"/>
  <c r="K424" i="5"/>
  <c r="K425" i="5" l="1"/>
  <c r="J426" i="5"/>
  <c r="J427" i="5" l="1"/>
  <c r="K426" i="5"/>
  <c r="J428" i="5" l="1"/>
  <c r="K427" i="5"/>
  <c r="J429" i="5" l="1"/>
  <c r="K428" i="5"/>
  <c r="J430" i="5" l="1"/>
  <c r="K429" i="5"/>
  <c r="J431" i="5" l="1"/>
  <c r="K430" i="5"/>
  <c r="J432" i="5" l="1"/>
  <c r="K431" i="5"/>
  <c r="J433" i="5" l="1"/>
  <c r="K432" i="5"/>
  <c r="J434" i="5" l="1"/>
  <c r="K433" i="5"/>
  <c r="J435" i="5" l="1"/>
  <c r="K434" i="5"/>
  <c r="K435" i="5" l="1"/>
  <c r="J436" i="5"/>
  <c r="J437" i="5" l="1"/>
  <c r="K436" i="5"/>
  <c r="K437" i="5" l="1"/>
  <c r="J438" i="5"/>
  <c r="J439" i="5" l="1"/>
  <c r="K438" i="5"/>
  <c r="J440" i="5" l="1"/>
  <c r="K439" i="5"/>
  <c r="J441" i="5" l="1"/>
  <c r="K440" i="5"/>
  <c r="J442" i="5" l="1"/>
  <c r="K441" i="5"/>
  <c r="J443" i="5" l="1"/>
  <c r="K442" i="5"/>
  <c r="J444" i="5" l="1"/>
  <c r="K443" i="5"/>
  <c r="J445" i="5" l="1"/>
  <c r="K444" i="5"/>
  <c r="J446" i="5" l="1"/>
  <c r="K445" i="5"/>
  <c r="J447" i="5" l="1"/>
  <c r="K446" i="5"/>
  <c r="J448" i="5" l="1"/>
  <c r="K447" i="5"/>
  <c r="J449" i="5" l="1"/>
  <c r="K448" i="5"/>
  <c r="J450" i="5" l="1"/>
  <c r="K449" i="5"/>
  <c r="J451" i="5" l="1"/>
  <c r="K450" i="5"/>
  <c r="J452" i="5" l="1"/>
  <c r="K451" i="5"/>
  <c r="J453" i="5" l="1"/>
  <c r="K452" i="5"/>
  <c r="J454" i="5" l="1"/>
  <c r="K453" i="5"/>
  <c r="J455" i="5" l="1"/>
  <c r="K454" i="5"/>
  <c r="J456" i="5" l="1"/>
  <c r="K455" i="5"/>
  <c r="J457" i="5" l="1"/>
  <c r="K456" i="5"/>
  <c r="K457" i="5" l="1"/>
  <c r="J458" i="5"/>
  <c r="K458" i="5" l="1"/>
  <c r="J459" i="5"/>
  <c r="J460" i="5" l="1"/>
  <c r="K459" i="5"/>
  <c r="J461" i="5" l="1"/>
  <c r="K460" i="5"/>
  <c r="J462" i="5" l="1"/>
  <c r="K461" i="5"/>
  <c r="J463" i="5" l="1"/>
  <c r="K462" i="5"/>
  <c r="J464" i="5" l="1"/>
  <c r="K463" i="5"/>
  <c r="J465" i="5" l="1"/>
  <c r="K464" i="5"/>
  <c r="J466" i="5" l="1"/>
  <c r="K465" i="5"/>
  <c r="J467" i="5" l="1"/>
  <c r="K466" i="5"/>
  <c r="J468" i="5" l="1"/>
  <c r="K467" i="5"/>
  <c r="J469" i="5" l="1"/>
  <c r="K468" i="5"/>
  <c r="K469" i="5" l="1"/>
  <c r="J470" i="5"/>
  <c r="J471" i="5" l="1"/>
  <c r="K470" i="5"/>
  <c r="J472" i="5" l="1"/>
  <c r="K471" i="5"/>
  <c r="J473" i="5" l="1"/>
  <c r="K472" i="5"/>
  <c r="J474" i="5" l="1"/>
  <c r="K473" i="5"/>
  <c r="J475" i="5" l="1"/>
  <c r="K474" i="5"/>
  <c r="J476" i="5" l="1"/>
  <c r="K475" i="5"/>
  <c r="J477" i="5" l="1"/>
  <c r="K476" i="5"/>
  <c r="J478" i="5" l="1"/>
  <c r="K477" i="5"/>
  <c r="K478" i="5" l="1"/>
  <c r="J479" i="5"/>
  <c r="K479" i="5" l="1"/>
  <c r="J480" i="5"/>
  <c r="J481" i="5" l="1"/>
  <c r="K480" i="5"/>
  <c r="J482" i="5" l="1"/>
  <c r="K481" i="5"/>
  <c r="J483" i="5" l="1"/>
  <c r="K482" i="5"/>
  <c r="J484" i="5" l="1"/>
  <c r="K483" i="5"/>
  <c r="J485" i="5" l="1"/>
  <c r="K484" i="5"/>
  <c r="J486" i="5" l="1"/>
  <c r="K485" i="5"/>
  <c r="J487" i="5" l="1"/>
  <c r="K486" i="5"/>
  <c r="J488" i="5" l="1"/>
  <c r="K487" i="5"/>
  <c r="J489" i="5" l="1"/>
  <c r="K488" i="5"/>
  <c r="K489" i="5" l="1"/>
  <c r="J490" i="5"/>
  <c r="J491" i="5" l="1"/>
  <c r="K490" i="5"/>
  <c r="J492" i="5" l="1"/>
  <c r="K491" i="5"/>
  <c r="J493" i="5" l="1"/>
  <c r="K492" i="5"/>
  <c r="J494" i="5" l="1"/>
  <c r="K493" i="5"/>
  <c r="J495" i="5" l="1"/>
  <c r="K494" i="5"/>
  <c r="J496" i="5" l="1"/>
  <c r="K495" i="5"/>
  <c r="J497" i="5" l="1"/>
  <c r="K496" i="5"/>
  <c r="J498" i="5" l="1"/>
  <c r="K497" i="5"/>
  <c r="J499" i="5" l="1"/>
  <c r="K498" i="5"/>
  <c r="K499" i="5" l="1"/>
  <c r="J500" i="5"/>
  <c r="J501" i="5" l="1"/>
  <c r="K500" i="5"/>
  <c r="K501" i="5" l="1"/>
  <c r="J502" i="5"/>
  <c r="J503" i="5" l="1"/>
  <c r="K502" i="5"/>
  <c r="J504" i="5" l="1"/>
  <c r="K503" i="5"/>
  <c r="J505" i="5" l="1"/>
  <c r="K504" i="5"/>
  <c r="J506" i="5" l="1"/>
  <c r="K505" i="5"/>
  <c r="J507" i="5" l="1"/>
  <c r="K506" i="5"/>
  <c r="J508" i="5" l="1"/>
  <c r="K507" i="5"/>
  <c r="J509" i="5" l="1"/>
  <c r="K508" i="5"/>
  <c r="J510" i="5" l="1"/>
  <c r="K509" i="5"/>
  <c r="J511" i="5" l="1"/>
  <c r="K510" i="5"/>
  <c r="J512" i="5" l="1"/>
  <c r="K511" i="5"/>
  <c r="J513" i="5" l="1"/>
  <c r="K512" i="5"/>
  <c r="J514" i="5" l="1"/>
  <c r="K513" i="5"/>
  <c r="J515" i="5" l="1"/>
  <c r="K514" i="5"/>
  <c r="J516" i="5" l="1"/>
  <c r="K515" i="5"/>
  <c r="J517" i="5" l="1"/>
  <c r="K516" i="5"/>
  <c r="J518" i="5" l="1"/>
  <c r="K517" i="5"/>
  <c r="J519" i="5" l="1"/>
  <c r="K518" i="5"/>
  <c r="J520" i="5" l="1"/>
  <c r="K519" i="5"/>
  <c r="J521" i="5" l="1"/>
  <c r="K520" i="5"/>
  <c r="K521" i="5" l="1"/>
  <c r="J522" i="5"/>
  <c r="K522" i="5" l="1"/>
  <c r="J523" i="5"/>
  <c r="J524" i="5" l="1"/>
  <c r="K523" i="5"/>
  <c r="J525" i="5" l="1"/>
  <c r="K524" i="5"/>
  <c r="J526" i="5" l="1"/>
  <c r="K525" i="5"/>
  <c r="J527" i="5" l="1"/>
  <c r="K526" i="5"/>
  <c r="J528" i="5" l="1"/>
  <c r="K527" i="5"/>
  <c r="J529" i="5" l="1"/>
  <c r="K528" i="5"/>
  <c r="J530" i="5" l="1"/>
  <c r="K529" i="5"/>
  <c r="J531" i="5" l="1"/>
  <c r="K530" i="5"/>
  <c r="J532" i="5" l="1"/>
  <c r="K531" i="5"/>
  <c r="J533" i="5" l="1"/>
  <c r="K532" i="5"/>
  <c r="K533" i="5" l="1"/>
  <c r="J534" i="5"/>
  <c r="J535" i="5" l="1"/>
  <c r="K534" i="5"/>
  <c r="J536" i="5" l="1"/>
  <c r="K535" i="5"/>
  <c r="J537" i="5" l="1"/>
  <c r="K536" i="5"/>
  <c r="J538" i="5" l="1"/>
  <c r="K537" i="5"/>
  <c r="J539" i="5" l="1"/>
  <c r="K538" i="5"/>
  <c r="J540" i="5" l="1"/>
  <c r="K539" i="5"/>
  <c r="J541" i="5" l="1"/>
  <c r="K540" i="5"/>
  <c r="J542" i="5" l="1"/>
  <c r="K541" i="5"/>
  <c r="K542" i="5" l="1"/>
  <c r="J543" i="5"/>
  <c r="K543" i="5" l="1"/>
  <c r="J544" i="5"/>
  <c r="J545" i="5" l="1"/>
  <c r="K544" i="5"/>
  <c r="J546" i="5" l="1"/>
  <c r="K545" i="5"/>
  <c r="J547" i="5" l="1"/>
  <c r="K546" i="5"/>
  <c r="J548" i="5" l="1"/>
  <c r="K547" i="5"/>
  <c r="J549" i="5" l="1"/>
  <c r="K548" i="5"/>
  <c r="J550" i="5" l="1"/>
  <c r="K549" i="5"/>
  <c r="J551" i="5" l="1"/>
  <c r="K550" i="5"/>
  <c r="J552" i="5" l="1"/>
  <c r="K551" i="5"/>
  <c r="J553" i="5" l="1"/>
  <c r="K552" i="5"/>
  <c r="K553" i="5" l="1"/>
  <c r="J554" i="5"/>
  <c r="J555" i="5" l="1"/>
  <c r="K554" i="5"/>
  <c r="J556" i="5" l="1"/>
  <c r="K555" i="5"/>
  <c r="J557" i="5" l="1"/>
  <c r="K556" i="5"/>
  <c r="J558" i="5" l="1"/>
  <c r="K557" i="5"/>
  <c r="J559" i="5" l="1"/>
  <c r="K558" i="5"/>
  <c r="J560" i="5" l="1"/>
  <c r="K559" i="5"/>
  <c r="J561" i="5" l="1"/>
  <c r="K560" i="5"/>
  <c r="J562" i="5" l="1"/>
  <c r="K561" i="5"/>
  <c r="J563" i="5" l="1"/>
  <c r="K562" i="5"/>
  <c r="K563" i="5" l="1"/>
  <c r="J564" i="5"/>
  <c r="J565" i="5" l="1"/>
  <c r="K564" i="5"/>
  <c r="K565" i="5" l="1"/>
  <c r="J566" i="5"/>
  <c r="J567" i="5" l="1"/>
  <c r="K566" i="5"/>
  <c r="J568" i="5" l="1"/>
  <c r="K567" i="5"/>
  <c r="J569" i="5" l="1"/>
  <c r="K568" i="5"/>
  <c r="J570" i="5" l="1"/>
  <c r="K569" i="5"/>
  <c r="J571" i="5" l="1"/>
  <c r="K570" i="5"/>
  <c r="J572" i="5" l="1"/>
  <c r="K571" i="5"/>
  <c r="J573" i="5" l="1"/>
  <c r="K572" i="5"/>
  <c r="J574" i="5" l="1"/>
  <c r="K573" i="5"/>
  <c r="J575" i="5" l="1"/>
  <c r="K574" i="5"/>
  <c r="J576" i="5" l="1"/>
  <c r="K575" i="5"/>
  <c r="J577" i="5" l="1"/>
  <c r="K576" i="5"/>
  <c r="J578" i="5" l="1"/>
  <c r="K577" i="5"/>
  <c r="J579" i="5" l="1"/>
  <c r="K578" i="5"/>
  <c r="J580" i="5" l="1"/>
  <c r="K579" i="5"/>
  <c r="J581" i="5" l="1"/>
  <c r="K580" i="5"/>
  <c r="J582" i="5" l="1"/>
  <c r="K581" i="5"/>
  <c r="J583" i="5" l="1"/>
  <c r="K582" i="5"/>
  <c r="J584" i="5" l="1"/>
  <c r="K583" i="5"/>
  <c r="J585" i="5" l="1"/>
  <c r="K584" i="5"/>
  <c r="K585" i="5" l="1"/>
  <c r="J586" i="5"/>
  <c r="K586" i="5" l="1"/>
  <c r="J587" i="5"/>
  <c r="J588" i="5" l="1"/>
  <c r="K587" i="5"/>
  <c r="J589" i="5" l="1"/>
  <c r="K588" i="5"/>
  <c r="J590" i="5" l="1"/>
  <c r="K589" i="5"/>
  <c r="J591" i="5" l="1"/>
  <c r="K590" i="5"/>
  <c r="J592" i="5" l="1"/>
  <c r="K591" i="5"/>
  <c r="J593" i="5" l="1"/>
  <c r="K592" i="5"/>
  <c r="J594" i="5" l="1"/>
  <c r="K593" i="5"/>
  <c r="J595" i="5" l="1"/>
  <c r="K594" i="5"/>
  <c r="J596" i="5" l="1"/>
  <c r="K595" i="5"/>
  <c r="J597" i="5" l="1"/>
  <c r="K596" i="5"/>
  <c r="K597" i="5" l="1"/>
  <c r="J598" i="5"/>
  <c r="J599" i="5" l="1"/>
  <c r="K598" i="5"/>
  <c r="J600" i="5" l="1"/>
  <c r="K599" i="5"/>
  <c r="J601" i="5" l="1"/>
  <c r="K600" i="5"/>
  <c r="J602" i="5" l="1"/>
  <c r="K601" i="5"/>
  <c r="J603" i="5" l="1"/>
  <c r="K602" i="5"/>
  <c r="J604" i="5" l="1"/>
  <c r="K603" i="5"/>
  <c r="J605" i="5" l="1"/>
  <c r="K604" i="5"/>
  <c r="J606" i="5" l="1"/>
  <c r="K605" i="5"/>
  <c r="K606" i="5" l="1"/>
  <c r="J607" i="5"/>
  <c r="J608" i="5" l="1"/>
  <c r="K607" i="5"/>
  <c r="J609" i="5" l="1"/>
  <c r="K608" i="5"/>
  <c r="J610" i="5" l="1"/>
  <c r="K609" i="5"/>
  <c r="J611" i="5" l="1"/>
  <c r="K610" i="5"/>
  <c r="J612" i="5" l="1"/>
  <c r="K611" i="5"/>
  <c r="J613" i="5" l="1"/>
  <c r="K612" i="5"/>
  <c r="J614" i="5" l="1"/>
  <c r="K613" i="5"/>
  <c r="J615" i="5" l="1"/>
  <c r="K614" i="5"/>
  <c r="J616" i="5" l="1"/>
  <c r="K615" i="5"/>
  <c r="J617" i="5" l="1"/>
  <c r="K616" i="5"/>
  <c r="K617" i="5" l="1"/>
  <c r="J618" i="5"/>
  <c r="J619" i="5" l="1"/>
  <c r="K618" i="5"/>
  <c r="J620" i="5" l="1"/>
  <c r="K619" i="5"/>
  <c r="J621" i="5" l="1"/>
  <c r="K620" i="5"/>
  <c r="J622" i="5" l="1"/>
  <c r="K621" i="5"/>
  <c r="J623" i="5" l="1"/>
  <c r="K622" i="5"/>
  <c r="J624" i="5" l="1"/>
  <c r="K623" i="5"/>
  <c r="J625" i="5" l="1"/>
  <c r="K624" i="5"/>
  <c r="J626" i="5" l="1"/>
  <c r="K625" i="5"/>
  <c r="J627" i="5" l="1"/>
  <c r="K626" i="5"/>
  <c r="K627" i="5" l="1"/>
  <c r="J628" i="5"/>
  <c r="J629" i="5" l="1"/>
  <c r="K628" i="5"/>
  <c r="K629" i="5" l="1"/>
  <c r="J630" i="5"/>
  <c r="J631" i="5" l="1"/>
  <c r="K630" i="5"/>
  <c r="J632" i="5" l="1"/>
  <c r="K631" i="5"/>
  <c r="J633" i="5" l="1"/>
  <c r="K632" i="5"/>
  <c r="J634" i="5" l="1"/>
  <c r="K633" i="5"/>
  <c r="J635" i="5" l="1"/>
  <c r="K634" i="5"/>
  <c r="J636" i="5" l="1"/>
  <c r="K635" i="5"/>
  <c r="J637" i="5" l="1"/>
  <c r="K636" i="5"/>
  <c r="J638" i="5" l="1"/>
  <c r="K637" i="5"/>
  <c r="J639" i="5" l="1"/>
  <c r="K638" i="5"/>
  <c r="J640" i="5" l="1"/>
  <c r="K639" i="5"/>
  <c r="J641" i="5" l="1"/>
  <c r="K640" i="5"/>
  <c r="J642" i="5" l="1"/>
  <c r="K641" i="5"/>
  <c r="J643" i="5" l="1"/>
  <c r="K642" i="5"/>
  <c r="J644" i="5" l="1"/>
  <c r="K643" i="5"/>
  <c r="J645" i="5" l="1"/>
  <c r="K644" i="5"/>
  <c r="J646" i="5" l="1"/>
  <c r="K645" i="5"/>
  <c r="J647" i="5" l="1"/>
  <c r="K646" i="5"/>
  <c r="J648" i="5" l="1"/>
  <c r="K647" i="5"/>
  <c r="J649" i="5" l="1"/>
  <c r="K648" i="5"/>
  <c r="K649" i="5" l="1"/>
  <c r="J650" i="5"/>
  <c r="J651" i="5" l="1"/>
  <c r="K650" i="5"/>
  <c r="J652" i="5" l="1"/>
  <c r="K651" i="5"/>
  <c r="J653" i="5" l="1"/>
  <c r="K652" i="5"/>
  <c r="J654" i="5" l="1"/>
  <c r="K653" i="5"/>
  <c r="J655" i="5" l="1"/>
  <c r="K654" i="5"/>
  <c r="J656" i="5" l="1"/>
  <c r="K655" i="5"/>
  <c r="J657" i="5" l="1"/>
  <c r="K656" i="5"/>
  <c r="J658" i="5" l="1"/>
  <c r="K657" i="5"/>
  <c r="J659" i="5" l="1"/>
  <c r="K658" i="5"/>
  <c r="J660" i="5" l="1"/>
  <c r="K659" i="5"/>
  <c r="J661" i="5" l="1"/>
  <c r="K660" i="5"/>
  <c r="J662" i="5" l="1"/>
  <c r="K661" i="5"/>
  <c r="J663" i="5" l="1"/>
  <c r="K662" i="5"/>
  <c r="J664" i="5" l="1"/>
  <c r="K663" i="5"/>
  <c r="J665" i="5" l="1"/>
  <c r="K664" i="5"/>
  <c r="K665" i="5" l="1"/>
  <c r="J666" i="5"/>
  <c r="J667" i="5" l="1"/>
  <c r="K666" i="5"/>
  <c r="J668" i="5" l="1"/>
  <c r="K667" i="5"/>
  <c r="J669" i="5" l="1"/>
  <c r="K668" i="5"/>
  <c r="J670" i="5" l="1"/>
  <c r="K669" i="5"/>
  <c r="J671" i="5" l="1"/>
  <c r="K670" i="5"/>
  <c r="J672" i="5" l="1"/>
  <c r="K671" i="5"/>
  <c r="J673" i="5" l="1"/>
  <c r="K672" i="5"/>
  <c r="J674" i="5" l="1"/>
  <c r="K673" i="5"/>
  <c r="J675" i="5" l="1"/>
  <c r="K674" i="5"/>
  <c r="J676" i="5" l="1"/>
  <c r="K675" i="5"/>
  <c r="J677" i="5" l="1"/>
  <c r="K676" i="5"/>
  <c r="J678" i="5" l="1"/>
  <c r="K677" i="5"/>
  <c r="J679" i="5" l="1"/>
  <c r="K678" i="5"/>
  <c r="K679" i="5" l="1"/>
  <c r="J680" i="5"/>
  <c r="J681" i="5" l="1"/>
  <c r="K680" i="5"/>
  <c r="K681" i="5" l="1"/>
  <c r="J682" i="5"/>
  <c r="J683" i="5" l="1"/>
  <c r="K682" i="5"/>
  <c r="J684" i="5" l="1"/>
  <c r="K683" i="5"/>
  <c r="J685" i="5" l="1"/>
  <c r="K684" i="5"/>
  <c r="J686" i="5" l="1"/>
  <c r="K685" i="5"/>
  <c r="J687" i="5" l="1"/>
  <c r="K686" i="5"/>
  <c r="J688" i="5" l="1"/>
  <c r="K687" i="5"/>
  <c r="J689" i="5" l="1"/>
  <c r="K688" i="5"/>
  <c r="J690" i="5" l="1"/>
  <c r="K689" i="5"/>
  <c r="J691" i="5" l="1"/>
  <c r="K690" i="5"/>
  <c r="J692" i="5" l="1"/>
  <c r="K691" i="5"/>
  <c r="J693" i="5" l="1"/>
  <c r="K692" i="5"/>
  <c r="K693" i="5" l="1"/>
  <c r="J694" i="5"/>
  <c r="J695" i="5" l="1"/>
  <c r="K694" i="5"/>
  <c r="K695" i="5" l="1"/>
  <c r="J696" i="5"/>
  <c r="J697" i="5" l="1"/>
  <c r="K696" i="5"/>
  <c r="J698" i="5" l="1"/>
  <c r="K697" i="5"/>
  <c r="J699" i="5" l="1"/>
  <c r="K698" i="5"/>
  <c r="J700" i="5" l="1"/>
  <c r="K699" i="5"/>
  <c r="J701" i="5" l="1"/>
  <c r="K700" i="5"/>
  <c r="K701" i="5" l="1"/>
  <c r="J702" i="5"/>
  <c r="J703" i="5" l="1"/>
  <c r="K702" i="5"/>
  <c r="J704" i="5" l="1"/>
  <c r="K703" i="5"/>
  <c r="J705" i="5" l="1"/>
  <c r="K704" i="5"/>
  <c r="J706" i="5" l="1"/>
  <c r="K705" i="5"/>
  <c r="J707" i="5" l="1"/>
  <c r="K706" i="5"/>
  <c r="K707" i="5" l="1"/>
  <c r="J708" i="5"/>
  <c r="J709" i="5" l="1"/>
  <c r="K708" i="5"/>
  <c r="K709" i="5" l="1"/>
  <c r="J710" i="5"/>
  <c r="J711" i="5" l="1"/>
  <c r="K710" i="5"/>
  <c r="J712" i="5" l="1"/>
  <c r="K711" i="5"/>
  <c r="J713" i="5" l="1"/>
  <c r="K712" i="5"/>
  <c r="J714" i="5" l="1"/>
  <c r="K713" i="5"/>
  <c r="J715" i="5" l="1"/>
  <c r="K714" i="5"/>
  <c r="J716" i="5" l="1"/>
  <c r="K715" i="5"/>
  <c r="J717" i="5" l="1"/>
  <c r="K716" i="5"/>
  <c r="K717" i="5" l="1"/>
  <c r="J718" i="5"/>
  <c r="J719" i="5" l="1"/>
  <c r="K718" i="5"/>
  <c r="J720" i="5" l="1"/>
  <c r="K719" i="5"/>
  <c r="J721" i="5" l="1"/>
  <c r="K720" i="5"/>
  <c r="J722" i="5" l="1"/>
  <c r="K721" i="5"/>
  <c r="J723" i="5" l="1"/>
  <c r="K722" i="5"/>
  <c r="K723" i="5" l="1"/>
  <c r="J724" i="5"/>
  <c r="J725" i="5" l="1"/>
  <c r="K724" i="5"/>
  <c r="J726" i="5" l="1"/>
  <c r="K725" i="5"/>
  <c r="J727" i="5" l="1"/>
  <c r="K726" i="5"/>
  <c r="J728" i="5" l="1"/>
  <c r="K727" i="5"/>
  <c r="J729" i="5" l="1"/>
  <c r="K728" i="5"/>
  <c r="K729" i="5" l="1"/>
  <c r="J730" i="5"/>
  <c r="J731" i="5" l="1"/>
  <c r="K730" i="5"/>
  <c r="J732" i="5" l="1"/>
  <c r="K731" i="5"/>
  <c r="J733" i="5" l="1"/>
  <c r="K732" i="5"/>
  <c r="J734" i="5" l="1"/>
  <c r="K733" i="5"/>
  <c r="J735" i="5" l="1"/>
  <c r="K734" i="5"/>
  <c r="J736" i="5" l="1"/>
  <c r="K735" i="5"/>
  <c r="J737" i="5" l="1"/>
  <c r="K736" i="5"/>
  <c r="J738" i="5" l="1"/>
  <c r="K737" i="5"/>
  <c r="J739" i="5" l="1"/>
  <c r="K738" i="5"/>
  <c r="J740" i="5" l="1"/>
  <c r="K739" i="5"/>
  <c r="J741" i="5" l="1"/>
  <c r="K740" i="5"/>
  <c r="J742" i="5" l="1"/>
  <c r="K741" i="5"/>
  <c r="J743" i="5" l="1"/>
  <c r="K742" i="5"/>
  <c r="J744" i="5" l="1"/>
  <c r="K743" i="5"/>
  <c r="J745" i="5" l="1"/>
  <c r="K744" i="5"/>
  <c r="K745" i="5" l="1"/>
  <c r="J746" i="5"/>
  <c r="J747" i="5" l="1"/>
  <c r="K746" i="5"/>
  <c r="J748" i="5" l="1"/>
  <c r="K747" i="5"/>
  <c r="J749" i="5" l="1"/>
  <c r="K748" i="5"/>
  <c r="J750" i="5" l="1"/>
  <c r="K749" i="5"/>
  <c r="K750" i="5" l="1"/>
  <c r="J751" i="5"/>
  <c r="J752" i="5" l="1"/>
  <c r="K751" i="5"/>
  <c r="J753" i="5" l="1"/>
  <c r="K752" i="5"/>
  <c r="J754" i="5" l="1"/>
  <c r="K753" i="5"/>
  <c r="J755" i="5" l="1"/>
  <c r="K754" i="5"/>
  <c r="J756" i="5" l="1"/>
  <c r="K755" i="5"/>
  <c r="J757" i="5" l="1"/>
  <c r="K756" i="5"/>
  <c r="K757" i="5" l="1"/>
  <c r="J758" i="5"/>
  <c r="J759" i="5" l="1"/>
  <c r="K758" i="5"/>
  <c r="J760" i="5" l="1"/>
  <c r="K759" i="5"/>
  <c r="J761" i="5" l="1"/>
  <c r="K760" i="5"/>
  <c r="J762" i="5" l="1"/>
  <c r="K761" i="5"/>
  <c r="J763" i="5" l="1"/>
  <c r="K762" i="5"/>
  <c r="J764" i="5" l="1"/>
  <c r="K763" i="5"/>
  <c r="J765" i="5" l="1"/>
  <c r="K764" i="5"/>
  <c r="K765" i="5" l="1"/>
  <c r="J766" i="5"/>
  <c r="K766" i="5" l="1"/>
  <c r="J767" i="5"/>
  <c r="J768" i="5" l="1"/>
  <c r="K767" i="5"/>
  <c r="J769" i="5" l="1"/>
  <c r="K768" i="5"/>
  <c r="J770" i="5" l="1"/>
  <c r="K769" i="5"/>
  <c r="J771" i="5" l="1"/>
  <c r="K770" i="5"/>
  <c r="J772" i="5" l="1"/>
  <c r="K771" i="5"/>
  <c r="J773" i="5" l="1"/>
  <c r="K772" i="5"/>
  <c r="J774" i="5" l="1"/>
  <c r="K773" i="5"/>
  <c r="J775" i="5" l="1"/>
  <c r="K774" i="5"/>
  <c r="J776" i="5" l="1"/>
  <c r="K775" i="5"/>
  <c r="J777" i="5" l="1"/>
  <c r="K776" i="5"/>
  <c r="J778" i="5" l="1"/>
  <c r="K777" i="5"/>
  <c r="K778" i="5" l="1"/>
  <c r="J779" i="5"/>
  <c r="J780" i="5" l="1"/>
  <c r="K779" i="5"/>
  <c r="J781" i="5" l="1"/>
  <c r="K780" i="5"/>
  <c r="J782" i="5" l="1"/>
  <c r="K781" i="5"/>
  <c r="J783" i="5" l="1"/>
  <c r="K782" i="5"/>
  <c r="J784" i="5" l="1"/>
  <c r="K783" i="5"/>
  <c r="J785" i="5" l="1"/>
  <c r="K784" i="5"/>
  <c r="J786" i="5" l="1"/>
  <c r="K785" i="5"/>
  <c r="J787" i="5" l="1"/>
  <c r="K786" i="5"/>
  <c r="K787" i="5" l="1"/>
  <c r="J788" i="5"/>
  <c r="J789" i="5" l="1"/>
  <c r="K788" i="5"/>
  <c r="J790" i="5" l="1"/>
  <c r="K789" i="5"/>
  <c r="J791" i="5" l="1"/>
  <c r="K790" i="5"/>
  <c r="J792" i="5" l="1"/>
  <c r="K791" i="5"/>
  <c r="J793" i="5" l="1"/>
  <c r="K792" i="5"/>
  <c r="J794" i="5" l="1"/>
  <c r="K793" i="5"/>
  <c r="J795" i="5" l="1"/>
  <c r="K794" i="5"/>
  <c r="J796" i="5" l="1"/>
  <c r="K795" i="5"/>
  <c r="J797" i="5" l="1"/>
  <c r="K796" i="5"/>
  <c r="J798" i="5" l="1"/>
  <c r="K797" i="5"/>
  <c r="J799" i="5" l="1"/>
  <c r="K798" i="5"/>
  <c r="K799" i="5" l="1"/>
  <c r="J800" i="5"/>
  <c r="J801" i="5" l="1"/>
  <c r="K800" i="5"/>
  <c r="J802" i="5" l="1"/>
  <c r="K801" i="5"/>
  <c r="J803" i="5" l="1"/>
  <c r="K802" i="5"/>
  <c r="J804" i="5" l="1"/>
  <c r="K803" i="5"/>
  <c r="J805" i="5" l="1"/>
  <c r="K804" i="5"/>
  <c r="J806" i="5" l="1"/>
  <c r="K805" i="5"/>
  <c r="J807" i="5" l="1"/>
  <c r="K806" i="5"/>
  <c r="J808" i="5" l="1"/>
  <c r="K807" i="5"/>
  <c r="J809" i="5" l="1"/>
  <c r="K808" i="5"/>
  <c r="J810" i="5" l="1"/>
  <c r="K809" i="5"/>
  <c r="J811" i="5" l="1"/>
  <c r="K810" i="5"/>
  <c r="J812" i="5" l="1"/>
  <c r="K811" i="5"/>
  <c r="J813" i="5" l="1"/>
  <c r="K812" i="5"/>
  <c r="J814" i="5" l="1"/>
  <c r="K813" i="5"/>
  <c r="J815" i="5" l="1"/>
  <c r="K814" i="5"/>
  <c r="J816" i="5" l="1"/>
  <c r="K815" i="5"/>
  <c r="J817" i="5" l="1"/>
  <c r="K816" i="5"/>
  <c r="J818" i="5" l="1"/>
  <c r="K817" i="5"/>
  <c r="J819" i="5" l="1"/>
  <c r="K818" i="5"/>
  <c r="K819" i="5" l="1"/>
  <c r="J820" i="5"/>
  <c r="K820" i="5" l="1"/>
  <c r="J821" i="5"/>
  <c r="J822" i="5" l="1"/>
  <c r="K821" i="5"/>
  <c r="J823" i="5" l="1"/>
  <c r="K822" i="5"/>
  <c r="J824" i="5" l="1"/>
  <c r="K823" i="5"/>
  <c r="J825" i="5" l="1"/>
  <c r="K824" i="5"/>
  <c r="J826" i="5" l="1"/>
  <c r="K825" i="5"/>
  <c r="J827" i="5" l="1"/>
  <c r="K826" i="5"/>
  <c r="J828" i="5" l="1"/>
  <c r="K827" i="5"/>
  <c r="J829" i="5" l="1"/>
  <c r="K828" i="5"/>
  <c r="J830" i="5" l="1"/>
  <c r="K829" i="5"/>
  <c r="J831" i="5" l="1"/>
  <c r="K830" i="5"/>
  <c r="K831" i="5" l="1"/>
  <c r="J832" i="5"/>
  <c r="J833" i="5" l="1"/>
  <c r="K832" i="5"/>
  <c r="J834" i="5" l="1"/>
  <c r="K833" i="5"/>
  <c r="J835" i="5" l="1"/>
  <c r="K834" i="5"/>
  <c r="J836" i="5" l="1"/>
  <c r="K835" i="5"/>
  <c r="J837" i="5" l="1"/>
  <c r="K836" i="5"/>
  <c r="J838" i="5" l="1"/>
  <c r="K837" i="5"/>
  <c r="J839" i="5" l="1"/>
  <c r="K838" i="5"/>
  <c r="J840" i="5" l="1"/>
  <c r="K839" i="5"/>
  <c r="J841" i="5" l="1"/>
  <c r="K840" i="5"/>
  <c r="J842" i="5" l="1"/>
  <c r="K841" i="5"/>
  <c r="K842" i="5" l="1"/>
  <c r="J843" i="5"/>
  <c r="J844" i="5" l="1"/>
  <c r="K843" i="5"/>
  <c r="J845" i="5" l="1"/>
  <c r="K844" i="5"/>
  <c r="J846" i="5" l="1"/>
  <c r="K845" i="5"/>
  <c r="J847" i="5" l="1"/>
  <c r="K846" i="5"/>
  <c r="J848" i="5" l="1"/>
  <c r="K847" i="5"/>
  <c r="J849" i="5" l="1"/>
  <c r="K848" i="5"/>
  <c r="J850" i="5" l="1"/>
  <c r="K849" i="5"/>
  <c r="J851" i="5" l="1"/>
  <c r="K850" i="5"/>
  <c r="K851" i="5" l="1"/>
  <c r="J852" i="5"/>
  <c r="J853" i="5" l="1"/>
  <c r="K852" i="5"/>
  <c r="J854" i="5" l="1"/>
  <c r="K853" i="5"/>
  <c r="J855" i="5" l="1"/>
  <c r="K854" i="5"/>
  <c r="J856" i="5" l="1"/>
  <c r="K855" i="5"/>
  <c r="J857" i="5" l="1"/>
  <c r="K856" i="5"/>
  <c r="J858" i="5" l="1"/>
  <c r="K857" i="5"/>
  <c r="J859" i="5" l="1"/>
  <c r="K858" i="5"/>
  <c r="J860" i="5" l="1"/>
  <c r="K859" i="5"/>
  <c r="J861" i="5" l="1"/>
  <c r="K860" i="5"/>
  <c r="J862" i="5" l="1"/>
  <c r="K861" i="5"/>
  <c r="K862" i="5" l="1"/>
  <c r="J863" i="5"/>
  <c r="K863" i="5" l="1"/>
  <c r="J864" i="5"/>
  <c r="J865" i="5" l="1"/>
  <c r="K864" i="5"/>
  <c r="K865" i="5" l="1"/>
  <c r="J866" i="5"/>
  <c r="J867" i="5" l="1"/>
  <c r="K866" i="5"/>
  <c r="K867" i="5" l="1"/>
  <c r="J868" i="5"/>
  <c r="K868" i="5" l="1"/>
  <c r="J869" i="5"/>
  <c r="K869" i="5" l="1"/>
  <c r="J870" i="5"/>
  <c r="K870" i="5" l="1"/>
  <c r="J871" i="5"/>
  <c r="J872" i="5" l="1"/>
  <c r="K871" i="5"/>
  <c r="K872" i="5" l="1"/>
  <c r="J873" i="5"/>
  <c r="J874" i="5" l="1"/>
  <c r="K873" i="5"/>
  <c r="K874" i="5" l="1"/>
  <c r="J875" i="5"/>
  <c r="J876" i="5" l="1"/>
  <c r="K875" i="5"/>
  <c r="J877" i="5" l="1"/>
  <c r="K876" i="5"/>
  <c r="J878" i="5" l="1"/>
  <c r="K877" i="5"/>
  <c r="K878" i="5" l="1"/>
  <c r="J879" i="5"/>
  <c r="J880" i="5" l="1"/>
  <c r="K879" i="5"/>
  <c r="J881" i="5" l="1"/>
  <c r="K880" i="5"/>
  <c r="K881" i="5" l="1"/>
  <c r="J882" i="5"/>
  <c r="J883" i="5" l="1"/>
  <c r="K882" i="5"/>
  <c r="K883" i="5" l="1"/>
  <c r="J884" i="5"/>
  <c r="J885" i="5" l="1"/>
  <c r="K884" i="5"/>
  <c r="J886" i="5" l="1"/>
  <c r="K885" i="5"/>
  <c r="J887" i="5" l="1"/>
  <c r="K886" i="5"/>
  <c r="J888" i="5" l="1"/>
  <c r="K887" i="5"/>
  <c r="J889" i="5" l="1"/>
  <c r="K888" i="5"/>
  <c r="J890" i="5" l="1"/>
  <c r="K889" i="5"/>
  <c r="K890" i="5" l="1"/>
  <c r="J891" i="5"/>
  <c r="J892" i="5" l="1"/>
  <c r="K891" i="5"/>
  <c r="K892" i="5" l="1"/>
  <c r="J893" i="5"/>
  <c r="J894" i="5" l="1"/>
  <c r="K893" i="5"/>
  <c r="J895" i="5" l="1"/>
  <c r="K894" i="5"/>
  <c r="J896" i="5" l="1"/>
  <c r="K895" i="5"/>
  <c r="K896" i="5" l="1"/>
  <c r="J897" i="5"/>
  <c r="J898" i="5" l="1"/>
  <c r="K897" i="5"/>
  <c r="J899" i="5" l="1"/>
  <c r="K898" i="5"/>
  <c r="J900" i="5" l="1"/>
  <c r="K899" i="5"/>
  <c r="K900" i="5" l="1"/>
  <c r="J901" i="5"/>
  <c r="J902" i="5" l="1"/>
  <c r="K901" i="5"/>
  <c r="J903" i="5" l="1"/>
  <c r="K902" i="5"/>
  <c r="J904" i="5" l="1"/>
  <c r="K903" i="5"/>
  <c r="K904" i="5" l="1"/>
  <c r="J905" i="5"/>
  <c r="J906" i="5" l="1"/>
  <c r="K905" i="5"/>
  <c r="K906" i="5" l="1"/>
  <c r="J907" i="5"/>
  <c r="J908" i="5" l="1"/>
  <c r="K907" i="5"/>
  <c r="J909" i="5" l="1"/>
  <c r="K908" i="5"/>
  <c r="J910" i="5" l="1"/>
  <c r="K909" i="5"/>
  <c r="J911" i="5" l="1"/>
  <c r="K910" i="5"/>
  <c r="J912" i="5" l="1"/>
  <c r="K911" i="5"/>
  <c r="J913" i="5" l="1"/>
  <c r="K912" i="5"/>
  <c r="J914" i="5" l="1"/>
  <c r="K913" i="5"/>
  <c r="J915" i="5" l="1"/>
  <c r="K914" i="5"/>
  <c r="K915" i="5" l="1"/>
  <c r="J916" i="5"/>
  <c r="J917" i="5" l="1"/>
  <c r="K916" i="5"/>
  <c r="J918" i="5" l="1"/>
  <c r="K917" i="5"/>
  <c r="J919" i="5" l="1"/>
  <c r="K918" i="5"/>
  <c r="J920" i="5" l="1"/>
  <c r="K919" i="5"/>
  <c r="J921" i="5" l="1"/>
  <c r="K920" i="5"/>
  <c r="J922" i="5" l="1"/>
  <c r="K921" i="5"/>
  <c r="J923" i="5" l="1"/>
  <c r="K922" i="5"/>
  <c r="J924" i="5" l="1"/>
  <c r="K923" i="5"/>
  <c r="J925" i="5" l="1"/>
  <c r="K924" i="5"/>
  <c r="J926" i="5" l="1"/>
  <c r="K925" i="5"/>
  <c r="J927" i="5" l="1"/>
  <c r="K926" i="5"/>
  <c r="K927" i="5" l="1"/>
  <c r="J928" i="5"/>
  <c r="J929" i="5" l="1"/>
  <c r="K928" i="5"/>
  <c r="J930" i="5" l="1"/>
  <c r="K929" i="5"/>
  <c r="J931" i="5" l="1"/>
  <c r="K930" i="5"/>
  <c r="J932" i="5" l="1"/>
  <c r="K931" i="5"/>
  <c r="J933" i="5" l="1"/>
  <c r="K932" i="5"/>
  <c r="J934" i="5" l="1"/>
  <c r="K933" i="5"/>
  <c r="J935" i="5" l="1"/>
  <c r="K934" i="5"/>
  <c r="J936" i="5" l="1"/>
  <c r="K935" i="5"/>
  <c r="J937" i="5" l="1"/>
  <c r="K936" i="5"/>
  <c r="J938" i="5" l="1"/>
  <c r="K937" i="5"/>
  <c r="J939" i="5" l="1"/>
  <c r="K938" i="5"/>
  <c r="J940" i="5" l="1"/>
  <c r="K939" i="5"/>
  <c r="J941" i="5" l="1"/>
  <c r="K940" i="5"/>
  <c r="J942" i="5" l="1"/>
  <c r="K941" i="5"/>
  <c r="J943" i="5" l="1"/>
  <c r="K942" i="5"/>
  <c r="J944" i="5" l="1"/>
  <c r="K943" i="5"/>
  <c r="J945" i="5" l="1"/>
  <c r="K944" i="5"/>
  <c r="J946" i="5" l="1"/>
  <c r="K945" i="5"/>
  <c r="J947" i="5" l="1"/>
  <c r="K946" i="5"/>
  <c r="K947" i="5" l="1"/>
  <c r="J948" i="5"/>
  <c r="K948" i="5" l="1"/>
  <c r="J949" i="5"/>
  <c r="J950" i="5" l="1"/>
  <c r="K949" i="5"/>
  <c r="J951" i="5" l="1"/>
  <c r="K950" i="5"/>
  <c r="J952" i="5" l="1"/>
  <c r="K951" i="5"/>
  <c r="J953" i="5" l="1"/>
  <c r="K952" i="5"/>
  <c r="J954" i="5" l="1"/>
  <c r="K953" i="5"/>
  <c r="J955" i="5" l="1"/>
  <c r="K954" i="5"/>
  <c r="J956" i="5" l="1"/>
  <c r="K955" i="5"/>
  <c r="J957" i="5" l="1"/>
  <c r="K956" i="5"/>
  <c r="J958" i="5" l="1"/>
  <c r="K957" i="5"/>
  <c r="J959" i="5" l="1"/>
  <c r="K958" i="5"/>
  <c r="K959" i="5" l="1"/>
  <c r="J960" i="5"/>
  <c r="J961" i="5" l="1"/>
  <c r="K960" i="5"/>
  <c r="J962" i="5" l="1"/>
  <c r="K961" i="5"/>
  <c r="J963" i="5" l="1"/>
  <c r="K962" i="5"/>
  <c r="J964" i="5" l="1"/>
  <c r="K963" i="5"/>
  <c r="J965" i="5" l="1"/>
  <c r="K964" i="5"/>
  <c r="J966" i="5" l="1"/>
  <c r="K965" i="5"/>
  <c r="J967" i="5" l="1"/>
  <c r="K966" i="5"/>
  <c r="J968" i="5" l="1"/>
  <c r="K967" i="5"/>
  <c r="K968" i="5" l="1"/>
  <c r="J969" i="5"/>
  <c r="J970" i="5" l="1"/>
  <c r="K969" i="5"/>
  <c r="J971" i="5" l="1"/>
  <c r="K970" i="5"/>
  <c r="J972" i="5" l="1"/>
  <c r="K971" i="5"/>
  <c r="J973" i="5" l="1"/>
  <c r="K972" i="5"/>
  <c r="J974" i="5" l="1"/>
  <c r="K973" i="5"/>
  <c r="J975" i="5" l="1"/>
  <c r="K974" i="5"/>
  <c r="J976" i="5" l="1"/>
  <c r="K975" i="5"/>
  <c r="K976" i="5" l="1"/>
  <c r="J977" i="5"/>
  <c r="J978" i="5" l="1"/>
  <c r="K977" i="5"/>
  <c r="J979" i="5" l="1"/>
  <c r="K978" i="5"/>
  <c r="K979" i="5" l="1"/>
  <c r="J980" i="5"/>
  <c r="J981" i="5" l="1"/>
  <c r="K980" i="5"/>
  <c r="J982" i="5" l="1"/>
  <c r="K981" i="5"/>
  <c r="J983" i="5" l="1"/>
  <c r="K982" i="5"/>
  <c r="J984" i="5" l="1"/>
  <c r="K983" i="5"/>
  <c r="J985" i="5" l="1"/>
  <c r="K984" i="5"/>
  <c r="J986" i="5" l="1"/>
  <c r="K985" i="5"/>
  <c r="J987" i="5" l="1"/>
  <c r="K986" i="5"/>
  <c r="J988" i="5" l="1"/>
  <c r="K987" i="5"/>
  <c r="J989" i="5" l="1"/>
  <c r="K988" i="5"/>
  <c r="J990" i="5" l="1"/>
  <c r="K989" i="5"/>
  <c r="J991" i="5" l="1"/>
  <c r="K990" i="5"/>
  <c r="K991" i="5" l="1"/>
  <c r="J992" i="5"/>
  <c r="J993" i="5" l="1"/>
  <c r="K992" i="5"/>
  <c r="J994" i="5" l="1"/>
  <c r="K993" i="5"/>
  <c r="J995" i="5" l="1"/>
  <c r="K994" i="5"/>
  <c r="J996" i="5" l="1"/>
  <c r="K995" i="5"/>
  <c r="J997" i="5" l="1"/>
  <c r="K996" i="5"/>
  <c r="J998" i="5" l="1"/>
  <c r="K997" i="5"/>
  <c r="J999" i="5" l="1"/>
  <c r="K998" i="5"/>
  <c r="J1000" i="5" l="1"/>
  <c r="K999" i="5"/>
  <c r="J1001" i="5" l="1"/>
  <c r="K1000" i="5"/>
  <c r="J1002" i="5" l="1"/>
  <c r="K1001" i="5"/>
  <c r="J1003" i="5" l="1"/>
  <c r="K1002" i="5"/>
  <c r="J1004" i="5" l="1"/>
  <c r="K1003" i="5"/>
  <c r="J1005" i="5" l="1"/>
  <c r="K1004" i="5"/>
  <c r="J1006" i="5" l="1"/>
  <c r="K1005" i="5"/>
  <c r="J1007" i="5" l="1"/>
  <c r="K1006" i="5"/>
  <c r="J1008" i="5" l="1"/>
  <c r="K1007" i="5"/>
  <c r="J1009" i="5" l="1"/>
  <c r="K1008" i="5"/>
  <c r="J1010" i="5" l="1"/>
  <c r="K1009" i="5"/>
  <c r="J1011" i="5" l="1"/>
  <c r="K1010" i="5"/>
  <c r="K1011" i="5" l="1"/>
  <c r="J1012" i="5"/>
  <c r="K1012" i="5" l="1"/>
  <c r="J1013" i="5"/>
  <c r="J1014" i="5" l="1"/>
  <c r="K1013" i="5"/>
  <c r="J1015" i="5" l="1"/>
  <c r="K1014" i="5"/>
  <c r="J1016" i="5" l="1"/>
  <c r="K1015" i="5"/>
  <c r="J1017" i="5" l="1"/>
  <c r="K1016" i="5"/>
  <c r="K1017" i="5" l="1"/>
  <c r="J1018" i="5"/>
  <c r="J1019" i="5" l="1"/>
  <c r="K1018" i="5"/>
  <c r="J1020" i="5" l="1"/>
  <c r="K1019" i="5"/>
  <c r="J1021" i="5" l="1"/>
  <c r="K1020" i="5"/>
  <c r="J1022" i="5" l="1"/>
  <c r="K1021" i="5"/>
  <c r="J1023" i="5" l="1"/>
  <c r="K1022" i="5"/>
  <c r="K1023" i="5" l="1"/>
  <c r="J1024" i="5"/>
  <c r="J1025" i="5" l="1"/>
  <c r="K1024" i="5"/>
  <c r="J1026" i="5" l="1"/>
  <c r="K1025" i="5"/>
  <c r="J1027" i="5" l="1"/>
  <c r="K1026" i="5"/>
  <c r="J1028" i="5" l="1"/>
  <c r="K1027" i="5"/>
  <c r="J1029" i="5" l="1"/>
  <c r="K1028" i="5"/>
  <c r="J1030" i="5" l="1"/>
  <c r="K1029" i="5"/>
  <c r="J1031" i="5" l="1"/>
  <c r="K1030" i="5"/>
  <c r="J1032" i="5" l="1"/>
  <c r="K1031" i="5"/>
  <c r="J1033" i="5" l="1"/>
  <c r="K1032" i="5"/>
  <c r="J1034" i="5" l="1"/>
  <c r="K1033" i="5"/>
  <c r="K1034" i="5" l="1"/>
  <c r="J1035" i="5"/>
  <c r="J1036" i="5" l="1"/>
  <c r="K1035" i="5"/>
  <c r="J1037" i="5" l="1"/>
  <c r="K1036" i="5"/>
  <c r="J1038" i="5" l="1"/>
  <c r="K1037" i="5"/>
  <c r="J1039" i="5" l="1"/>
  <c r="K1038" i="5"/>
  <c r="J1040" i="5" l="1"/>
  <c r="K1039" i="5"/>
  <c r="J1041" i="5" l="1"/>
  <c r="K1040" i="5"/>
  <c r="J1042" i="5" l="1"/>
  <c r="K1041" i="5"/>
  <c r="J1043" i="5" l="1"/>
  <c r="K1042" i="5"/>
  <c r="K1043" i="5" l="1"/>
  <c r="J1044" i="5"/>
  <c r="J1045" i="5" l="1"/>
  <c r="K1044" i="5"/>
  <c r="J1046" i="5" l="1"/>
  <c r="K1045" i="5"/>
  <c r="J1047" i="5" l="1"/>
  <c r="K1046" i="5"/>
  <c r="J1048" i="5" l="1"/>
  <c r="K1047" i="5"/>
  <c r="J1049" i="5" l="1"/>
  <c r="K1048" i="5"/>
  <c r="J1050" i="5" l="1"/>
  <c r="K1049" i="5"/>
  <c r="J1051" i="5" l="1"/>
  <c r="K1050" i="5"/>
  <c r="J1052" i="5" l="1"/>
  <c r="K1051" i="5"/>
  <c r="J1053" i="5" l="1"/>
  <c r="K1052" i="5"/>
  <c r="J1054" i="5" l="1"/>
  <c r="K1053" i="5"/>
  <c r="K1054" i="5" l="1"/>
  <c r="J1055" i="5"/>
  <c r="K1055" i="5" l="1"/>
  <c r="J1056" i="5"/>
  <c r="J1057" i="5" l="1"/>
  <c r="K1056" i="5"/>
  <c r="J1058" i="5" l="1"/>
  <c r="K1057" i="5"/>
  <c r="K1058" i="5" l="1"/>
  <c r="J1059" i="5"/>
  <c r="K1059" i="5" l="1"/>
  <c r="J1060" i="5"/>
  <c r="J1061" i="5" l="1"/>
  <c r="K1060" i="5"/>
  <c r="J1062" i="5" l="1"/>
  <c r="K1061" i="5"/>
  <c r="J1063" i="5" l="1"/>
  <c r="K1062" i="5"/>
  <c r="J1064" i="5" l="1"/>
  <c r="K1063" i="5"/>
  <c r="J1065" i="5" l="1"/>
  <c r="K1064" i="5"/>
  <c r="K1065" i="5" l="1"/>
  <c r="J1066" i="5"/>
  <c r="J1067" i="5" l="1"/>
  <c r="K1066" i="5"/>
  <c r="J1068" i="5" l="1"/>
  <c r="K1067" i="5"/>
  <c r="J1069" i="5" l="1"/>
  <c r="K1068" i="5"/>
  <c r="J1070" i="5" l="1"/>
  <c r="K1069" i="5"/>
  <c r="J1071" i="5" l="1"/>
  <c r="K1070" i="5"/>
  <c r="J1072" i="5" l="1"/>
  <c r="K1071" i="5"/>
  <c r="J1073" i="5" l="1"/>
  <c r="K1072" i="5"/>
  <c r="J1074" i="5" l="1"/>
  <c r="K1073" i="5"/>
  <c r="J1075" i="5" l="1"/>
  <c r="K1074" i="5"/>
  <c r="K1075" i="5" l="1"/>
  <c r="J1076" i="5"/>
  <c r="J1077" i="5" l="1"/>
  <c r="K1076" i="5"/>
  <c r="J1078" i="5" l="1"/>
  <c r="K1077" i="5"/>
  <c r="J1079" i="5" l="1"/>
  <c r="K1078" i="5"/>
  <c r="J1080" i="5" l="1"/>
  <c r="K1079" i="5"/>
  <c r="J1081" i="5" l="1"/>
  <c r="K1080" i="5"/>
  <c r="J1082" i="5" l="1"/>
  <c r="K1081" i="5"/>
  <c r="J1083" i="5" l="1"/>
  <c r="K1082" i="5"/>
  <c r="J1084" i="5" l="1"/>
  <c r="K1083" i="5"/>
  <c r="J1085" i="5" l="1"/>
  <c r="K1084" i="5"/>
  <c r="J1086" i="5" l="1"/>
  <c r="K1085" i="5"/>
  <c r="J1087" i="5" l="1"/>
  <c r="K1086" i="5"/>
  <c r="K1087" i="5" l="1"/>
  <c r="J1088" i="5"/>
  <c r="J1089" i="5" l="1"/>
  <c r="K1088" i="5"/>
  <c r="J1090" i="5" l="1"/>
  <c r="K1089" i="5"/>
  <c r="J1091" i="5" l="1"/>
  <c r="K1090" i="5"/>
  <c r="J1092" i="5" l="1"/>
  <c r="K1091" i="5"/>
  <c r="J1093" i="5" l="1"/>
  <c r="K1092" i="5"/>
  <c r="J1094" i="5" l="1"/>
  <c r="K1093" i="5"/>
  <c r="J1095" i="5" l="1"/>
  <c r="K1094" i="5"/>
  <c r="J1096" i="5" l="1"/>
  <c r="K1095" i="5"/>
  <c r="K1096" i="5" l="1"/>
  <c r="J1097" i="5"/>
  <c r="J1098" i="5" l="1"/>
  <c r="K1097" i="5"/>
  <c r="J1099" i="5" l="1"/>
  <c r="K1098" i="5"/>
  <c r="J1100" i="5" l="1"/>
  <c r="K1099" i="5"/>
  <c r="J1101" i="5" l="1"/>
  <c r="K1100" i="5"/>
  <c r="J1102" i="5" l="1"/>
  <c r="K1101" i="5"/>
  <c r="J1103" i="5" l="1"/>
  <c r="K1102" i="5"/>
  <c r="J1104" i="5" l="1"/>
  <c r="K1103" i="5"/>
  <c r="J1105" i="5" l="1"/>
  <c r="K1104" i="5"/>
  <c r="J1106" i="5" l="1"/>
  <c r="K1105" i="5"/>
  <c r="J1107" i="5" l="1"/>
  <c r="K1106" i="5"/>
  <c r="K1107" i="5" l="1"/>
  <c r="J1108" i="5"/>
  <c r="J1109" i="5" l="1"/>
  <c r="K1108" i="5"/>
  <c r="J1110" i="5" l="1"/>
  <c r="K1109" i="5"/>
  <c r="J1111" i="5" l="1"/>
  <c r="K1110" i="5"/>
  <c r="J1112" i="5" l="1"/>
  <c r="K1111" i="5"/>
  <c r="J1113" i="5" l="1"/>
  <c r="K1112" i="5"/>
  <c r="J1114" i="5" l="1"/>
  <c r="K1113" i="5"/>
  <c r="J1115" i="5" l="1"/>
  <c r="K1114" i="5"/>
  <c r="J1116" i="5" l="1"/>
  <c r="K1115" i="5"/>
  <c r="J1117" i="5" l="1"/>
  <c r="K1116" i="5"/>
  <c r="J1118" i="5" l="1"/>
  <c r="K1117" i="5"/>
  <c r="J1119" i="5" l="1"/>
  <c r="K1118" i="5"/>
  <c r="K1119" i="5" l="1"/>
  <c r="J1120" i="5"/>
  <c r="J1121" i="5" l="1"/>
  <c r="K1120" i="5"/>
  <c r="J1122" i="5" l="1"/>
  <c r="K1121" i="5"/>
  <c r="J1123" i="5" l="1"/>
  <c r="K1122" i="5"/>
  <c r="J1124" i="5" l="1"/>
  <c r="K1123" i="5"/>
  <c r="J1125" i="5" l="1"/>
  <c r="K1124" i="5"/>
  <c r="J1126" i="5" l="1"/>
  <c r="K1125" i="5"/>
  <c r="J1127" i="5" l="1"/>
  <c r="K1126" i="5"/>
  <c r="J1128" i="5" l="1"/>
  <c r="K1127" i="5"/>
  <c r="J1129" i="5" l="1"/>
  <c r="K1128" i="5"/>
  <c r="J1130" i="5" l="1"/>
  <c r="K1129" i="5"/>
  <c r="J1131" i="5" l="1"/>
  <c r="K1130" i="5"/>
  <c r="J1132" i="5" l="1"/>
  <c r="K1131" i="5"/>
  <c r="J1133" i="5" l="1"/>
  <c r="K1132" i="5"/>
  <c r="J1134" i="5" l="1"/>
  <c r="K1133" i="5"/>
  <c r="J1135" i="5" l="1"/>
  <c r="K1134" i="5"/>
  <c r="J1136" i="5" l="1"/>
  <c r="K1135" i="5"/>
  <c r="J1137" i="5" l="1"/>
  <c r="K1136" i="5"/>
  <c r="J1138" i="5" l="1"/>
  <c r="K1137" i="5"/>
  <c r="K1138" i="5" l="1"/>
  <c r="J1139" i="5"/>
  <c r="K1139" i="5" l="1"/>
  <c r="J1140" i="5"/>
  <c r="K1140" i="5" l="1"/>
  <c r="J1141" i="5"/>
  <c r="J1142" i="5" l="1"/>
  <c r="K1141" i="5"/>
  <c r="J1143" i="5" l="1"/>
  <c r="K1142" i="5"/>
  <c r="J1144" i="5" l="1"/>
  <c r="K1143" i="5"/>
  <c r="J1145" i="5" l="1"/>
  <c r="K1144" i="5"/>
  <c r="J1146" i="5" l="1"/>
  <c r="K1145" i="5"/>
  <c r="J1147" i="5" l="1"/>
  <c r="K1146" i="5"/>
  <c r="J1148" i="5" l="1"/>
  <c r="K1147" i="5"/>
  <c r="J1149" i="5" l="1"/>
  <c r="K1148" i="5"/>
  <c r="J1150" i="5" l="1"/>
  <c r="K1149" i="5"/>
  <c r="J1151" i="5" l="1"/>
  <c r="K1150" i="5"/>
  <c r="K1151" i="5" l="1"/>
  <c r="J1152" i="5"/>
  <c r="J1153" i="5" l="1"/>
  <c r="K1152" i="5"/>
  <c r="J1154" i="5" l="1"/>
  <c r="K1153" i="5"/>
  <c r="J1155" i="5" l="1"/>
  <c r="K1154" i="5"/>
  <c r="J1156" i="5" l="1"/>
  <c r="K1155" i="5"/>
  <c r="J1157" i="5" l="1"/>
  <c r="K1156" i="5"/>
  <c r="J1158" i="5" l="1"/>
  <c r="K1157" i="5"/>
  <c r="J1159" i="5" l="1"/>
  <c r="K1158" i="5"/>
  <c r="K1159" i="5" l="1"/>
  <c r="J1160" i="5"/>
  <c r="J1161" i="5" l="1"/>
  <c r="K1160" i="5"/>
  <c r="J1162" i="5" l="1"/>
  <c r="K1161" i="5"/>
  <c r="J1163" i="5" l="1"/>
  <c r="K1162" i="5"/>
  <c r="J1164" i="5" l="1"/>
  <c r="K1163" i="5"/>
  <c r="J1165" i="5" l="1"/>
  <c r="K1164" i="5"/>
  <c r="J1166" i="5" l="1"/>
  <c r="K1165" i="5"/>
  <c r="J1167" i="5" l="1"/>
  <c r="K1166" i="5"/>
  <c r="K1167" i="5" l="1"/>
  <c r="J1168" i="5"/>
  <c r="J1169" i="5" l="1"/>
  <c r="K1168" i="5"/>
  <c r="J1170" i="5" l="1"/>
  <c r="K1169" i="5"/>
  <c r="J1171" i="5" l="1"/>
  <c r="K1170" i="5"/>
  <c r="J1172" i="5" l="1"/>
  <c r="K1171" i="5"/>
  <c r="J1173" i="5" l="1"/>
  <c r="K1172" i="5"/>
  <c r="J1174" i="5" l="1"/>
  <c r="K1173" i="5"/>
  <c r="J1175" i="5" l="1"/>
  <c r="K1174" i="5"/>
  <c r="K1175" i="5" l="1"/>
  <c r="J1176" i="5"/>
  <c r="J1177" i="5" l="1"/>
  <c r="K1176" i="5"/>
  <c r="J1178" i="5" l="1"/>
  <c r="K1177" i="5"/>
  <c r="J1179" i="5" l="1"/>
  <c r="K1178" i="5"/>
  <c r="J1180" i="5" l="1"/>
  <c r="K1179" i="5"/>
  <c r="J1181" i="5" l="1"/>
  <c r="K1180" i="5"/>
  <c r="J1182" i="5" l="1"/>
  <c r="K1181" i="5"/>
  <c r="J1183" i="5" l="1"/>
  <c r="K1182" i="5"/>
  <c r="K1183" i="5" l="1"/>
  <c r="J1184" i="5"/>
  <c r="J1185" i="5" l="1"/>
  <c r="K1184" i="5"/>
  <c r="J1186" i="5" l="1"/>
  <c r="K1185" i="5"/>
  <c r="J1187" i="5" l="1"/>
  <c r="K1186" i="5"/>
  <c r="J1188" i="5" l="1"/>
  <c r="K1187" i="5"/>
  <c r="J1189" i="5" l="1"/>
  <c r="K1188" i="5"/>
  <c r="J1190" i="5" l="1"/>
  <c r="K1189" i="5"/>
  <c r="J1191" i="5" l="1"/>
  <c r="K1190" i="5"/>
  <c r="K1191" i="5" l="1"/>
  <c r="J1192" i="5"/>
  <c r="J1193" i="5" l="1"/>
  <c r="K1192" i="5"/>
  <c r="J1194" i="5" l="1"/>
  <c r="K1193" i="5"/>
  <c r="J1195" i="5" l="1"/>
  <c r="K1194" i="5"/>
  <c r="J1196" i="5" l="1"/>
  <c r="K1195" i="5"/>
  <c r="J1197" i="5" l="1"/>
  <c r="K1196" i="5"/>
  <c r="J1198" i="5" l="1"/>
  <c r="K1197" i="5"/>
  <c r="J1199" i="5" l="1"/>
  <c r="K1198" i="5"/>
  <c r="K1199" i="5" l="1"/>
  <c r="J1200" i="5"/>
  <c r="J1201" i="5" l="1"/>
  <c r="K1200" i="5"/>
  <c r="J1202" i="5" l="1"/>
  <c r="K1201" i="5"/>
  <c r="J1203" i="5" l="1"/>
  <c r="K1202" i="5"/>
  <c r="J1204" i="5" l="1"/>
  <c r="K1203" i="5"/>
  <c r="J1205" i="5" l="1"/>
  <c r="K1204" i="5"/>
  <c r="J1206" i="5" l="1"/>
  <c r="K1205" i="5"/>
  <c r="J1207" i="5" l="1"/>
  <c r="K1206" i="5"/>
  <c r="K1207" i="5" l="1"/>
  <c r="J1208" i="5"/>
  <c r="J1209" i="5" l="1"/>
  <c r="K1208" i="5"/>
  <c r="J1210" i="5" l="1"/>
  <c r="K1209" i="5"/>
  <c r="J1211" i="5" l="1"/>
  <c r="K1210" i="5"/>
  <c r="J1212" i="5" l="1"/>
  <c r="K1211" i="5"/>
  <c r="J1213" i="5" l="1"/>
  <c r="K1212" i="5"/>
  <c r="J1214" i="5" l="1"/>
  <c r="K1213" i="5"/>
  <c r="J1215" i="5" l="1"/>
  <c r="K1214" i="5"/>
  <c r="K1215" i="5" l="1"/>
  <c r="J1216" i="5"/>
  <c r="J1217" i="5" l="1"/>
  <c r="K1216" i="5"/>
  <c r="J1218" i="5" l="1"/>
  <c r="K1217" i="5"/>
  <c r="J1219" i="5" l="1"/>
  <c r="K1218" i="5"/>
  <c r="J1220" i="5" l="1"/>
  <c r="K1219" i="5"/>
  <c r="J1221" i="5" l="1"/>
  <c r="K1220" i="5"/>
  <c r="J1222" i="5" l="1"/>
  <c r="K1221" i="5"/>
  <c r="J1223" i="5" l="1"/>
  <c r="K1222" i="5"/>
  <c r="K1223" i="5" l="1"/>
  <c r="J1224" i="5"/>
  <c r="J1225" i="5" l="1"/>
  <c r="K1224" i="5"/>
  <c r="J1226" i="5" l="1"/>
  <c r="K1225" i="5"/>
  <c r="J1227" i="5" l="1"/>
  <c r="K1226" i="5"/>
  <c r="J1228" i="5" l="1"/>
  <c r="K1227" i="5"/>
  <c r="J1229" i="5" l="1"/>
  <c r="K1228" i="5"/>
  <c r="J1230" i="5" l="1"/>
  <c r="K1229" i="5"/>
  <c r="J1231" i="5" l="1"/>
  <c r="K1230" i="5"/>
  <c r="K1231" i="5" l="1"/>
  <c r="J1232" i="5"/>
  <c r="J1233" i="5" l="1"/>
  <c r="K1232" i="5"/>
  <c r="J1234" i="5" l="1"/>
  <c r="K1233" i="5"/>
  <c r="J1235" i="5" l="1"/>
  <c r="K1234" i="5"/>
  <c r="J1236" i="5" l="1"/>
  <c r="K1235" i="5"/>
  <c r="J1237" i="5" l="1"/>
  <c r="K1236" i="5"/>
  <c r="J1238" i="5" l="1"/>
  <c r="K1237" i="5"/>
  <c r="J1239" i="5" l="1"/>
  <c r="K1238" i="5"/>
  <c r="K1239" i="5" l="1"/>
  <c r="J1240" i="5"/>
  <c r="J1241" i="5" l="1"/>
  <c r="K1240" i="5"/>
  <c r="J1242" i="5" l="1"/>
  <c r="K1241" i="5"/>
  <c r="J1243" i="5" l="1"/>
  <c r="K1242" i="5"/>
  <c r="J1244" i="5" l="1"/>
  <c r="K1243" i="5"/>
  <c r="J1245" i="5" l="1"/>
  <c r="K1244" i="5"/>
  <c r="J1246" i="5" l="1"/>
  <c r="K1245" i="5"/>
  <c r="J1247" i="5" l="1"/>
  <c r="K1246" i="5"/>
  <c r="K1247" i="5" l="1"/>
  <c r="J1248" i="5"/>
  <c r="J1249" i="5" l="1"/>
  <c r="K1248" i="5"/>
  <c r="J1250" i="5" l="1"/>
  <c r="K1249" i="5"/>
  <c r="J1251" i="5" l="1"/>
  <c r="K1250" i="5"/>
  <c r="J1252" i="5" l="1"/>
  <c r="K1251" i="5"/>
  <c r="J1253" i="5" l="1"/>
  <c r="K1252" i="5"/>
  <c r="J1254" i="5" l="1"/>
  <c r="K1253" i="5"/>
  <c r="J1255" i="5" l="1"/>
  <c r="K1254" i="5"/>
  <c r="K1255" i="5" l="1"/>
  <c r="J1256" i="5"/>
  <c r="J1257" i="5" l="1"/>
  <c r="K1256" i="5"/>
  <c r="J1258" i="5" l="1"/>
  <c r="K1257" i="5"/>
  <c r="J1259" i="5" l="1"/>
  <c r="K1258" i="5"/>
  <c r="J1260" i="5" l="1"/>
  <c r="K1259" i="5"/>
  <c r="J1261" i="5" l="1"/>
  <c r="K1260" i="5"/>
  <c r="J1262" i="5" l="1"/>
  <c r="K1261" i="5"/>
  <c r="J1263" i="5" l="1"/>
  <c r="K1262" i="5"/>
  <c r="K1263" i="5" l="1"/>
  <c r="J1264" i="5"/>
  <c r="J1265" i="5" l="1"/>
  <c r="K1264" i="5"/>
  <c r="J1266" i="5" l="1"/>
  <c r="K1265" i="5"/>
  <c r="J1267" i="5" l="1"/>
  <c r="K1266" i="5"/>
  <c r="J1268" i="5" l="1"/>
  <c r="K1267" i="5"/>
  <c r="J1269" i="5" l="1"/>
  <c r="K1268" i="5"/>
  <c r="J1270" i="5" l="1"/>
  <c r="K1269" i="5"/>
  <c r="J1271" i="5" l="1"/>
  <c r="K1270" i="5"/>
  <c r="K1271" i="5" l="1"/>
  <c r="J1272" i="5"/>
  <c r="J1273" i="5" l="1"/>
  <c r="K1272" i="5"/>
  <c r="J1274" i="5" l="1"/>
  <c r="K1273" i="5"/>
  <c r="J1275" i="5" l="1"/>
  <c r="K1274" i="5"/>
  <c r="J1276" i="5" l="1"/>
  <c r="K1275" i="5"/>
  <c r="J1277" i="5" l="1"/>
  <c r="K1276" i="5"/>
  <c r="J1278" i="5" l="1"/>
  <c r="K1277" i="5"/>
  <c r="J1279" i="5" l="1"/>
  <c r="K1278" i="5"/>
  <c r="K1279" i="5" l="1"/>
  <c r="J1280" i="5"/>
  <c r="J1281" i="5" l="1"/>
  <c r="K1280" i="5"/>
  <c r="J1282" i="5" l="1"/>
  <c r="K1281" i="5"/>
  <c r="J1283" i="5" l="1"/>
  <c r="K1282" i="5"/>
  <c r="J1284" i="5" l="1"/>
  <c r="K1283" i="5"/>
  <c r="J1285" i="5" l="1"/>
  <c r="K1284" i="5"/>
  <c r="J1286" i="5" l="1"/>
  <c r="K1285" i="5"/>
  <c r="J1287" i="5" l="1"/>
  <c r="K1286" i="5"/>
  <c r="K1287" i="5" l="1"/>
  <c r="J1288" i="5"/>
  <c r="J1289" i="5" l="1"/>
  <c r="K1288" i="5"/>
  <c r="J1290" i="5" l="1"/>
  <c r="K1289" i="5"/>
  <c r="J1291" i="5" l="1"/>
  <c r="K1290" i="5"/>
  <c r="J1292" i="5" l="1"/>
  <c r="K1291" i="5"/>
  <c r="J1293" i="5" l="1"/>
  <c r="K1292" i="5"/>
  <c r="J1294" i="5" l="1"/>
  <c r="K1293" i="5"/>
  <c r="J1295" i="5" l="1"/>
  <c r="K1294" i="5"/>
  <c r="K1295" i="5" l="1"/>
  <c r="J1296" i="5"/>
  <c r="J1297" i="5" l="1"/>
  <c r="K1296" i="5"/>
  <c r="J1298" i="5" l="1"/>
  <c r="K1297" i="5"/>
  <c r="J1299" i="5" l="1"/>
  <c r="K1298" i="5"/>
  <c r="J1300" i="5" l="1"/>
  <c r="K1299" i="5"/>
  <c r="J1301" i="5" l="1"/>
  <c r="K1300" i="5"/>
  <c r="J1302" i="5" l="1"/>
  <c r="K1301" i="5"/>
  <c r="J1303" i="5" l="1"/>
  <c r="K1302" i="5"/>
  <c r="K1303" i="5" l="1"/>
  <c r="J1304" i="5"/>
  <c r="J1305" i="5" l="1"/>
  <c r="K1304" i="5"/>
  <c r="J1306" i="5" l="1"/>
  <c r="K1305" i="5"/>
  <c r="J1307" i="5" l="1"/>
  <c r="K1306" i="5"/>
  <c r="J1308" i="5" l="1"/>
  <c r="K1307" i="5"/>
  <c r="J1309" i="5" l="1"/>
  <c r="K1308" i="5"/>
  <c r="J1310" i="5" l="1"/>
  <c r="K1309" i="5"/>
  <c r="J1311" i="5" l="1"/>
  <c r="K1310" i="5"/>
  <c r="K1311" i="5" l="1"/>
  <c r="J1312" i="5"/>
  <c r="K1312" i="5" l="1"/>
  <c r="J1313" i="5"/>
  <c r="J1314" i="5" l="1"/>
  <c r="K1313" i="5"/>
  <c r="J1315" i="5" l="1"/>
  <c r="K1314" i="5"/>
  <c r="K1315" i="5" l="1"/>
  <c r="J1316" i="5"/>
  <c r="J1317" i="5" l="1"/>
  <c r="K1316" i="5"/>
  <c r="J1318" i="5" l="1"/>
  <c r="K1317" i="5"/>
  <c r="J1319" i="5" l="1"/>
  <c r="K1318" i="5"/>
  <c r="J1320" i="5" l="1"/>
  <c r="K1319" i="5"/>
  <c r="J1321" i="5" l="1"/>
  <c r="K1320" i="5"/>
  <c r="J1322" i="5" l="1"/>
  <c r="K1321" i="5"/>
  <c r="J1323" i="5" l="1"/>
  <c r="K1322" i="5"/>
  <c r="J1324" i="5" l="1"/>
  <c r="K1323" i="5"/>
  <c r="J1325" i="5" l="1"/>
  <c r="K1324" i="5"/>
  <c r="J1326" i="5" l="1"/>
  <c r="K1325" i="5"/>
  <c r="J1327" i="5" l="1"/>
  <c r="K1326" i="5"/>
  <c r="J1328" i="5" l="1"/>
  <c r="K1327" i="5"/>
  <c r="J1329" i="5" l="1"/>
  <c r="K1328" i="5"/>
  <c r="J1330" i="5" l="1"/>
  <c r="K1329" i="5"/>
  <c r="J1331" i="5" l="1"/>
  <c r="K1330" i="5"/>
  <c r="J1332" i="5" l="1"/>
  <c r="K1331" i="5"/>
  <c r="J1333" i="5" l="1"/>
  <c r="K1332" i="5"/>
  <c r="J1334" i="5" l="1"/>
  <c r="K1333" i="5"/>
  <c r="J1335" i="5" l="1"/>
  <c r="K1334" i="5"/>
  <c r="J1336" i="5" l="1"/>
  <c r="K1335" i="5"/>
  <c r="J1337" i="5" l="1"/>
  <c r="K1336" i="5"/>
  <c r="J1338" i="5" l="1"/>
  <c r="K1337" i="5"/>
  <c r="K1338" i="5" l="1"/>
  <c r="J1339" i="5"/>
  <c r="J1340" i="5" l="1"/>
  <c r="K1339" i="5"/>
  <c r="J1341" i="5" l="1"/>
  <c r="K1340" i="5"/>
  <c r="J1342" i="5" l="1"/>
  <c r="K1341" i="5"/>
  <c r="J1343" i="5" l="1"/>
  <c r="K1342" i="5"/>
  <c r="J1344" i="5" l="1"/>
  <c r="K1343" i="5"/>
  <c r="J1345" i="5" l="1"/>
  <c r="K1344" i="5"/>
  <c r="J1346" i="5" l="1"/>
  <c r="K1345" i="5"/>
  <c r="J1347" i="5" l="1"/>
  <c r="K1346" i="5"/>
  <c r="J1348" i="5" l="1"/>
  <c r="K1347" i="5"/>
  <c r="J1349" i="5" l="1"/>
  <c r="K1348" i="5"/>
  <c r="K1349" i="5" l="1"/>
  <c r="J1350" i="5"/>
  <c r="J1351" i="5" l="1"/>
  <c r="K1350" i="5"/>
  <c r="J1352" i="5" l="1"/>
  <c r="K1351" i="5"/>
  <c r="J1353" i="5" l="1"/>
  <c r="K1352" i="5"/>
  <c r="J1354" i="5" l="1"/>
  <c r="K1353" i="5"/>
  <c r="J1355" i="5" l="1"/>
  <c r="K1354" i="5"/>
  <c r="J1356" i="5" l="1"/>
  <c r="K1355" i="5"/>
  <c r="J1357" i="5" l="1"/>
  <c r="K1356" i="5"/>
  <c r="J1358" i="5" l="1"/>
  <c r="K1357" i="5"/>
  <c r="J1359" i="5" l="1"/>
  <c r="K1358" i="5"/>
  <c r="J1360" i="5" l="1"/>
  <c r="K1359" i="5"/>
  <c r="J1361" i="5" l="1"/>
  <c r="K1360" i="5"/>
  <c r="J1362" i="5" l="1"/>
  <c r="K1361" i="5"/>
  <c r="J1363" i="5" l="1"/>
  <c r="K1362" i="5"/>
  <c r="J1364" i="5" l="1"/>
  <c r="K1363" i="5"/>
  <c r="J1365" i="5" l="1"/>
  <c r="K1364" i="5"/>
  <c r="J1366" i="5" l="1"/>
  <c r="K1365" i="5"/>
  <c r="J1367" i="5" l="1"/>
  <c r="K1366" i="5"/>
  <c r="J1368" i="5" l="1"/>
  <c r="K1367" i="5"/>
  <c r="J1369" i="5" l="1"/>
  <c r="K1368" i="5"/>
  <c r="K1369" i="5" l="1"/>
  <c r="J1370" i="5"/>
  <c r="K1370" i="5" l="1"/>
  <c r="J1371" i="5"/>
  <c r="J1372" i="5" l="1"/>
  <c r="K1371" i="5"/>
  <c r="J1373" i="5" l="1"/>
  <c r="K1372" i="5"/>
  <c r="J1374" i="5" l="1"/>
  <c r="K1373" i="5"/>
  <c r="J1375" i="5" l="1"/>
  <c r="K1374" i="5"/>
  <c r="J1376" i="5" l="1"/>
  <c r="K1375" i="5"/>
  <c r="J1377" i="5" l="1"/>
  <c r="K1376" i="5"/>
  <c r="J1378" i="5" l="1"/>
  <c r="K1377" i="5"/>
  <c r="J1379" i="5" l="1"/>
  <c r="K1378" i="5"/>
  <c r="J1380" i="5" l="1"/>
  <c r="K1379" i="5"/>
  <c r="J1381" i="5" l="1"/>
  <c r="K1380" i="5"/>
  <c r="K1381" i="5" l="1"/>
  <c r="J1382" i="5"/>
  <c r="J1383" i="5" l="1"/>
  <c r="K1382" i="5"/>
  <c r="J1384" i="5" l="1"/>
  <c r="K1383" i="5"/>
  <c r="J1385" i="5" l="1"/>
  <c r="K1384" i="5"/>
  <c r="J1386" i="5" l="1"/>
  <c r="K1385" i="5"/>
  <c r="J1387" i="5" l="1"/>
  <c r="K1386" i="5"/>
  <c r="J1388" i="5" l="1"/>
  <c r="K1387" i="5"/>
  <c r="J1389" i="5" l="1"/>
  <c r="K1388" i="5"/>
  <c r="J1390" i="5" l="1"/>
  <c r="K1389" i="5"/>
  <c r="J1391" i="5" l="1"/>
  <c r="K1390" i="5"/>
  <c r="J1392" i="5" l="1"/>
  <c r="K1392" i="5" s="1"/>
  <c r="K1391" i="5"/>
  <c r="B41" i="5" l="1"/>
  <c r="R156" i="5" s="1"/>
  <c r="R161" i="5" l="1"/>
  <c r="N161" i="5" s="1"/>
  <c r="R57" i="5"/>
  <c r="N57" i="5" s="1"/>
  <c r="R16" i="5"/>
  <c r="M16" i="5" s="1"/>
  <c r="R4" i="5"/>
  <c r="N4" i="5" s="1"/>
  <c r="R133" i="5"/>
  <c r="N133" i="5" s="1"/>
  <c r="R155" i="5"/>
  <c r="M155" i="5" s="1"/>
  <c r="R101" i="5"/>
  <c r="M101" i="5" s="1"/>
  <c r="R128" i="5"/>
  <c r="N128" i="5" s="1"/>
  <c r="R69" i="5"/>
  <c r="M69" i="5" s="1"/>
  <c r="R80" i="5"/>
  <c r="N80" i="5" s="1"/>
  <c r="R198" i="5"/>
  <c r="M198" i="5" s="1"/>
  <c r="R147" i="5"/>
  <c r="M147" i="5" s="1"/>
  <c r="R115" i="5"/>
  <c r="M115" i="5" s="1"/>
  <c r="R153" i="5"/>
  <c r="N153" i="5" s="1"/>
  <c r="R134" i="5"/>
  <c r="N134" i="5" s="1"/>
  <c r="R157" i="5"/>
  <c r="N157" i="5" s="1"/>
  <c r="R46" i="5"/>
  <c r="N46" i="5" s="1"/>
  <c r="R154" i="5"/>
  <c r="N154" i="5" s="1"/>
  <c r="R122" i="5"/>
  <c r="N122" i="5" s="1"/>
  <c r="R215" i="5"/>
  <c r="N215" i="5" s="1"/>
  <c r="R150" i="5"/>
  <c r="N150" i="5" s="1"/>
  <c r="R86" i="5"/>
  <c r="M86" i="5" s="1"/>
  <c r="R194" i="5"/>
  <c r="N194" i="5" s="1"/>
  <c r="R160" i="5"/>
  <c r="N160" i="5" s="1"/>
  <c r="R136" i="5"/>
  <c r="N136" i="5" s="1"/>
  <c r="R84" i="5"/>
  <c r="N84" i="5" s="1"/>
  <c r="R138" i="5"/>
  <c r="N138" i="5" s="1"/>
  <c r="R30" i="5"/>
  <c r="N30" i="5" s="1"/>
  <c r="R199" i="5"/>
  <c r="N199" i="5" s="1"/>
  <c r="R89" i="5"/>
  <c r="M89" i="5" s="1"/>
  <c r="R172" i="5"/>
  <c r="M172" i="5" s="1"/>
  <c r="R126" i="5"/>
  <c r="M126" i="5" s="1"/>
  <c r="R205" i="5"/>
  <c r="N205" i="5" s="1"/>
  <c r="R91" i="5"/>
  <c r="N91" i="5" s="1"/>
  <c r="R103" i="5"/>
  <c r="N103" i="5" s="1"/>
  <c r="R70" i="5"/>
  <c r="N70" i="5" s="1"/>
  <c r="R64" i="5"/>
  <c r="N64" i="5" s="1"/>
  <c r="R216" i="5"/>
  <c r="M216" i="5" s="1"/>
  <c r="R3" i="5"/>
  <c r="M3" i="5" s="1"/>
  <c r="R5" i="5"/>
  <c r="M5" i="5" s="1"/>
  <c r="R207" i="5"/>
  <c r="N207" i="5" s="1"/>
  <c r="R100" i="5"/>
  <c r="M100" i="5" s="1"/>
  <c r="R58" i="5"/>
  <c r="M58" i="5" s="1"/>
  <c r="R82" i="5"/>
  <c r="M82" i="5" s="1"/>
  <c r="R210" i="5"/>
  <c r="N210" i="5" s="1"/>
  <c r="R164" i="5"/>
  <c r="N164" i="5" s="1"/>
  <c r="R120" i="5"/>
  <c r="N120" i="5" s="1"/>
  <c r="R180" i="5"/>
  <c r="N180" i="5" s="1"/>
  <c r="R33" i="5"/>
  <c r="N33" i="5" s="1"/>
  <c r="R77" i="5"/>
  <c r="M77" i="5" s="1"/>
  <c r="R51" i="5"/>
  <c r="N51" i="5" s="1"/>
  <c r="R181" i="5"/>
  <c r="N181" i="5" s="1"/>
  <c r="R217" i="5"/>
  <c r="M217" i="5" s="1"/>
  <c r="R143" i="5"/>
  <c r="M143" i="5" s="1"/>
  <c r="R7" i="5"/>
  <c r="M7" i="5" s="1"/>
  <c r="R96" i="5"/>
  <c r="M96" i="5" s="1"/>
  <c r="R26" i="5"/>
  <c r="N26" i="5" s="1"/>
  <c r="R47" i="5"/>
  <c r="M47" i="5" s="1"/>
  <c r="R117" i="5"/>
  <c r="N117" i="5" s="1"/>
  <c r="R44" i="5"/>
  <c r="M44" i="5" s="1"/>
  <c r="R81" i="5"/>
  <c r="N81" i="5" s="1"/>
  <c r="R196" i="5"/>
  <c r="N196" i="5" s="1"/>
  <c r="R14" i="5"/>
  <c r="N14" i="5" s="1"/>
  <c r="R95" i="5"/>
  <c r="M95" i="5" s="1"/>
  <c r="R71" i="5"/>
  <c r="M71" i="5" s="1"/>
  <c r="R36" i="5"/>
  <c r="M36" i="5" s="1"/>
  <c r="R56" i="5"/>
  <c r="N56" i="5" s="1"/>
  <c r="R15" i="5"/>
  <c r="M15" i="5" s="1"/>
  <c r="R90" i="5"/>
  <c r="M90" i="5" s="1"/>
  <c r="R31" i="5"/>
  <c r="M31" i="5" s="1"/>
  <c r="R17" i="5"/>
  <c r="N17" i="5" s="1"/>
  <c r="R200" i="5"/>
  <c r="M200" i="5" s="1"/>
  <c r="R170" i="5"/>
  <c r="N170" i="5" s="1"/>
  <c r="R214" i="5"/>
  <c r="N214" i="5" s="1"/>
  <c r="R110" i="5"/>
  <c r="N110" i="5" s="1"/>
  <c r="R10" i="5"/>
  <c r="N10" i="5" s="1"/>
  <c r="R74" i="5"/>
  <c r="M74" i="5" s="1"/>
  <c r="R152" i="5"/>
  <c r="N152" i="5" s="1"/>
  <c r="R202" i="5"/>
  <c r="N202" i="5" s="1"/>
  <c r="R97" i="5"/>
  <c r="N97" i="5" s="1"/>
  <c r="R124" i="5"/>
  <c r="N124" i="5" s="1"/>
  <c r="R45" i="5"/>
  <c r="N45" i="5" s="1"/>
  <c r="R130" i="5"/>
  <c r="N130" i="5" s="1"/>
  <c r="R109" i="5"/>
  <c r="M109" i="5" s="1"/>
  <c r="R195" i="5"/>
  <c r="M195" i="5" s="1"/>
  <c r="R171" i="5"/>
  <c r="N171" i="5" s="1"/>
  <c r="R22" i="5"/>
  <c r="N22" i="5" s="1"/>
  <c r="R67" i="5"/>
  <c r="N67" i="5" s="1"/>
  <c r="R72" i="5"/>
  <c r="M72" i="5" s="1"/>
  <c r="R125" i="5"/>
  <c r="N125" i="5" s="1"/>
  <c r="R129" i="5"/>
  <c r="N129" i="5" s="1"/>
  <c r="R184" i="5"/>
  <c r="M184" i="5" s="1"/>
  <c r="R83" i="5"/>
  <c r="M83" i="5" s="1"/>
  <c r="R141" i="5"/>
  <c r="M141" i="5" s="1"/>
  <c r="R59" i="5"/>
  <c r="M59" i="5" s="1"/>
  <c r="R204" i="5"/>
  <c r="M204" i="5" s="1"/>
  <c r="R76" i="5"/>
  <c r="M76" i="5" s="1"/>
  <c r="R131" i="5"/>
  <c r="N131" i="5" s="1"/>
  <c r="R99" i="5"/>
  <c r="M99" i="5" s="1"/>
  <c r="R127" i="5"/>
  <c r="N127" i="5" s="1"/>
  <c r="R9" i="5"/>
  <c r="N9" i="5" s="1"/>
  <c r="R176" i="5"/>
  <c r="N176" i="5" s="1"/>
  <c r="R165" i="5"/>
  <c r="M165" i="5" s="1"/>
  <c r="R178" i="5"/>
  <c r="N178" i="5" s="1"/>
  <c r="R39" i="5"/>
  <c r="M39" i="5" s="1"/>
  <c r="R62" i="5"/>
  <c r="M62" i="5" s="1"/>
  <c r="R53" i="5"/>
  <c r="N53" i="5" s="1"/>
  <c r="R116" i="5"/>
  <c r="M116" i="5" s="1"/>
  <c r="R148" i="5"/>
  <c r="M148" i="5" s="1"/>
  <c r="R203" i="5"/>
  <c r="M203" i="5" s="1"/>
  <c r="R104" i="5"/>
  <c r="N104" i="5" s="1"/>
  <c r="R94" i="5"/>
  <c r="M94" i="5" s="1"/>
  <c r="R168" i="5"/>
  <c r="N168" i="5" s="1"/>
  <c r="R112" i="5"/>
  <c r="M112" i="5" s="1"/>
  <c r="R105" i="5"/>
  <c r="M105" i="5" s="1"/>
  <c r="R162" i="5"/>
  <c r="N162" i="5" s="1"/>
  <c r="R61" i="5"/>
  <c r="N61" i="5" s="1"/>
  <c r="R29" i="5"/>
  <c r="M29" i="5" s="1"/>
  <c r="R192" i="5"/>
  <c r="M192" i="5" s="1"/>
  <c r="R35" i="5"/>
  <c r="M35" i="5" s="1"/>
  <c r="R140" i="5"/>
  <c r="M140" i="5" s="1"/>
  <c r="R92" i="5"/>
  <c r="N92" i="5" s="1"/>
  <c r="R49" i="5"/>
  <c r="N49" i="5" s="1"/>
  <c r="R21" i="5"/>
  <c r="N21" i="5" s="1"/>
  <c r="R187" i="5"/>
  <c r="N187" i="5" s="1"/>
  <c r="R38" i="5"/>
  <c r="M38" i="5" s="1"/>
  <c r="R121" i="5"/>
  <c r="M121" i="5" s="1"/>
  <c r="R108" i="5"/>
  <c r="N108" i="5" s="1"/>
  <c r="R137" i="5"/>
  <c r="N137" i="5" s="1"/>
  <c r="R28" i="5"/>
  <c r="M28" i="5" s="1"/>
  <c r="R50" i="5"/>
  <c r="M50" i="5" s="1"/>
  <c r="R93" i="5"/>
  <c r="N93" i="5" s="1"/>
  <c r="R54" i="5"/>
  <c r="M54" i="5" s="1"/>
  <c r="R37" i="5"/>
  <c r="N37" i="5" s="1"/>
  <c r="R75" i="5"/>
  <c r="M75" i="5" s="1"/>
  <c r="R174" i="5"/>
  <c r="M174" i="5" s="1"/>
  <c r="R55" i="5"/>
  <c r="M55" i="5" s="1"/>
  <c r="R186" i="5"/>
  <c r="M186" i="5" s="1"/>
  <c r="R25" i="5"/>
  <c r="M25" i="5" s="1"/>
  <c r="R48" i="5"/>
  <c r="M48" i="5" s="1"/>
  <c r="R151" i="5"/>
  <c r="M151" i="5" s="1"/>
  <c r="R146" i="5"/>
  <c r="M146" i="5" s="1"/>
  <c r="R73" i="5"/>
  <c r="M73" i="5" s="1"/>
  <c r="R185" i="5"/>
  <c r="M185" i="5" s="1"/>
  <c r="R24" i="5"/>
  <c r="M24" i="5" s="1"/>
  <c r="R212" i="5"/>
  <c r="N212" i="5" s="1"/>
  <c r="R8" i="5"/>
  <c r="M8" i="5" s="1"/>
  <c r="R179" i="5"/>
  <c r="N179" i="5" s="1"/>
  <c r="R106" i="5"/>
  <c r="M106" i="5" s="1"/>
  <c r="R42" i="5"/>
  <c r="N42" i="5" s="1"/>
  <c r="R113" i="5"/>
  <c r="N113" i="5" s="1"/>
  <c r="R163" i="5"/>
  <c r="N163" i="5" s="1"/>
  <c r="R27" i="5"/>
  <c r="M27" i="5" s="1"/>
  <c r="R68" i="5"/>
  <c r="N68" i="5" s="1"/>
  <c r="R88" i="5"/>
  <c r="N88" i="5" s="1"/>
  <c r="R13" i="5"/>
  <c r="N13" i="5" s="1"/>
  <c r="R144" i="5"/>
  <c r="N144" i="5" s="1"/>
  <c r="R167" i="5"/>
  <c r="N167" i="5" s="1"/>
  <c r="R169" i="5"/>
  <c r="M169" i="5" s="1"/>
  <c r="R34" i="5"/>
  <c r="N34" i="5" s="1"/>
  <c r="R209" i="5"/>
  <c r="N209" i="5" s="1"/>
  <c r="R191" i="5"/>
  <c r="N191" i="5" s="1"/>
  <c r="R11" i="5"/>
  <c r="N11" i="5" s="1"/>
  <c r="R177" i="5"/>
  <c r="M177" i="5" s="1"/>
  <c r="R65" i="5"/>
  <c r="M65" i="5" s="1"/>
  <c r="R111" i="5"/>
  <c r="M111" i="5" s="1"/>
  <c r="R149" i="5"/>
  <c r="M149" i="5" s="1"/>
  <c r="R18" i="5"/>
  <c r="M18" i="5" s="1"/>
  <c r="R41" i="5"/>
  <c r="N41" i="5" s="1"/>
  <c r="R6" i="5"/>
  <c r="N6" i="5" s="1"/>
  <c r="R23" i="5"/>
  <c r="N23" i="5" s="1"/>
  <c r="R211" i="5"/>
  <c r="N211" i="5" s="1"/>
  <c r="R208" i="5"/>
  <c r="N208" i="5" s="1"/>
  <c r="R60" i="5"/>
  <c r="M60" i="5" s="1"/>
  <c r="R78" i="5"/>
  <c r="M78" i="5" s="1"/>
  <c r="R158" i="5"/>
  <c r="N158" i="5" s="1"/>
  <c r="R32" i="5"/>
  <c r="M32" i="5" s="1"/>
  <c r="R193" i="5"/>
  <c r="N193" i="5" s="1"/>
  <c r="R189" i="5"/>
  <c r="N189" i="5" s="1"/>
  <c r="R123" i="5"/>
  <c r="N123" i="5" s="1"/>
  <c r="R118" i="5"/>
  <c r="M118" i="5" s="1"/>
  <c r="R142" i="5"/>
  <c r="N142" i="5" s="1"/>
  <c r="R197" i="5"/>
  <c r="N197" i="5" s="1"/>
  <c r="R139" i="5"/>
  <c r="M139" i="5" s="1"/>
  <c r="R85" i="5"/>
  <c r="N85" i="5" s="1"/>
  <c r="R107" i="5"/>
  <c r="N107" i="5" s="1"/>
  <c r="R190" i="5"/>
  <c r="M190" i="5" s="1"/>
  <c r="R87" i="5"/>
  <c r="N87" i="5" s="1"/>
  <c r="R175" i="5"/>
  <c r="N175" i="5" s="1"/>
  <c r="R98" i="5"/>
  <c r="N98" i="5" s="1"/>
  <c r="R145" i="5"/>
  <c r="M145" i="5" s="1"/>
  <c r="R40" i="5"/>
  <c r="M40" i="5" s="1"/>
  <c r="R188" i="5"/>
  <c r="M188" i="5" s="1"/>
  <c r="R19" i="5"/>
  <c r="M19" i="5" s="1"/>
  <c r="R182" i="5"/>
  <c r="M182" i="5" s="1"/>
  <c r="R183" i="5"/>
  <c r="N183" i="5" s="1"/>
  <c r="R119" i="5"/>
  <c r="N119" i="5" s="1"/>
  <c r="R201" i="5"/>
  <c r="N201" i="5" s="1"/>
  <c r="R173" i="5"/>
  <c r="M173" i="5" s="1"/>
  <c r="R102" i="5"/>
  <c r="N102" i="5" s="1"/>
  <c r="R79" i="5"/>
  <c r="M79" i="5" s="1"/>
  <c r="R206" i="5"/>
  <c r="M206" i="5" s="1"/>
  <c r="R52" i="5"/>
  <c r="N52" i="5" s="1"/>
  <c r="R213" i="5"/>
  <c r="N213" i="5" s="1"/>
  <c r="R114" i="5"/>
  <c r="M114" i="5" s="1"/>
  <c r="R66" i="5"/>
  <c r="N66" i="5" s="1"/>
  <c r="R63" i="5"/>
  <c r="M63" i="5" s="1"/>
  <c r="R132" i="5"/>
  <c r="M132" i="5" s="1"/>
  <c r="R20" i="5"/>
  <c r="M20" i="5" s="1"/>
  <c r="R166" i="5"/>
  <c r="N166" i="5" s="1"/>
  <c r="R43" i="5"/>
  <c r="M43" i="5" s="1"/>
  <c r="R135" i="5"/>
  <c r="M135" i="5" s="1"/>
  <c r="R12" i="5"/>
  <c r="N12" i="5" s="1"/>
  <c r="R2" i="5"/>
  <c r="M2" i="5" s="1"/>
  <c r="R159" i="5"/>
  <c r="N159" i="5" s="1"/>
  <c r="N156" i="5"/>
  <c r="M156" i="5"/>
  <c r="M144" i="5" l="1"/>
  <c r="O144" i="5" s="1"/>
  <c r="P144" i="5" s="1"/>
  <c r="M26" i="5"/>
  <c r="O26" i="5" s="1"/>
  <c r="P26" i="5" s="1"/>
  <c r="N83" i="5"/>
  <c r="O83" i="5" s="1"/>
  <c r="P83" i="5" s="1"/>
  <c r="M205" i="5"/>
  <c r="O205" i="5" s="1"/>
  <c r="P205" i="5" s="1"/>
  <c r="M46" i="5"/>
  <c r="O46" i="5" s="1"/>
  <c r="P46" i="5" s="1"/>
  <c r="N195" i="5"/>
  <c r="O195" i="5" s="1"/>
  <c r="P195" i="5" s="1"/>
  <c r="M9" i="5"/>
  <c r="O9" i="5" s="1"/>
  <c r="P9" i="5" s="1"/>
  <c r="M208" i="5"/>
  <c r="O208" i="5" s="1"/>
  <c r="P208" i="5" s="1"/>
  <c r="N151" i="5"/>
  <c r="O151" i="5" s="1"/>
  <c r="P151" i="5" s="1"/>
  <c r="N69" i="5"/>
  <c r="O69" i="5" s="1"/>
  <c r="P69" i="5" s="1"/>
  <c r="N114" i="5"/>
  <c r="O114" i="5" s="1"/>
  <c r="P114" i="5" s="1"/>
  <c r="N106" i="5"/>
  <c r="O106" i="5" s="1"/>
  <c r="P106" i="5" s="1"/>
  <c r="M133" i="5"/>
  <c r="O133" i="5" s="1"/>
  <c r="P133" i="5" s="1"/>
  <c r="N71" i="5"/>
  <c r="O71" i="5" s="1"/>
  <c r="P71" i="5" s="1"/>
  <c r="M168" i="5"/>
  <c r="O168" i="5" s="1"/>
  <c r="P168" i="5" s="1"/>
  <c r="N74" i="5"/>
  <c r="O74" i="5" s="1"/>
  <c r="P74" i="5" s="1"/>
  <c r="M175" i="5"/>
  <c r="O175" i="5" s="1"/>
  <c r="P175" i="5" s="1"/>
  <c r="N90" i="5"/>
  <c r="O90" i="5" s="1"/>
  <c r="P90" i="5" s="1"/>
  <c r="M193" i="5"/>
  <c r="O193" i="5" s="1"/>
  <c r="P193" i="5" s="1"/>
  <c r="M81" i="5"/>
  <c r="O81" i="5" s="1"/>
  <c r="P81" i="5" s="1"/>
  <c r="N39" i="5"/>
  <c r="O39" i="5" s="1"/>
  <c r="P39" i="5" s="1"/>
  <c r="M136" i="5"/>
  <c r="O136" i="5" s="1"/>
  <c r="P136" i="5" s="1"/>
  <c r="N72" i="5"/>
  <c r="O72" i="5" s="1"/>
  <c r="P72" i="5" s="1"/>
  <c r="M207" i="5"/>
  <c r="O207" i="5" s="1"/>
  <c r="P207" i="5" s="1"/>
  <c r="M12" i="5"/>
  <c r="O12" i="5" s="1"/>
  <c r="P12" i="5" s="1"/>
  <c r="M119" i="5"/>
  <c r="O119" i="5" s="1"/>
  <c r="P119" i="5" s="1"/>
  <c r="N118" i="5"/>
  <c r="O118" i="5" s="1"/>
  <c r="P118" i="5" s="1"/>
  <c r="N76" i="5"/>
  <c r="O76" i="5" s="1"/>
  <c r="P76" i="5" s="1"/>
  <c r="M199" i="5"/>
  <c r="O199" i="5" s="1"/>
  <c r="P199" i="5" s="1"/>
  <c r="N217" i="5"/>
  <c r="O217" i="5" s="1"/>
  <c r="P217" i="5" s="1"/>
  <c r="N55" i="5"/>
  <c r="O55" i="5" s="1"/>
  <c r="P55" i="5" s="1"/>
  <c r="M161" i="5"/>
  <c r="O161" i="5" s="1"/>
  <c r="P161" i="5" s="1"/>
  <c r="N115" i="5"/>
  <c r="O115" i="5" s="1"/>
  <c r="P115" i="5" s="1"/>
  <c r="N65" i="5"/>
  <c r="O65" i="5" s="1"/>
  <c r="P65" i="5" s="1"/>
  <c r="N27" i="5"/>
  <c r="O27" i="5" s="1"/>
  <c r="P27" i="5" s="1"/>
  <c r="M64" i="5"/>
  <c r="O64" i="5" s="1"/>
  <c r="P64" i="5" s="1"/>
  <c r="M210" i="5"/>
  <c r="O210" i="5" s="1"/>
  <c r="P210" i="5" s="1"/>
  <c r="M150" i="5"/>
  <c r="O150" i="5" s="1"/>
  <c r="P150" i="5" s="1"/>
  <c r="M124" i="5"/>
  <c r="O124" i="5" s="1"/>
  <c r="P124" i="5" s="1"/>
  <c r="N24" i="5"/>
  <c r="O24" i="5" s="1"/>
  <c r="P24" i="5" s="1"/>
  <c r="N148" i="5"/>
  <c r="O148" i="5" s="1"/>
  <c r="P148" i="5" s="1"/>
  <c r="M131" i="5"/>
  <c r="O131" i="5" s="1"/>
  <c r="P131" i="5" s="1"/>
  <c r="M194" i="5"/>
  <c r="O194" i="5" s="1"/>
  <c r="P194" i="5" s="1"/>
  <c r="N89" i="5"/>
  <c r="O89" i="5" s="1"/>
  <c r="P89" i="5" s="1"/>
  <c r="N143" i="5"/>
  <c r="O143" i="5" s="1"/>
  <c r="P143" i="5" s="1"/>
  <c r="N216" i="5"/>
  <c r="O216" i="5" s="1"/>
  <c r="P216" i="5" s="1"/>
  <c r="M171" i="5"/>
  <c r="O171" i="5" s="1"/>
  <c r="P171" i="5" s="1"/>
  <c r="N155" i="5"/>
  <c r="O155" i="5" s="1"/>
  <c r="P155" i="5" s="1"/>
  <c r="N47" i="5"/>
  <c r="O47" i="5" s="1"/>
  <c r="P47" i="5" s="1"/>
  <c r="M91" i="5"/>
  <c r="O91" i="5" s="1"/>
  <c r="P91" i="5" s="1"/>
  <c r="N77" i="5"/>
  <c r="O77" i="5" s="1"/>
  <c r="P77" i="5" s="1"/>
  <c r="M153" i="5"/>
  <c r="O153" i="5" s="1"/>
  <c r="P153" i="5" s="1"/>
  <c r="N100" i="5"/>
  <c r="O100" i="5" s="1"/>
  <c r="P100" i="5" s="1"/>
  <c r="N19" i="5"/>
  <c r="O19" i="5" s="1"/>
  <c r="P19" i="5" s="1"/>
  <c r="M154" i="5"/>
  <c r="O154" i="5" s="1"/>
  <c r="P154" i="5" s="1"/>
  <c r="M164" i="5"/>
  <c r="O164" i="5" s="1"/>
  <c r="P164" i="5" s="1"/>
  <c r="N62" i="5"/>
  <c r="O62" i="5" s="1"/>
  <c r="P62" i="5" s="1"/>
  <c r="N25" i="5"/>
  <c r="O25" i="5" s="1"/>
  <c r="P25" i="5" s="1"/>
  <c r="N8" i="5"/>
  <c r="O8" i="5" s="1"/>
  <c r="P8" i="5" s="1"/>
  <c r="N94" i="5"/>
  <c r="O94" i="5" s="1"/>
  <c r="P94" i="5" s="1"/>
  <c r="M104" i="5"/>
  <c r="O104" i="5" s="1"/>
  <c r="P104" i="5" s="1"/>
  <c r="N58" i="5"/>
  <c r="O58" i="5" s="1"/>
  <c r="P58" i="5" s="1"/>
  <c r="N16" i="5"/>
  <c r="O16" i="5" s="1"/>
  <c r="P16" i="5" s="1"/>
  <c r="N50" i="5"/>
  <c r="N7" i="5"/>
  <c r="O7" i="5" s="1"/>
  <c r="P7" i="5" s="1"/>
  <c r="M51" i="5"/>
  <c r="O51" i="5" s="1"/>
  <c r="P51" i="5" s="1"/>
  <c r="M56" i="5"/>
  <c r="O56" i="5" s="1"/>
  <c r="P56" i="5" s="1"/>
  <c r="N59" i="5"/>
  <c r="O59" i="5" s="1"/>
  <c r="P59" i="5" s="1"/>
  <c r="M130" i="5"/>
  <c r="O130" i="5" s="1"/>
  <c r="P130" i="5" s="1"/>
  <c r="N198" i="5"/>
  <c r="O198" i="5" s="1"/>
  <c r="P198" i="5" s="1"/>
  <c r="N165" i="5"/>
  <c r="O165" i="5" s="1"/>
  <c r="P165" i="5" s="1"/>
  <c r="M214" i="5"/>
  <c r="O214" i="5" s="1"/>
  <c r="P214" i="5" s="1"/>
  <c r="M166" i="5"/>
  <c r="O166" i="5" s="1"/>
  <c r="P166" i="5" s="1"/>
  <c r="M107" i="5"/>
  <c r="O107" i="5" s="1"/>
  <c r="P107" i="5" s="1"/>
  <c r="M191" i="5"/>
  <c r="O191" i="5" s="1"/>
  <c r="P191" i="5" s="1"/>
  <c r="M84" i="5"/>
  <c r="O84" i="5" s="1"/>
  <c r="P84" i="5" s="1"/>
  <c r="M196" i="5"/>
  <c r="O196" i="5" s="1"/>
  <c r="P196" i="5" s="1"/>
  <c r="N112" i="5"/>
  <c r="O112" i="5" s="1"/>
  <c r="P112" i="5" s="1"/>
  <c r="N86" i="5"/>
  <c r="O86" i="5" s="1"/>
  <c r="P86" i="5" s="1"/>
  <c r="M80" i="5"/>
  <c r="O80" i="5" s="1"/>
  <c r="P80" i="5" s="1"/>
  <c r="M57" i="5"/>
  <c r="O57" i="5" s="1"/>
  <c r="P57" i="5" s="1"/>
  <c r="M108" i="5"/>
  <c r="O108" i="5" s="1"/>
  <c r="P108" i="5" s="1"/>
  <c r="N203" i="5"/>
  <c r="O203" i="5" s="1"/>
  <c r="P203" i="5" s="1"/>
  <c r="N135" i="5"/>
  <c r="O135" i="5" s="1"/>
  <c r="P135" i="5" s="1"/>
  <c r="N206" i="5"/>
  <c r="O206" i="5" s="1"/>
  <c r="P206" i="5" s="1"/>
  <c r="N40" i="5"/>
  <c r="O40" i="5" s="1"/>
  <c r="P40" i="5" s="1"/>
  <c r="M179" i="5"/>
  <c r="O179" i="5" s="1"/>
  <c r="P179" i="5" s="1"/>
  <c r="N200" i="5"/>
  <c r="O200" i="5" s="1"/>
  <c r="P200" i="5" s="1"/>
  <c r="N147" i="5"/>
  <c r="O147" i="5" s="1"/>
  <c r="P147" i="5" s="1"/>
  <c r="M176" i="5"/>
  <c r="O176" i="5" s="1"/>
  <c r="P176" i="5" s="1"/>
  <c r="M123" i="5"/>
  <c r="O123" i="5" s="1"/>
  <c r="P123" i="5" s="1"/>
  <c r="M6" i="5"/>
  <c r="O6" i="5" s="1"/>
  <c r="P6" i="5" s="1"/>
  <c r="M34" i="5"/>
  <c r="O34" i="5" s="1"/>
  <c r="P34" i="5" s="1"/>
  <c r="N44" i="5"/>
  <c r="O44" i="5" s="1"/>
  <c r="P44" i="5" s="1"/>
  <c r="N116" i="5"/>
  <c r="O116" i="5" s="1"/>
  <c r="P116" i="5" s="1"/>
  <c r="M30" i="5"/>
  <c r="O30" i="5" s="1"/>
  <c r="P30" i="5" s="1"/>
  <c r="N139" i="5"/>
  <c r="O139" i="5" s="1"/>
  <c r="P139" i="5" s="1"/>
  <c r="N109" i="5"/>
  <c r="O109" i="5" s="1"/>
  <c r="P109" i="5" s="1"/>
  <c r="N121" i="5"/>
  <c r="O121" i="5" s="1"/>
  <c r="P121" i="5" s="1"/>
  <c r="M117" i="5"/>
  <c r="O117" i="5" s="1"/>
  <c r="P117" i="5" s="1"/>
  <c r="N192" i="5"/>
  <c r="O192" i="5" s="1"/>
  <c r="P192" i="5" s="1"/>
  <c r="M120" i="5"/>
  <c r="O120" i="5" s="1"/>
  <c r="P120" i="5" s="1"/>
  <c r="N3" i="5"/>
  <c r="O3" i="5" s="1"/>
  <c r="P3" i="5" s="1"/>
  <c r="M70" i="5"/>
  <c r="O70" i="5" s="1"/>
  <c r="P70" i="5" s="1"/>
  <c r="N101" i="5"/>
  <c r="O101" i="5" s="1"/>
  <c r="P101" i="5" s="1"/>
  <c r="M53" i="5"/>
  <c r="O53" i="5" s="1"/>
  <c r="P53" i="5" s="1"/>
  <c r="M215" i="5"/>
  <c r="O215" i="5" s="1"/>
  <c r="P215" i="5" s="1"/>
  <c r="N15" i="5"/>
  <c r="O15" i="5" s="1"/>
  <c r="P15" i="5" s="1"/>
  <c r="M163" i="5"/>
  <c r="O163" i="5" s="1"/>
  <c r="P163" i="5" s="1"/>
  <c r="M128" i="5"/>
  <c r="O128" i="5" s="1"/>
  <c r="P128" i="5" s="1"/>
  <c r="M110" i="5"/>
  <c r="O110" i="5" s="1"/>
  <c r="P110" i="5" s="1"/>
  <c r="M22" i="5"/>
  <c r="O22" i="5" s="1"/>
  <c r="P22" i="5" s="1"/>
  <c r="M122" i="5"/>
  <c r="O122" i="5" s="1"/>
  <c r="P122" i="5" s="1"/>
  <c r="N48" i="5"/>
  <c r="O48" i="5" s="1"/>
  <c r="P48" i="5" s="1"/>
  <c r="N82" i="5"/>
  <c r="O82" i="5" s="1"/>
  <c r="P82" i="5" s="1"/>
  <c r="N95" i="5"/>
  <c r="O95" i="5" s="1"/>
  <c r="P95" i="5" s="1"/>
  <c r="M21" i="5"/>
  <c r="O21" i="5" s="1"/>
  <c r="P21" i="5" s="1"/>
  <c r="M202" i="5"/>
  <c r="O202" i="5" s="1"/>
  <c r="P202" i="5" s="1"/>
  <c r="M138" i="5"/>
  <c r="O138" i="5" s="1"/>
  <c r="P138" i="5" s="1"/>
  <c r="M93" i="5"/>
  <c r="O93" i="5" s="1"/>
  <c r="P93" i="5" s="1"/>
  <c r="M4" i="5"/>
  <c r="O4" i="5" s="1"/>
  <c r="P4" i="5" s="1"/>
  <c r="N184" i="5"/>
  <c r="O184" i="5" s="1"/>
  <c r="P184" i="5" s="1"/>
  <c r="M97" i="5"/>
  <c r="O97" i="5" s="1"/>
  <c r="P97" i="5" s="1"/>
  <c r="M17" i="5"/>
  <c r="O17" i="5" s="1"/>
  <c r="P17" i="5" s="1"/>
  <c r="M103" i="5"/>
  <c r="O103" i="5" s="1"/>
  <c r="P103" i="5" s="1"/>
  <c r="M87" i="5"/>
  <c r="O87" i="5" s="1"/>
  <c r="P87" i="5" s="1"/>
  <c r="M13" i="5"/>
  <c r="O13" i="5" s="1"/>
  <c r="P13" i="5" s="1"/>
  <c r="M134" i="5"/>
  <c r="O134" i="5" s="1"/>
  <c r="P134" i="5" s="1"/>
  <c r="N105" i="5"/>
  <c r="O105" i="5" s="1"/>
  <c r="P105" i="5" s="1"/>
  <c r="M162" i="5"/>
  <c r="O162" i="5" s="1"/>
  <c r="P162" i="5" s="1"/>
  <c r="M10" i="5"/>
  <c r="O10" i="5" s="1"/>
  <c r="P10" i="5" s="1"/>
  <c r="M178" i="5"/>
  <c r="O178" i="5" s="1"/>
  <c r="P178" i="5" s="1"/>
  <c r="M102" i="5"/>
  <c r="O102" i="5" s="1"/>
  <c r="P102" i="5" s="1"/>
  <c r="N177" i="5"/>
  <c r="O177" i="5" s="1"/>
  <c r="P177" i="5" s="1"/>
  <c r="N126" i="5"/>
  <c r="O126" i="5" s="1"/>
  <c r="P126" i="5" s="1"/>
  <c r="M127" i="5"/>
  <c r="O127" i="5" s="1"/>
  <c r="P127" i="5" s="1"/>
  <c r="M14" i="5"/>
  <c r="O14" i="5" s="1"/>
  <c r="P14" i="5" s="1"/>
  <c r="M49" i="5"/>
  <c r="O49" i="5" s="1"/>
  <c r="P49" i="5" s="1"/>
  <c r="N96" i="5"/>
  <c r="O96" i="5" s="1"/>
  <c r="P96" i="5" s="1"/>
  <c r="N35" i="5"/>
  <c r="O35" i="5" s="1"/>
  <c r="P35" i="5" s="1"/>
  <c r="M181" i="5"/>
  <c r="O181" i="5" s="1"/>
  <c r="P181" i="5" s="1"/>
  <c r="M160" i="5"/>
  <c r="O160" i="5" s="1"/>
  <c r="P160" i="5" s="1"/>
  <c r="N99" i="5"/>
  <c r="O99" i="5" s="1"/>
  <c r="P99" i="5" s="1"/>
  <c r="N73" i="5"/>
  <c r="O73" i="5" s="1"/>
  <c r="P73" i="5" s="1"/>
  <c r="N204" i="5"/>
  <c r="O204" i="5" s="1"/>
  <c r="P204" i="5" s="1"/>
  <c r="M129" i="5"/>
  <c r="O129" i="5" s="1"/>
  <c r="P129" i="5" s="1"/>
  <c r="M67" i="5"/>
  <c r="O67" i="5" s="1"/>
  <c r="P67" i="5" s="1"/>
  <c r="N172" i="5"/>
  <c r="O172" i="5" s="1"/>
  <c r="P172" i="5" s="1"/>
  <c r="M157" i="5"/>
  <c r="O157" i="5" s="1"/>
  <c r="P157" i="5" s="1"/>
  <c r="N132" i="5"/>
  <c r="O132" i="5" s="1"/>
  <c r="P132" i="5" s="1"/>
  <c r="M213" i="5"/>
  <c r="O213" i="5" s="1"/>
  <c r="P213" i="5" s="1"/>
  <c r="M183" i="5"/>
  <c r="O183" i="5" s="1"/>
  <c r="P183" i="5" s="1"/>
  <c r="M158" i="5"/>
  <c r="O158" i="5" s="1"/>
  <c r="P158" i="5" s="1"/>
  <c r="M211" i="5"/>
  <c r="O211" i="5" s="1"/>
  <c r="P211" i="5" s="1"/>
  <c r="N18" i="5"/>
  <c r="O18" i="5" s="1"/>
  <c r="P18" i="5" s="1"/>
  <c r="M113" i="5"/>
  <c r="O113" i="5" s="1"/>
  <c r="P113" i="5" s="1"/>
  <c r="N185" i="5"/>
  <c r="O185" i="5" s="1"/>
  <c r="P185" i="5" s="1"/>
  <c r="N174" i="5"/>
  <c r="O174" i="5" s="1"/>
  <c r="P174" i="5" s="1"/>
  <c r="N5" i="5"/>
  <c r="O5" i="5" s="1"/>
  <c r="P5" i="5" s="1"/>
  <c r="M180" i="5"/>
  <c r="O180" i="5" s="1"/>
  <c r="P180" i="5" s="1"/>
  <c r="N75" i="5"/>
  <c r="O75" i="5" s="1"/>
  <c r="P75" i="5" s="1"/>
  <c r="N28" i="5"/>
  <c r="O28" i="5" s="1"/>
  <c r="P28" i="5" s="1"/>
  <c r="M137" i="5"/>
  <c r="O137" i="5" s="1"/>
  <c r="P137" i="5" s="1"/>
  <c r="N38" i="5"/>
  <c r="O38" i="5" s="1"/>
  <c r="P38" i="5" s="1"/>
  <c r="M187" i="5"/>
  <c r="O187" i="5" s="1"/>
  <c r="P187" i="5" s="1"/>
  <c r="M92" i="5"/>
  <c r="O92" i="5" s="1"/>
  <c r="P92" i="5" s="1"/>
  <c r="N140" i="5"/>
  <c r="O140" i="5" s="1"/>
  <c r="P140" i="5" s="1"/>
  <c r="N29" i="5"/>
  <c r="O29" i="5" s="1"/>
  <c r="P29" i="5" s="1"/>
  <c r="M61" i="5"/>
  <c r="O61" i="5" s="1"/>
  <c r="P61" i="5" s="1"/>
  <c r="M45" i="5"/>
  <c r="O45" i="5" s="1"/>
  <c r="P45" i="5" s="1"/>
  <c r="M170" i="5"/>
  <c r="O170" i="5" s="1"/>
  <c r="P170" i="5" s="1"/>
  <c r="N31" i="5"/>
  <c r="O31" i="5" s="1"/>
  <c r="P31" i="5" s="1"/>
  <c r="M68" i="5"/>
  <c r="O68" i="5" s="1"/>
  <c r="P68" i="5" s="1"/>
  <c r="N54" i="5"/>
  <c r="O54" i="5" s="1"/>
  <c r="P54" i="5" s="1"/>
  <c r="M33" i="5"/>
  <c r="O33" i="5" s="1"/>
  <c r="P33" i="5" s="1"/>
  <c r="N141" i="5"/>
  <c r="O141" i="5" s="1"/>
  <c r="P141" i="5" s="1"/>
  <c r="M125" i="5"/>
  <c r="O125" i="5" s="1"/>
  <c r="P125" i="5" s="1"/>
  <c r="N2" i="5"/>
  <c r="O2" i="5" s="1"/>
  <c r="P2" i="5" s="1"/>
  <c r="N20" i="5"/>
  <c r="O20" i="5" s="1"/>
  <c r="P20" i="5" s="1"/>
  <c r="M66" i="5"/>
  <c r="O66" i="5" s="1"/>
  <c r="P66" i="5" s="1"/>
  <c r="N79" i="5"/>
  <c r="O79" i="5" s="1"/>
  <c r="P79" i="5" s="1"/>
  <c r="M201" i="5"/>
  <c r="O201" i="5" s="1"/>
  <c r="P201" i="5" s="1"/>
  <c r="N188" i="5"/>
  <c r="O188" i="5" s="1"/>
  <c r="P188" i="5" s="1"/>
  <c r="M98" i="5"/>
  <c r="O98" i="5" s="1"/>
  <c r="P98" i="5" s="1"/>
  <c r="M85" i="5"/>
  <c r="O85" i="5" s="1"/>
  <c r="P85" i="5" s="1"/>
  <c r="M142" i="5"/>
  <c r="O142" i="5" s="1"/>
  <c r="P142" i="5" s="1"/>
  <c r="N32" i="5"/>
  <c r="O32" i="5" s="1"/>
  <c r="P32" i="5" s="1"/>
  <c r="N60" i="5"/>
  <c r="O60" i="5" s="1"/>
  <c r="P60" i="5" s="1"/>
  <c r="M41" i="5"/>
  <c r="O41" i="5" s="1"/>
  <c r="P41" i="5" s="1"/>
  <c r="N111" i="5"/>
  <c r="O111" i="5" s="1"/>
  <c r="P111" i="5" s="1"/>
  <c r="M209" i="5"/>
  <c r="O209" i="5" s="1"/>
  <c r="P209" i="5" s="1"/>
  <c r="M167" i="5"/>
  <c r="O167" i="5" s="1"/>
  <c r="P167" i="5" s="1"/>
  <c r="M152" i="5"/>
  <c r="O152" i="5" s="1"/>
  <c r="P152" i="5" s="1"/>
  <c r="N36" i="5"/>
  <c r="O36" i="5" s="1"/>
  <c r="P36" i="5" s="1"/>
  <c r="M42" i="5"/>
  <c r="O42" i="5" s="1"/>
  <c r="P42" i="5" s="1"/>
  <c r="M159" i="5"/>
  <c r="O159" i="5" s="1"/>
  <c r="P159" i="5" s="1"/>
  <c r="N43" i="5"/>
  <c r="O43" i="5" s="1"/>
  <c r="P43" i="5" s="1"/>
  <c r="N63" i="5"/>
  <c r="O63" i="5" s="1"/>
  <c r="P63" i="5" s="1"/>
  <c r="M52" i="5"/>
  <c r="O52" i="5" s="1"/>
  <c r="P52" i="5" s="1"/>
  <c r="N173" i="5"/>
  <c r="O173" i="5" s="1"/>
  <c r="P173" i="5" s="1"/>
  <c r="N182" i="5"/>
  <c r="O182" i="5" s="1"/>
  <c r="P182" i="5" s="1"/>
  <c r="N145" i="5"/>
  <c r="O145" i="5" s="1"/>
  <c r="P145" i="5" s="1"/>
  <c r="N190" i="5"/>
  <c r="O190" i="5" s="1"/>
  <c r="P190" i="5" s="1"/>
  <c r="M197" i="5"/>
  <c r="O197" i="5" s="1"/>
  <c r="P197" i="5" s="1"/>
  <c r="M189" i="5"/>
  <c r="O189" i="5" s="1"/>
  <c r="P189" i="5" s="1"/>
  <c r="N78" i="5"/>
  <c r="O78" i="5" s="1"/>
  <c r="P78" i="5" s="1"/>
  <c r="M23" i="5"/>
  <c r="O23" i="5" s="1"/>
  <c r="P23" i="5" s="1"/>
  <c r="N149" i="5"/>
  <c r="O149" i="5" s="1"/>
  <c r="P149" i="5" s="1"/>
  <c r="M11" i="5"/>
  <c r="O11" i="5" s="1"/>
  <c r="P11" i="5" s="1"/>
  <c r="N169" i="5"/>
  <c r="O169" i="5" s="1"/>
  <c r="P169" i="5" s="1"/>
  <c r="M88" i="5"/>
  <c r="O88" i="5" s="1"/>
  <c r="P88" i="5" s="1"/>
  <c r="M212" i="5"/>
  <c r="O212" i="5" s="1"/>
  <c r="P212" i="5" s="1"/>
  <c r="N146" i="5"/>
  <c r="O146" i="5" s="1"/>
  <c r="P146" i="5" s="1"/>
  <c r="N186" i="5"/>
  <c r="O186" i="5" s="1"/>
  <c r="P186" i="5" s="1"/>
  <c r="M37" i="5"/>
  <c r="O37" i="5" s="1"/>
  <c r="P37" i="5" s="1"/>
  <c r="O50" i="5"/>
  <c r="P50" i="5" s="1"/>
  <c r="O156" i="5"/>
  <c r="P156" i="5" s="1"/>
  <c r="C1" i="5" l="1"/>
  <c r="C24" i="5"/>
  <c r="C27" i="5" l="1"/>
  <c r="D34" i="1" s="1"/>
  <c r="D36" i="1" s="1"/>
  <c r="C25" i="5"/>
  <c r="D33" i="1" s="1"/>
  <c r="J32" i="1"/>
  <c r="J46" i="1" s="1"/>
  <c r="H32" i="1" l="1"/>
  <c r="H46" i="1" s="1"/>
  <c r="M46" i="1" s="1"/>
  <c r="M33" i="1" s="1"/>
  <c r="K32" i="1"/>
  <c r="K46" i="1" s="1"/>
  <c r="M10" i="1" s="1"/>
  <c r="G32" i="1"/>
  <c r="L32" i="1"/>
  <c r="L46" i="1" s="1"/>
  <c r="B48" i="1" s="1"/>
  <c r="C48" i="1" s="1"/>
  <c r="P10" i="1"/>
  <c r="N33" i="1"/>
  <c r="J33" i="1"/>
  <c r="I33" i="1"/>
  <c r="O33" i="1"/>
  <c r="H33" i="1" l="1"/>
  <c r="G46" i="1"/>
  <c r="G33" i="1" s="1"/>
  <c r="K33" i="1"/>
  <c r="O10" i="1"/>
  <c r="G11" i="1" s="1"/>
  <c r="B49" i="1"/>
  <c r="C49" i="1" s="1"/>
  <c r="B47" i="1"/>
  <c r="C47" i="1" s="1"/>
  <c r="B52" i="1"/>
  <c r="C52" i="1" s="1"/>
  <c r="B53" i="1"/>
  <c r="C53" i="1" s="1"/>
  <c r="B51" i="1"/>
  <c r="C51" i="1" s="1"/>
  <c r="L33" i="1"/>
  <c r="B46" i="1"/>
  <c r="C46" i="1" s="1"/>
  <c r="B44" i="1"/>
  <c r="C44" i="1" s="1"/>
  <c r="B45" i="1"/>
  <c r="C45" i="1" s="1"/>
  <c r="B50" i="1"/>
  <c r="C50" i="1" s="1"/>
  <c r="G9" i="1" l="1"/>
  <c r="I8" i="1"/>
  <c r="G8" i="1" l="1"/>
  <c r="G10" i="1" s="1"/>
  <c r="B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Horváth Zoltán</author>
    <author>Balogh-Szántó Anna</author>
  </authors>
  <commentList>
    <comment ref="N1" authorId="0" shapeId="0" xr:uid="{00000000-0006-0000-0300-000001000000}">
      <text>
        <r>
          <rPr>
            <b/>
            <sz val="8"/>
            <color indexed="81"/>
            <rFont val="Tahoma"/>
            <family val="2"/>
            <charset val="238"/>
          </rPr>
          <t xml:space="preserve">Ha nem havi a kamatfizetés, kéretik összeadni a periódusok havi kamatait. 
</t>
        </r>
        <r>
          <rPr>
            <sz val="8"/>
            <color indexed="81"/>
            <rFont val="Tahoma"/>
            <family val="2"/>
            <charset val="238"/>
          </rPr>
          <t xml:space="preserve">
</t>
        </r>
      </text>
    </comment>
    <comment ref="P2" authorId="0" shapeId="0" xr:uid="{00000000-0006-0000-0300-000002000000}">
      <text>
        <r>
          <rPr>
            <b/>
            <sz val="9"/>
            <color indexed="81"/>
            <rFont val="Tahoma"/>
            <family val="2"/>
            <charset val="238"/>
          </rPr>
          <t>'=J2/((1+i_eu/12)^(F2)) volt</t>
        </r>
      </text>
    </comment>
    <comment ref="S2" authorId="0" shapeId="0" xr:uid="{00000000-0006-0000-0300-000003000000}">
      <text>
        <r>
          <rPr>
            <b/>
            <sz val="8"/>
            <color indexed="81"/>
            <rFont val="Tahoma"/>
            <family val="2"/>
            <charset val="238"/>
          </rPr>
          <t xml:space="preserve">Korrigálva, mert nem egész hónap
</t>
        </r>
      </text>
    </comment>
    <comment ref="V2" authorId="0" shapeId="0" xr:uid="{00000000-0006-0000-0300-000004000000}">
      <text>
        <r>
          <rPr>
            <b/>
            <sz val="8"/>
            <color indexed="81"/>
            <rFont val="Tahoma"/>
            <family val="2"/>
            <charset val="238"/>
          </rPr>
          <t xml:space="preserve">Korrigált, mert nem egész hónap
</t>
        </r>
      </text>
    </comment>
    <comment ref="B20" authorId="0" shapeId="0" xr:uid="{00000000-0006-0000-0300-000005000000}">
      <text>
        <r>
          <rPr>
            <b/>
            <sz val="8"/>
            <color indexed="81"/>
            <rFont val="Tahoma"/>
            <family val="2"/>
            <charset val="238"/>
          </rPr>
          <t>Negyedéves kamatfizetésnél is havi kamatfizetéssel számol a TT számítás</t>
        </r>
      </text>
    </comment>
    <comment ref="C43" authorId="1" shapeId="0" xr:uid="{00000000-0006-0000-0300-000006000000}">
      <text>
        <r>
          <rPr>
            <b/>
            <sz val="9"/>
            <color indexed="81"/>
            <rFont val="Tahoma"/>
            <family val="2"/>
            <charset val="238"/>
          </rPr>
          <t>Balogh-Szántó Anna:</t>
        </r>
        <r>
          <rPr>
            <sz val="9"/>
            <color indexed="81"/>
            <rFont val="Tahoma"/>
            <family val="2"/>
            <charset val="238"/>
          </rPr>
          <t xml:space="preserve">
a szürke rész oka:
amennyiben a futamidő kezdetének napja és az első tőkefizetés napja nem egyezik, a szürke rész segítségével igazítjuk hozzá a futamidő kezdetének napját a törlesztés napjához. 
Az első sorban a tényleges futamidő dátuma van.
A második sorban van a tényleges tőkefizetés dátuma.
A harmadik sorban a kettő közötti nap számával megnövelt dátum van, ami figyelembe veszi, hogyha egy hónap 31 napos.
A negyedik sorban a korrekció van, ha esetleg 31 napos az adott hónap, akkor is a tőkefizetés napjához igazítsa a dátumot.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Horváth Zoltán</author>
  </authors>
  <commentList>
    <comment ref="I3" authorId="0" shapeId="0" xr:uid="{00000000-0006-0000-0700-000001000000}">
      <text>
        <r>
          <rPr>
            <b/>
            <sz val="9"/>
            <color indexed="81"/>
            <rFont val="Tahoma"/>
            <family val="2"/>
            <charset val="238"/>
          </rPr>
          <t xml:space="preserve">Támogatási kategória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Horváth Zoltán</author>
  </authors>
  <commentList>
    <comment ref="K1" authorId="0" shapeId="0" xr:uid="{00000000-0006-0000-0800-000001000000}">
      <text>
        <r>
          <rPr>
            <b/>
            <sz val="8"/>
            <color indexed="81"/>
            <rFont val="Tahoma"/>
            <family val="2"/>
            <charset val="238"/>
          </rPr>
          <t xml:space="preserve">A program kitörli az érvényesítést, beírja a képletet, majd átmásolja a validációt ebből a range-ből. </t>
        </r>
      </text>
    </comment>
  </commentList>
</comments>
</file>

<file path=xl/sharedStrings.xml><?xml version="1.0" encoding="utf-8"?>
<sst xmlns="http://schemas.openxmlformats.org/spreadsheetml/2006/main" count="2423" uniqueCount="1154">
  <si>
    <t>EUR</t>
  </si>
  <si>
    <t>Év</t>
  </si>
  <si>
    <t>Kamat kedvezményes
 kamatláb (rk) mellett</t>
  </si>
  <si>
    <t>Kamat referencia
kamtláb (rref) mellett</t>
  </si>
  <si>
    <t>Kamat különbség</t>
  </si>
  <si>
    <t>Diszkontált kamatkülönbség</t>
  </si>
  <si>
    <t>Hitelösszeg</t>
  </si>
  <si>
    <t>Ft</t>
  </si>
  <si>
    <t>EU referenciakamatláb</t>
  </si>
  <si>
    <t xml:space="preserve">Eu diszkontkamatláb </t>
  </si>
  <si>
    <t>Abony</t>
  </si>
  <si>
    <t>Alsónémedi</t>
  </si>
  <si>
    <t>Áporka</t>
  </si>
  <si>
    <t>Aszód</t>
  </si>
  <si>
    <t>Bag</t>
  </si>
  <si>
    <t>Bernecebaráti</t>
  </si>
  <si>
    <t>Cegléd</t>
  </si>
  <si>
    <t>Csemő</t>
  </si>
  <si>
    <t>Dabas</t>
  </si>
  <si>
    <t>Domony</t>
  </si>
  <si>
    <t>Dömsöd</t>
  </si>
  <si>
    <t>Dunaharaszti</t>
  </si>
  <si>
    <t>Ecser</t>
  </si>
  <si>
    <t>Érd</t>
  </si>
  <si>
    <t>Farmos</t>
  </si>
  <si>
    <t>Felsőpakony</t>
  </si>
  <si>
    <t>Galgagyörk</t>
  </si>
  <si>
    <t>Galgahévíz</t>
  </si>
  <si>
    <t>Galgamácsa</t>
  </si>
  <si>
    <t>Gödöllő</t>
  </si>
  <si>
    <t>Gyál</t>
  </si>
  <si>
    <t>Gyömrő</t>
  </si>
  <si>
    <t>Halásztelek</t>
  </si>
  <si>
    <t>Hévízgyörk</t>
  </si>
  <si>
    <t>Iklad</t>
  </si>
  <si>
    <t>Ipolydamásd</t>
  </si>
  <si>
    <t>Ipolytölgyes</t>
  </si>
  <si>
    <t>Jászkarajenő</t>
  </si>
  <si>
    <t>Kartal</t>
  </si>
  <si>
    <t>Kemence</t>
  </si>
  <si>
    <t>Kiskunlacháza</t>
  </si>
  <si>
    <t>Kisnémedi</t>
  </si>
  <si>
    <t>Kocsér</t>
  </si>
  <si>
    <t>Kóspallag</t>
  </si>
  <si>
    <t>Kőröstetétlen</t>
  </si>
  <si>
    <t>Letkés</t>
  </si>
  <si>
    <t>Lórév</t>
  </si>
  <si>
    <t>Maglód</t>
  </si>
  <si>
    <t>Makád</t>
  </si>
  <si>
    <t>Márianosztra</t>
  </si>
  <si>
    <t>Mikebuda</t>
  </si>
  <si>
    <t>Monor</t>
  </si>
  <si>
    <t>Nagybörzsöny</t>
  </si>
  <si>
    <t>Nagykáta</t>
  </si>
  <si>
    <t>Nagykőrös</t>
  </si>
  <si>
    <t>Nagytarcsa</t>
  </si>
  <si>
    <t>Nyársapát</t>
  </si>
  <si>
    <t>Ócsa</t>
  </si>
  <si>
    <t>Örkény</t>
  </si>
  <si>
    <t>Pécel</t>
  </si>
  <si>
    <t>Perőcsény</t>
  </si>
  <si>
    <t>Péteri</t>
  </si>
  <si>
    <t>Piliscsaba</t>
  </si>
  <si>
    <t>Pilisjászújfalu</t>
  </si>
  <si>
    <t>Püspökhatvan</t>
  </si>
  <si>
    <t>Püspökszilágy</t>
  </si>
  <si>
    <t>Ráckeve</t>
  </si>
  <si>
    <t>Szentmártonkáta</t>
  </si>
  <si>
    <t>Szigetbecse</t>
  </si>
  <si>
    <t>Szigetszentmiklós</t>
  </si>
  <si>
    <t>Szob</t>
  </si>
  <si>
    <t>Szokolya</t>
  </si>
  <si>
    <t>Táborfalva</t>
  </si>
  <si>
    <t>Tápióbicske</t>
  </si>
  <si>
    <t>Tápiógyörgye</t>
  </si>
  <si>
    <t>Tápióság</t>
  </si>
  <si>
    <t>Tápiószele</t>
  </si>
  <si>
    <t>Tápiószentmárton</t>
  </si>
  <si>
    <t>Tápiószőlős</t>
  </si>
  <si>
    <t>Tatárszentgyörgy</t>
  </si>
  <si>
    <t>Tésa</t>
  </si>
  <si>
    <t>Törtel</t>
  </si>
  <si>
    <t>Tura</t>
  </si>
  <si>
    <t>Újhartyán</t>
  </si>
  <si>
    <t>Újszilvás</t>
  </si>
  <si>
    <t>Üllő</t>
  </si>
  <si>
    <t>Vác</t>
  </si>
  <si>
    <t>Váckisújfalu</t>
  </si>
  <si>
    <t>Valkó</t>
  </si>
  <si>
    <t>Vámosmikola</t>
  </si>
  <si>
    <t>Vecsés</t>
  </si>
  <si>
    <t>Verőce</t>
  </si>
  <si>
    <t xml:space="preserve">Verseg </t>
  </si>
  <si>
    <t>Zebegény</t>
  </si>
  <si>
    <t>mezőgazdasági termékek feldolgozásának, forgalmazásának támogatása</t>
  </si>
  <si>
    <t>egyéb támogatás</t>
  </si>
  <si>
    <t>intézményi kezesség</t>
  </si>
  <si>
    <t>vissza nem térítendő támogatás</t>
  </si>
  <si>
    <t>A beruházás összesített támogatás intenzitása % - számított érték</t>
  </si>
  <si>
    <t>Göd</t>
  </si>
  <si>
    <t>Sződliget</t>
  </si>
  <si>
    <t>A beruházás elszámolható költségei összesen</t>
  </si>
  <si>
    <t>Közép Magyarország</t>
  </si>
  <si>
    <t>Észak Magyarország</t>
  </si>
  <si>
    <t>Észak Alföld</t>
  </si>
  <si>
    <t>Dél Alföld</t>
  </si>
  <si>
    <t>Dél Dunántúl</t>
  </si>
  <si>
    <t>Közép Dunántúl</t>
  </si>
  <si>
    <t>Nyugat Dunántúl</t>
  </si>
  <si>
    <t>kitöltendő</t>
  </si>
  <si>
    <t>év</t>
  </si>
  <si>
    <t>Link</t>
  </si>
  <si>
    <t>általános csekély összegű támogatás</t>
  </si>
  <si>
    <t>mezőgazdasági csekély összegű támogatás</t>
  </si>
  <si>
    <t>regionális beruházási támogatás</t>
  </si>
  <si>
    <t>elsődleges mezőgazdasági termeléshez kapcsolódó támogatás</t>
  </si>
  <si>
    <t>mikrovállalkozás</t>
  </si>
  <si>
    <t>kisvállalkozás</t>
  </si>
  <si>
    <t>középvállalkozás</t>
  </si>
  <si>
    <t>FKözép Magyarország</t>
  </si>
  <si>
    <t>FÉszak Magyarország</t>
  </si>
  <si>
    <t>FÉszak Alföld</t>
  </si>
  <si>
    <t>FDél Alföld</t>
  </si>
  <si>
    <t>FDél Dunántúl</t>
  </si>
  <si>
    <t>FKözép Dunántúl</t>
  </si>
  <si>
    <t>FNyugat Dunántúl</t>
  </si>
  <si>
    <t>halászati csekély összegű támogatás</t>
  </si>
  <si>
    <t>Energiahatékonysági intézkedésekhez nyújtott beruházási támogatás</t>
  </si>
  <si>
    <t>Megújuló energiatermelésre irányuló beruházási támogatás</t>
  </si>
  <si>
    <t>fel nem sorolt települések</t>
  </si>
  <si>
    <t>SKözép Magyarország</t>
  </si>
  <si>
    <t>SÉszak Magyarország</t>
  </si>
  <si>
    <t>SÉszak Alföld</t>
  </si>
  <si>
    <t>SDél Alföld</t>
  </si>
  <si>
    <t>SDél Dunántúl</t>
  </si>
  <si>
    <t>SKözép Dunántúl</t>
  </si>
  <si>
    <t>SNyugat Dunántúl</t>
  </si>
  <si>
    <t>NKözép Magyarország</t>
  </si>
  <si>
    <t>NÉszak Magyarország</t>
  </si>
  <si>
    <t>NÉszak Alföld</t>
  </si>
  <si>
    <t>NDél Alföld</t>
  </si>
  <si>
    <t>NDél Dunántúl</t>
  </si>
  <si>
    <t>NKözép Dunántúl</t>
  </si>
  <si>
    <t>NNyugat Dunántúl</t>
  </si>
  <si>
    <t>Finanszírozó pénzügyi intézmény neve:</t>
  </si>
  <si>
    <t>Fiók neve:</t>
  </si>
  <si>
    <t>ir. szám</t>
  </si>
  <si>
    <t>helység</t>
  </si>
  <si>
    <t>postafiók</t>
  </si>
  <si>
    <t>közterület neve</t>
  </si>
  <si>
    <t>jellege</t>
  </si>
  <si>
    <t>hsz., em., ajt.</t>
  </si>
  <si>
    <t>A beruházás tervezett anyagi-műszaki összetétele</t>
  </si>
  <si>
    <t>Összesen</t>
  </si>
  <si>
    <t>Amennyiben a beruházáshoz vissza nem térítendő állami támogatás is kapcsolódik, azt fel kell tüntetni függetlenül a pályázat benyújtásának időpontjától.</t>
  </si>
  <si>
    <t>A beruházás forrásai</t>
  </si>
  <si>
    <t xml:space="preserve">  Saját erő összesen</t>
  </si>
  <si>
    <t>ebből</t>
  </si>
  <si>
    <t>egyéb</t>
  </si>
  <si>
    <t xml:space="preserve">  Egyéb forrás</t>
  </si>
  <si>
    <t>egyéb, nem aktiválható költségek</t>
  </si>
  <si>
    <t xml:space="preserve">  Összesen</t>
  </si>
  <si>
    <t>HUF</t>
  </si>
  <si>
    <t>kitöltendő legördülő cella</t>
  </si>
  <si>
    <t>hó</t>
  </si>
  <si>
    <t>Alap-kamatláb</t>
  </si>
  <si>
    <t>Az Európai Bizottság által közölt éves referencia kamatláb (HUF):</t>
  </si>
  <si>
    <t>Ezek a jelölőnégyzetek egyszerre nem lehetnek bejelölve, kérjük ellenőrizze a kitöltést!</t>
  </si>
  <si>
    <t>Az Európai Bizottság által közölt éves referencia kamatláb (EUR):</t>
  </si>
  <si>
    <t>Kamatfelár</t>
  </si>
  <si>
    <t>a fenti esetek egyike sem áll fenn</t>
  </si>
  <si>
    <t>Az ügyfél minősítési kategóriája a 2008/C 14/02 Bizottsági Közlemény szerint</t>
  </si>
  <si>
    <t>Az alábbi cellát nem szabad kitölteni</t>
  </si>
  <si>
    <t>Az ügylet fedezettsége százalékban</t>
  </si>
  <si>
    <t>Biztosítékkal való fedezettség a 2008/C 14/02 Bizottsági Közlemény szerint</t>
  </si>
  <si>
    <t>A referencia-kamatláb kamatfelára:</t>
  </si>
  <si>
    <t>Referenciaráta:</t>
  </si>
  <si>
    <t>Alulírott nyilatkozó pénzügyi intézmény kijelenti, hogy</t>
  </si>
  <si>
    <t>Kelt,</t>
  </si>
  <si>
    <t>Magas</t>
  </si>
  <si>
    <t>Általános</t>
  </si>
  <si>
    <t>Alacsony</t>
  </si>
  <si>
    <t>Kiváló (AAA-A)</t>
  </si>
  <si>
    <t>Jó (BBB)</t>
  </si>
  <si>
    <t>Kielégítő (BB)</t>
  </si>
  <si>
    <t>Gyenge (B)</t>
  </si>
  <si>
    <t>Rossz/Pénzügyi nehézségek (CCC és alacsonyabb)</t>
  </si>
  <si>
    <t>Magas (1)</t>
  </si>
  <si>
    <t>Általános (2)</t>
  </si>
  <si>
    <t>Alacsony(3)</t>
  </si>
  <si>
    <t>Kiváló (1)</t>
  </si>
  <si>
    <t>Jó (2)</t>
  </si>
  <si>
    <t>Kielégítő (3)</t>
  </si>
  <si>
    <t>Gyenge (4)</t>
  </si>
  <si>
    <t>Rossz/Pénzügyi nehézségek (5)</t>
  </si>
  <si>
    <t>Σ</t>
  </si>
  <si>
    <t>=</t>
  </si>
  <si>
    <t>Q</t>
  </si>
  <si>
    <t>Rossz/Pénzügyi nehézségek (CCC és ennél alacsonyabb)</t>
  </si>
  <si>
    <t>rref</t>
  </si>
  <si>
    <t>r_eu</t>
  </si>
  <si>
    <t>i</t>
  </si>
  <si>
    <t>Hitelkamat</t>
  </si>
  <si>
    <t>rk</t>
  </si>
  <si>
    <t>arf</t>
  </si>
  <si>
    <t>Range</t>
  </si>
  <si>
    <t>Devizanem</t>
  </si>
  <si>
    <t>TT, EUR</t>
  </si>
  <si>
    <t>Törlesztés hónap végén</t>
  </si>
  <si>
    <t>TT, HUF</t>
  </si>
  <si>
    <t xml:space="preserve">Árfolyam </t>
  </si>
  <si>
    <t>ref kamat + Kamatfelár</t>
  </si>
  <si>
    <t>TT saját devizában</t>
  </si>
  <si>
    <t>=RefinKolcsonOsszege/TorlSzam</t>
  </si>
  <si>
    <t>validacio</t>
  </si>
  <si>
    <t>utolsotorlesztes</t>
  </si>
  <si>
    <t>MNBarf</t>
  </si>
  <si>
    <t>Bubor</t>
  </si>
  <si>
    <t>EurRefrata</t>
  </si>
  <si>
    <t>Érvényesítés</t>
  </si>
  <si>
    <t>Magyarázat</t>
  </si>
  <si>
    <t>Kamatfizetési gyakoriság, hónap</t>
  </si>
  <si>
    <t>Maradék, kamat</t>
  </si>
  <si>
    <t>RefinKolcsonOsszege</t>
  </si>
  <si>
    <t>honapokszama</t>
  </si>
  <si>
    <t>turelmiido</t>
  </si>
  <si>
    <t>Fenálló tőketratozás
hónap végén (Qn)</t>
  </si>
  <si>
    <t>A kamatperiódus években  (n. havi törlesztést megelőző periódus hossza)</t>
  </si>
  <si>
    <t>KKV-knak nyújtott beruházási támogatás</t>
  </si>
  <si>
    <t>ebből új gép, berendezés</t>
  </si>
  <si>
    <t>Az igényelt kölcsön támogatástartalma, Ft</t>
  </si>
  <si>
    <t>Az igényelt kölcsön támogatástartalma , EUR-ban</t>
  </si>
  <si>
    <t>Az igényelt kölcsön támogatási kategóriája</t>
  </si>
  <si>
    <t xml:space="preserve">A beruházás támogatás intenzitása </t>
  </si>
  <si>
    <t>A támogatási korlát ellenőrzéséhez szükséges információk</t>
  </si>
  <si>
    <t>RendtartKezdete</t>
  </si>
  <si>
    <t>RendtartVege</t>
  </si>
  <si>
    <t>MinKat</t>
  </si>
  <si>
    <t>alap EU minősítési kategória</t>
  </si>
  <si>
    <t>vkeres</t>
  </si>
  <si>
    <t>vkeres vagy a többi</t>
  </si>
  <si>
    <t>MasodikTorl</t>
  </si>
  <si>
    <t>MasodikTorl_Megj</t>
  </si>
  <si>
    <t xml:space="preserve">Havi Kamat, rref </t>
  </si>
  <si>
    <t>Havi Kamat, 
rk</t>
  </si>
  <si>
    <t>rref 3 hónap</t>
  </si>
  <si>
    <t>rref 6 hónap</t>
  </si>
  <si>
    <t>rk 3 hónap</t>
  </si>
  <si>
    <t>rk6 hónap</t>
  </si>
  <si>
    <t xml:space="preserve">Hónap
</t>
  </si>
  <si>
    <t>Törlesztési dátum</t>
  </si>
  <si>
    <t>HitelprogHosszu</t>
  </si>
  <si>
    <t>Hitelprog_Rovid</t>
  </si>
  <si>
    <t>HetelTipusa</t>
  </si>
  <si>
    <t xml:space="preserve">halászati csekély összegű támogatás </t>
  </si>
  <si>
    <t>támogatás1 összege</t>
  </si>
  <si>
    <t>támogatás1 típusa</t>
  </si>
  <si>
    <t xml:space="preserve">támogatás1 kategóriája </t>
  </si>
  <si>
    <t>támogatás2 összege</t>
  </si>
  <si>
    <t>támogatás2 típusa</t>
  </si>
  <si>
    <t xml:space="preserve">támogatás2 kategóriája </t>
  </si>
  <si>
    <t>támogatás3 összege</t>
  </si>
  <si>
    <t>támogatás3 típusa</t>
  </si>
  <si>
    <t xml:space="preserve">támogatás3 kategóriája </t>
  </si>
  <si>
    <t>TokeFizGyak</t>
  </si>
  <si>
    <t>KamatFizGyak</t>
  </si>
  <si>
    <t>TT_kategoria</t>
  </si>
  <si>
    <t>Törlesztés kerekítve</t>
  </si>
  <si>
    <t>Törlesztések, kerekítve</t>
  </si>
  <si>
    <t>Kerekítési eltérés</t>
  </si>
  <si>
    <t>Kerekítési üzenet</t>
  </si>
  <si>
    <t>Érték/Egyszerű képlet (",', függvény nélkül)</t>
  </si>
  <si>
    <t xml:space="preserve">Kerekítési eltérés 2 </t>
  </si>
  <si>
    <t>•  nem rendelkezik hitelfelvevői múlttal</t>
  </si>
  <si>
    <t>•  nem rendelkezik mérlegszemléletű megközelítésen alapuló hitelminősítéssel</t>
  </si>
  <si>
    <t>•  új vállalkozás</t>
  </si>
  <si>
    <t>&lt;&lt;&lt;ügyfél min.kat. Számmal</t>
  </si>
  <si>
    <t>Nyilatkozat a beruházáshoz nem kapcsolódó, a hitelkérelem benyújtásának évében és a megelőző két pénzügyi évben a vállalkozás, valamint a vállalkozással egy és ugyanazon vállalkozásnak minősülő vállalkozások által együttesen Magyarországon igénybe vett de minimis támogatásrokról</t>
  </si>
  <si>
    <t>visszatérítendő támogatás</t>
  </si>
  <si>
    <t>Nyilatkozat a beruházáshoz ugyanazon elszámolható költségek vonatkozásában más forrásból igénybe vett, illetve igényelni kívánt támogatásokról</t>
  </si>
  <si>
    <t>A vállalkozás mérete</t>
  </si>
  <si>
    <t>A régió, ahol a beruházás megvalósul</t>
  </si>
  <si>
    <t xml:space="preserve">  </t>
  </si>
  <si>
    <t xml:space="preserve">MFB Pénzügyi Vállalkozás Refinanszírozási Konstrukció II </t>
  </si>
  <si>
    <t xml:space="preserve">Refinanszírozási Kölcsönkérelem 
</t>
  </si>
  <si>
    <t>Türelmi idő (hónapokban)</t>
  </si>
  <si>
    <t>A vállalkozás székhelye                                                              Az egyéni vállalkozó, magánszemély lakcíme</t>
  </si>
  <si>
    <t xml:space="preserve">vissza nem térítendő  </t>
  </si>
  <si>
    <t>támogatás</t>
  </si>
  <si>
    <t>A hitelt vagy lízinget igénylő vállalkozás, egyéni vállalkozó,illetve magánszemély :</t>
  </si>
  <si>
    <t>visszaigényelhető áfa (beruházás)</t>
  </si>
  <si>
    <t xml:space="preserve">visszaigényelhető áfa (forgóeszköz) </t>
  </si>
  <si>
    <t>visszaigényelhető áfa (forgóeszköz)</t>
  </si>
  <si>
    <t>Benyújtásának időpontja</t>
  </si>
  <si>
    <t>Pénzügyi intézmény általi jóváhagyásának napja:</t>
  </si>
  <si>
    <t>Régió</t>
  </si>
  <si>
    <t>HU</t>
  </si>
  <si>
    <t>ország</t>
  </si>
  <si>
    <t>beruházási hitel</t>
  </si>
  <si>
    <t>havi</t>
  </si>
  <si>
    <t>beruházási hitel és kapcsolódó forgóeszközhitel</t>
  </si>
  <si>
    <t>MFB-be érkezés várható időpontja</t>
  </si>
  <si>
    <t>Mérlegév</t>
  </si>
  <si>
    <t>A vállalkozás éves statisztikai állományi létszáma</t>
  </si>
  <si>
    <t>fő</t>
  </si>
  <si>
    <t>Éves nettó árbevétel</t>
  </si>
  <si>
    <t>ezer forint</t>
  </si>
  <si>
    <t>Mérlegfőösszeg</t>
  </si>
  <si>
    <t>A vállalkozás jegyzett tőkéje</t>
  </si>
  <si>
    <t>A vállalkozás saját tőkéje</t>
  </si>
  <si>
    <t xml:space="preserve">Kelt. </t>
  </si>
  <si>
    <t>Előttünk mint tanúk előtt:</t>
  </si>
  <si>
    <t xml:space="preserve">1.Név: </t>
  </si>
  <si>
    <t>…………………………………………………………………….</t>
  </si>
  <si>
    <t xml:space="preserve">2.Név: </t>
  </si>
  <si>
    <t>Aláírás</t>
  </si>
  <si>
    <t>Nyomtatott betűvel</t>
  </si>
  <si>
    <t>Szem.ig.szám:</t>
  </si>
  <si>
    <t xml:space="preserve">Lakóhely: </t>
  </si>
  <si>
    <t>Gazdasági társaság, szövetkezet, európai részvénytársaság eredményterve a finanszírozás teljes futamidejerére</t>
  </si>
  <si>
    <t>MEGNEVEZÉS</t>
  </si>
  <si>
    <t>Tárgyév (várható)</t>
  </si>
  <si>
    <t>Tárgyévet követően a hitel lejártáig  (ezer forintban)</t>
  </si>
  <si>
    <t>1. Bevételek összesen</t>
  </si>
  <si>
    <t>2. Költségek összesen</t>
  </si>
  <si>
    <t>3. ÜZLETI TEVÉKENYSÉG EREDMÉNYE</t>
  </si>
  <si>
    <t>4. Pénzügyi műveletek eredménye</t>
  </si>
  <si>
    <t>5. Rendkívüli eredmény</t>
  </si>
  <si>
    <t>6. ADÓZÁS ELŐTTI EREDMÉNY</t>
  </si>
  <si>
    <t>7. Adófizetési kötelezettség</t>
  </si>
  <si>
    <t>8. ADÓZOTT EREDMÉNY</t>
  </si>
  <si>
    <t>9. MÉRLEG SZERINTI EREDMÉNY</t>
  </si>
  <si>
    <t>10. Elszámolt amortizáció</t>
  </si>
  <si>
    <t>ebből MFB hitel</t>
  </si>
  <si>
    <t>Egyéni vállalkozás eredményterve a finanszírozás teljes futamidejerére</t>
  </si>
  <si>
    <t>Tárgyévet követően (ezer forintban)</t>
  </si>
  <si>
    <t>1.Adóalapba beszámító bevétel</t>
  </si>
  <si>
    <t>2. Felmerült összes költség</t>
  </si>
  <si>
    <t>ebből: Vállalkozói kivét</t>
  </si>
  <si>
    <t>Tárgyi eszközök értékcsökkenési leírása</t>
  </si>
  <si>
    <t>3. VÁLLALKOZÓI JÖVEDELEM</t>
  </si>
  <si>
    <t>4. Adófizetési kötelezettség</t>
  </si>
  <si>
    <t>5. VÁLLALKOZÓI OSZTALÉKALAP</t>
  </si>
  <si>
    <t>6. Adófizetési kötelezettség</t>
  </si>
  <si>
    <t>7. SZÁMÍTOTT JÖVEDELEM</t>
  </si>
  <si>
    <t>A beruházás/ügylet kezdési időpontja</t>
  </si>
  <si>
    <t xml:space="preserve">Befejezése </t>
  </si>
  <si>
    <t>A beruházás/ügylet rövid leírása</t>
  </si>
  <si>
    <t>A beruházás/ügylet TEAOR kódja:</t>
  </si>
  <si>
    <t>A beruházás/ügylet megvalósulási helyszíne</t>
  </si>
  <si>
    <t>Nyilvántartási szám</t>
  </si>
  <si>
    <t>12. Hitel tőke-törlesztés</t>
  </si>
  <si>
    <t>13. SZABAD CASH-FLOW</t>
  </si>
  <si>
    <t>11. Fenntartási, karbantartási célú beruházások</t>
  </si>
  <si>
    <t>14. KUMULÁLT SZABAD CASH-FLOW</t>
  </si>
  <si>
    <t>(Az alábbi cella abban az esetben töltendő, amennyiben fenti cellában nem történik jelölés)</t>
  </si>
  <si>
    <t>Ha a beruházás/ügylet több helyszínen valósul meg kérjük, adja meg a megvalósulás elsődleges, legfontosabb helyszínét.                                                                                                                                                                                                                                                                                                                                                                                                                                                                                                                                                                                                                       A beruházás rövid leírásában foglalja össze a beruházás céljait, tevékenységeit és az elvárt eredményeket. A beruházás kezdési időpontjának meghatározásánál legyen tekintettel a hitelbírálat és a szerződéskötés időigényére.</t>
  </si>
  <si>
    <t xml:space="preserve">MFB hitel támogatás-tartalma (HUF) </t>
  </si>
  <si>
    <t>Vissza nem térítendő támogatás támogatás-tartalma (HUF)</t>
  </si>
  <si>
    <t xml:space="preserve">Intézményi kezesség támogatás-tartalma (EUR) </t>
  </si>
  <si>
    <t xml:space="preserve">Intézményi kezesség támogatás-tartalma (HUF) </t>
  </si>
  <si>
    <t>Egyéb támogatás-tartalom (EUR)</t>
  </si>
  <si>
    <t>Egyéb támogatás-tartalom (HUF)</t>
  </si>
  <si>
    <t>Összes támogatás-tartalom (EUR)</t>
  </si>
  <si>
    <t>Összes támogatás-tartalom (HUF)</t>
  </si>
  <si>
    <t xml:space="preserve">MFB hitel támogatás-tartalma (EUR) </t>
  </si>
  <si>
    <t>Vissza nem térítendő támogatás   támogatás-tartalma (EUR)</t>
  </si>
  <si>
    <t>ingatlan célú éven belüli forgóeszközhitel</t>
  </si>
  <si>
    <t>ingatlan célú éven túli tartós forgóeszközhitel</t>
  </si>
  <si>
    <t>egyéb önálló forgóeszközhitel</t>
  </si>
  <si>
    <t>a vállalkozás (egyéni vállalkozó, őstermelő) teljes neve</t>
  </si>
  <si>
    <t>út</t>
  </si>
  <si>
    <t>utca</t>
  </si>
  <si>
    <t>körút</t>
  </si>
  <si>
    <t>fasor</t>
  </si>
  <si>
    <t>körtér</t>
  </si>
  <si>
    <t>köz</t>
  </si>
  <si>
    <t>park</t>
  </si>
  <si>
    <t>körönd</t>
  </si>
  <si>
    <t>liget</t>
  </si>
  <si>
    <t>legördülő cella</t>
  </si>
  <si>
    <t>Eszköz megnevezése</t>
  </si>
  <si>
    <t>Eszköz kategóriája</t>
  </si>
  <si>
    <t>A(z)</t>
  </si>
  <si>
    <t>(Pénzügyi intézmény) által jelen Refinanszírozási Kölcsönkérelemben a(z)</t>
  </si>
  <si>
    <t>ra (finanszírozást igénylő vállalkozás) és az igényelt hitelre vonatkozóan</t>
  </si>
  <si>
    <t>megadott adatok megegyeznek a(z)</t>
  </si>
  <si>
    <t xml:space="preserve">(finanszírozást igénylő válllakozás) által a(z) </t>
  </si>
  <si>
    <t>(Pénzügyi intézmény) részére benyújtott hitelkérelmi nyomtatványban meghatározott adatokkal.</t>
  </si>
  <si>
    <t>Egyéni vállalkozók, őstermelők esetében tanúk aláírása is szükséges</t>
  </si>
  <si>
    <t>Technikai:  ElsoTorl</t>
  </si>
  <si>
    <t>KKV-nak nyújtott beruházási támogatás</t>
  </si>
  <si>
    <t xml:space="preserve">A finanszírozás típusa </t>
  </si>
  <si>
    <t>Az igényelt finanszírozás támogatási kategóriája</t>
  </si>
  <si>
    <t>Finanszírozó ügyféllel szembeni kitettsége (HUF)</t>
  </si>
  <si>
    <t>Finanszírozó ügyféllel szembeni kitettsége MFB Zrt. forrásból (HUF)</t>
  </si>
  <si>
    <t xml:space="preserve">A táblázatot abban az esetben kell tölteni, amennyiben a pénzügyi vállalkozás egy adósra/végfelhasználóra vonatkozóan egy időben egynél több refinanszírozási kölcsönkérelmet nyújt be az MFB Zrt.-hez. A táblázatnak tartalmazni kell az ügyletek támogatástartalmi adatait, beleértve az igényelt finanszírozás előzetesen kalkulált támogatástartalmát is.  </t>
  </si>
  <si>
    <t>képviseletében kijelentem/kijelentjük, hogy a(z)</t>
  </si>
  <si>
    <t>hrsz</t>
  </si>
  <si>
    <t>euribor</t>
  </si>
  <si>
    <t>bubor</t>
  </si>
  <si>
    <t>új</t>
  </si>
  <si>
    <t>használt</t>
  </si>
  <si>
    <t>Kijelentjük, hogy az alábbi igénylőnek a következő feltételek mellett finanszírozást nyújtunk, amennyiben az MFB Zrt. az ehhez szükséges forrást biztosítja.</t>
  </si>
  <si>
    <t>Refinanszírozás összege és devizaneme</t>
  </si>
  <si>
    <t>Finanszírozó pénzügyi intézmény által kért rendelkezésre tartási idő</t>
  </si>
  <si>
    <t>Kezdő időpont</t>
  </si>
  <si>
    <t>Záró időpont</t>
  </si>
  <si>
    <t>A vállalkozás gazdálkodására vonatkozó adatokat kérjük az utolsó éves mérlegbeszámoló, vagy az egyszerűsített éves mérlegbeszámoló adatai alapján, újonnan alakult társaság esetén az üzleti terv alapján kitölteni. Egyéni vállalkozók esetében a mérlegév, a vállalkozás éves statisztikai állományi létszám és az éves nettó árbevétel mezőt kérjük kitölteni az adóbevallás alapján.</t>
  </si>
  <si>
    <t xml:space="preserve">  Finanszírozás összesen</t>
  </si>
  <si>
    <t>Futamidő</t>
  </si>
  <si>
    <t>Kamatfizetési gyakoriság</t>
  </si>
  <si>
    <t>Sorszám</t>
  </si>
  <si>
    <t>Dátum (tőkefizetés)</t>
  </si>
  <si>
    <t>Tőkeállomány</t>
  </si>
  <si>
    <t>Dátum (kamatfizetés)</t>
  </si>
  <si>
    <t>Hónapok</t>
  </si>
  <si>
    <t>január</t>
  </si>
  <si>
    <t>február</t>
  </si>
  <si>
    <t>március</t>
  </si>
  <si>
    <t>április</t>
  </si>
  <si>
    <t>május</t>
  </si>
  <si>
    <t>június</t>
  </si>
  <si>
    <t xml:space="preserve">július </t>
  </si>
  <si>
    <t>augusztus</t>
  </si>
  <si>
    <t>szeptember</t>
  </si>
  <si>
    <t xml:space="preserve">október </t>
  </si>
  <si>
    <t xml:space="preserve">november </t>
  </si>
  <si>
    <t>december</t>
  </si>
  <si>
    <t>Első törlesztés időpontja</t>
  </si>
  <si>
    <t>ÁFA visszaforgatás</t>
  </si>
  <si>
    <t>támogatás visszaforgatás</t>
  </si>
  <si>
    <t>Kérem válasszon!</t>
  </si>
  <si>
    <t>Folyósítás</t>
  </si>
  <si>
    <t>Türelmi idő,  rész</t>
  </si>
  <si>
    <t>Türelmi idő, nap</t>
  </si>
  <si>
    <t xml:space="preserve">Folyósítás, igazított: </t>
  </si>
  <si>
    <t xml:space="preserve">Türelmi idő, hó, igazított: </t>
  </si>
  <si>
    <t>Futamidő türelmi idővel</t>
  </si>
  <si>
    <t>Folyósítás fiktív, egész hónapra kerekítve az első törlesztéstől</t>
  </si>
  <si>
    <t>Folyósítás annyiadikán, mint a törlesztés</t>
  </si>
  <si>
    <t>Első időszak ennyi hónap, töredék</t>
  </si>
  <si>
    <t>Ha átcsúszna másik hónapba, hó vége</t>
  </si>
  <si>
    <t xml:space="preserve">Hó vége? </t>
  </si>
  <si>
    <t>Utolsó törlesztési hónap</t>
  </si>
  <si>
    <t>Hónap, tört, diszkontáláshoz</t>
  </si>
  <si>
    <t>Finanszírozott összeg</t>
  </si>
  <si>
    <t>Bejelentési határ ellenőrzés</t>
  </si>
  <si>
    <t>regber</t>
  </si>
  <si>
    <t>KKV ber</t>
  </si>
  <si>
    <t>elsődleges mg</t>
  </si>
  <si>
    <t>mg feldolg</t>
  </si>
  <si>
    <t>max tám számítása R × (A + 0,50 × B + 0 × C)</t>
  </si>
  <si>
    <t>R</t>
  </si>
  <si>
    <t>A</t>
  </si>
  <si>
    <t>B</t>
  </si>
  <si>
    <t>C</t>
  </si>
  <si>
    <t>A pénzügyi intézmény nyilvántartásában a finanszírozási kérelem</t>
  </si>
  <si>
    <t>dátum</t>
  </si>
  <si>
    <t>név</t>
  </si>
  <si>
    <t xml:space="preserve">    nettó pénzigénye </t>
  </si>
  <si>
    <t>MFB Vállalkozásfinanszírozási Program 2020</t>
  </si>
  <si>
    <t>refinanszírozási kamatfelár típusa</t>
  </si>
  <si>
    <t xml:space="preserve">kitöltendő legördülő cella </t>
  </si>
  <si>
    <t>fix</t>
  </si>
  <si>
    <t>MFB finanszírozás</t>
  </si>
  <si>
    <t>TT számításhoz használt árfolyam (előző hónap utolsó napján érvényes EKB EUR devizaközép árfolyam)</t>
  </si>
  <si>
    <t>Az alábbi táblázatok adatait forintban kérjük megadni! A beruházás összes forrása megegyezik az anyagi - műszaki összesen tábla 12. sorával. A táblázatot nem kell kitölteni  a 10.3 hitelcél (Patika Hitelprogram) esetében, iiletve abban az esetben, ha az Adatlapban foglaltakat a pénzügyi intézmény módosítás nélkül elfogadta.</t>
  </si>
  <si>
    <t>Összes elszámolható költség-működési eredmény</t>
  </si>
  <si>
    <t xml:space="preserve"> számítása a 'pénzügyi segédtáblák' használatával</t>
  </si>
  <si>
    <t>EKB Link</t>
  </si>
  <si>
    <t>MNB Link</t>
  </si>
  <si>
    <t>Balloon</t>
  </si>
  <si>
    <t>sorszám</t>
  </si>
  <si>
    <t>normál (3)</t>
  </si>
  <si>
    <t>balloonnal (1)</t>
  </si>
  <si>
    <t>ÁFA-val (2)</t>
  </si>
  <si>
    <t>Alprogram neve</t>
  </si>
  <si>
    <t xml:space="preserve">Program neve: </t>
  </si>
  <si>
    <t>A Program neve</t>
  </si>
  <si>
    <t>MFB Lízing Refinanszírozási Program</t>
  </si>
  <si>
    <t>MFB Pénzügyi Vállalkozás Refinanszírozási Konstrukció II.</t>
  </si>
  <si>
    <t>színkódok</t>
  </si>
  <si>
    <t>bővítésre</t>
  </si>
  <si>
    <t>Az igényelt finanszírozási alapadatai</t>
  </si>
  <si>
    <t>Program Választó és alapadatok</t>
  </si>
  <si>
    <t>Kérjük olvassa el!</t>
  </si>
  <si>
    <t>Kérdés esetén, forduljon hozzánk vagy kijelölt partnerünkhöz bizalommal!</t>
  </si>
  <si>
    <t>MFB NHP Fix Lízing Refinanszírozási Program</t>
  </si>
  <si>
    <t>A finanszírozási típusa</t>
  </si>
  <si>
    <t>Árazás</t>
  </si>
  <si>
    <t>Devizanem linkek</t>
  </si>
  <si>
    <t>EURIBOR</t>
  </si>
  <si>
    <t>BUBOR</t>
  </si>
  <si>
    <t>Refinanszírozási kamatfelár típusa</t>
  </si>
  <si>
    <t>A közterület jellege</t>
  </si>
  <si>
    <t>Program</t>
  </si>
  <si>
    <t>Alprogram</t>
  </si>
  <si>
    <t>Finanszírozás típusa</t>
  </si>
  <si>
    <t>HUF/EUR</t>
  </si>
  <si>
    <t>BUBOR/EURIBOR</t>
  </si>
  <si>
    <t>Fix/változó kamatfelár</t>
  </si>
  <si>
    <t>Ár</t>
  </si>
  <si>
    <t>a</t>
  </si>
  <si>
    <t>3 havi BUBOR</t>
  </si>
  <si>
    <t>változó</t>
  </si>
  <si>
    <t>3 havi EURIBOR</t>
  </si>
  <si>
    <t>b</t>
  </si>
  <si>
    <t>c</t>
  </si>
  <si>
    <t>d</t>
  </si>
  <si>
    <t>e</t>
  </si>
  <si>
    <t>f</t>
  </si>
  <si>
    <t>NR</t>
  </si>
  <si>
    <t>Igényelt finanszírozás támogatási kategóriája</t>
  </si>
  <si>
    <t>energiahatékonysági intézkedésekhez nyújtott beruházási támogatás</t>
  </si>
  <si>
    <t>megújuló energiatermelésre irányuló beruházási támogatás</t>
  </si>
  <si>
    <t>Egyéb paraméterek</t>
  </si>
  <si>
    <t>Lízing esetén gépek kategóriája</t>
  </si>
  <si>
    <t>standard</t>
  </si>
  <si>
    <t>egyedi VVG nélkül</t>
  </si>
  <si>
    <t>egyedi VVG-vel</t>
  </si>
  <si>
    <t>Eredményterv fül kitöltése</t>
  </si>
  <si>
    <t>Referenciaráta számítás</t>
  </si>
  <si>
    <t>Visszafizetési idő</t>
  </si>
  <si>
    <t>Ütemezés</t>
  </si>
  <si>
    <t>hónapok száma</t>
  </si>
  <si>
    <t>rentrathó</t>
  </si>
  <si>
    <t>futamidő</t>
  </si>
  <si>
    <t>árfolyam</t>
  </si>
  <si>
    <t>A beruházást megkezdték?</t>
  </si>
  <si>
    <t>Háttérfejlesztési oldal</t>
  </si>
  <si>
    <t>tér</t>
  </si>
  <si>
    <t>Kérdések</t>
  </si>
  <si>
    <t>Válasz</t>
  </si>
  <si>
    <t>A vállalkozás egy és ugyanazon vállalkozásaival együtt számítva rendelkezik elegendő szabad csekély összegű támogatási kerettel?</t>
  </si>
  <si>
    <t>A vállalkozás mérete?</t>
  </si>
  <si>
    <t>A vállalkozás képes és hajlandó minden állami támogatástól mentesen 25%-os saját erőt fizetni?</t>
  </si>
  <si>
    <t>Kérdésekre válaszok</t>
  </si>
  <si>
    <t>igen</t>
  </si>
  <si>
    <t>nem</t>
  </si>
  <si>
    <t>TEÁOR’08 011-015</t>
  </si>
  <si>
    <t>TEÁOR’08 031-032</t>
  </si>
  <si>
    <t>A vállalkozás fő tevékenysége/tevékenységei között szerepel …</t>
  </si>
  <si>
    <t>mikro</t>
  </si>
  <si>
    <t>nagyvállalat</t>
  </si>
  <si>
    <t>A beruházás az alábbi listában nem található közép magyarországi településen valósul meg?</t>
  </si>
  <si>
    <t>Hévízgyök</t>
  </si>
  <si>
    <t>Nagykörős</t>
  </si>
  <si>
    <t>Váskisújfalu</t>
  </si>
  <si>
    <t>Verseg</t>
  </si>
  <si>
    <t>Támogatási kategóriák</t>
  </si>
  <si>
    <t>Lehetséges támogatási kategóriák</t>
  </si>
  <si>
    <t>Min. és max. összeg</t>
  </si>
  <si>
    <t>3000000000</t>
  </si>
  <si>
    <t>Min</t>
  </si>
  <si>
    <t>Max</t>
  </si>
  <si>
    <t>5000000000</t>
  </si>
  <si>
    <t>150000000</t>
  </si>
  <si>
    <t>1000000000</t>
  </si>
  <si>
    <t>10000000000</t>
  </si>
  <si>
    <t>15000000</t>
  </si>
  <si>
    <t>Nyilvántartási száma/Szerződésszáma</t>
  </si>
  <si>
    <t>Tőkefizetés és kamatfizetés üteme</t>
  </si>
  <si>
    <t>Tőkefizetés</t>
  </si>
  <si>
    <t>Kamatfizetés</t>
  </si>
  <si>
    <t>Kiválasztott tőkefizetési gyakoriság</t>
  </si>
  <si>
    <t>Tőkefizetési gyakoriság  bejelölt hónapok alapján</t>
  </si>
  <si>
    <t>hrsz.</t>
  </si>
  <si>
    <t>Immateriális javak</t>
  </si>
  <si>
    <t>Ingatlan vásárlás</t>
  </si>
  <si>
    <t>Ingatlan építés</t>
  </si>
  <si>
    <t>Ingatlan felújítás, korszerűsítés</t>
  </si>
  <si>
    <t>Gépek, berendezések vásárlása</t>
  </si>
  <si>
    <t>Egyéb, a beruházáshoz kapcsolódó, aktiválható költség</t>
  </si>
  <si>
    <t>Beruházáshoz közvetlenül kapcsolódó tartós forgóeszköz</t>
  </si>
  <si>
    <t>Önálló forgóeszköz</t>
  </si>
  <si>
    <t xml:space="preserve">A beruházás összes aktiválható költsége,                                                                                                                                                                  </t>
  </si>
  <si>
    <t xml:space="preserve">visszaigényelhető áfa </t>
  </si>
  <si>
    <t xml:space="preserve">Egyéb, nem aktiválható költségek </t>
  </si>
  <si>
    <t xml:space="preserve">A beruházás összes (bruttó) pénzigénye </t>
  </si>
  <si>
    <t>A csomagban a kékkel jelölt cellákat kell kitölteni! A fehér hátterű cellák nem módosíthatóak, a szürke hátterüek pedig fontos információkat tartalmaznak, a piros színnel írt információk figyelmeztetések, kérem figyelmesen olvassa el őket!</t>
  </si>
  <si>
    <t>anyja neve (egyéni vállalkozó, őstermelő esetében)</t>
  </si>
  <si>
    <t>születési helye (egyéni vállalkozó, őstermelő esetében)</t>
  </si>
  <si>
    <t>születési ideje (egyéni vállalkozó, őstermelő esetében)</t>
  </si>
  <si>
    <t>A vállalkozás székhelye                                                              Az egyéni vállalkozó, őstermelő, magánszemély lakcíme</t>
  </si>
  <si>
    <t>kapcsolattartó e-mail címe</t>
  </si>
  <si>
    <t>kapcsolattartó telefonszáma (körzetszámmal)</t>
  </si>
  <si>
    <t>kapcsolattartó neve</t>
  </si>
  <si>
    <t>a vállalkozás e-mail címe</t>
  </si>
  <si>
    <t>a vállalkozás központi telefonszáma</t>
  </si>
  <si>
    <t>adószám</t>
  </si>
  <si>
    <t>egyéni vállalkozói, őstermelői igazolvány száma</t>
  </si>
  <si>
    <t>egyéni vállalkozó nyilvántartási száma</t>
  </si>
  <si>
    <t>a vállalkozás 2004. évi XXXIV. Törvény szerint</t>
  </si>
  <si>
    <t>a vállalkozás gazdálkodási formája</t>
  </si>
  <si>
    <t xml:space="preserve">kisvállalkozás </t>
  </si>
  <si>
    <t>betéti társaság</t>
  </si>
  <si>
    <t>részvénytársaság</t>
  </si>
  <si>
    <t>közkereseti társaság</t>
  </si>
  <si>
    <t>egyéni vállalkozás</t>
  </si>
  <si>
    <t>egyéni cég</t>
  </si>
  <si>
    <t>A vállalkozás ÁFA nyilatkozata</t>
  </si>
  <si>
    <t>A vállalkozás nem alanya az áfának. Az elszámolásnál az áfával növelt (bruttó) összeg kerül figyelembevételre.</t>
  </si>
  <si>
    <t>A vállalkozás az egyszerűsített vállalkozói adóról szóló 2002. évi XLIII. törvény hatály alá tartozik. Az elszámolásnál az áfával növelt (bruttó) összeg kerül figyelembevételre.</t>
  </si>
  <si>
    <t>A vállalkozás alanya az áfának. Az elszámolásnál az áfa nélküli (nettó) összköltség kerül figyelembevételre.</t>
  </si>
  <si>
    <t>A vállalkozás alanya az áfának és a kölcsönszerződéshez kapcsolódóan arányosítással állapítja meg visszaigényelendő áfa összegét. Az elszámolásnál az arányosítás számítását mellékelni kell. Az áfa ebben az esetben az arányosítással korrigált értékben vehető figyelembe.</t>
  </si>
  <si>
    <t>A vállalkozás alanya az áfának, azonban az ügylet teljes egészében az általános forgalmi adóról szóló 2007. évi CXXVII. törvény (áfa tv.) 85-86. § alá tartozó, áfa mentes tevékenységhez kapcsolódik és a levonható áfát az áfa tv. 123. § (1) bekezdése alapján a tételes elkülönítés szabályai szerint állapítja meg. Az elszámolásnál az áfával növelt (bruttó) összeg kerül figyelembevételre.</t>
  </si>
  <si>
    <t>Tudomásul veszem, hogy</t>
  </si>
  <si>
    <t>–  a vállalkozásnak, valamint a vállalkozással egy  és ugyanazon vállakozásnak minősülő vállakozásoknak a finanszírozási kérelem benyújtásának évében és az azt megelőző két pénzügyi évben csekély összegű (mezőgazdasági, halászati, vagy általános), illetve a finanszírozás célját képező beruházás megvalósításához más állami vagy uniós forrásból juttatott támogatást a jelen kedvezményes kamatozású finanszírozás folyósítása során figyelembe kell venni. Az így halmozott támogatások támogatástartalma, illetve támogatási intenzitása nem haladhatja meg az irányadó közösségi jogszabályokban meghatározott mértéket,</t>
  </si>
  <si>
    <t>–  jogerős határozattal megállapított köztartozás esetén a köztartozás megfizetéséig támogatás nem illet meg, az esedékes támogatás folyósítása a 368/2011. (XII. 31.) Kormány rendelet 90. § (1) bekezdése szerint felfüggesztésre kerül, illetve az államháztartásról szóló 2011. évi CXCV. törvény 51. § (2) bekezdése alapján az esedékes támogatás a köztartozások megfizetése érdekében – a támogatás ellenében vállalt kötelezettségeket nem érintő módon – visszatartásra kerülhet.</t>
  </si>
  <si>
    <t>– a köztartozások figyelemmel kísérése érdekében az adószámomat vagy adóazonosító jelemet, a társadalombiztosítási azonosító jelemet társadalombiztosítási folyószámlámat a Magyar Államkincstár, illetve a támogatást nyújtó szerv és a Magyar Államkincstár felhasználja a lejárt köztartozások teljesítése, illetve az adósság bekövetkezése tényének és összegének megismeréséhez.</t>
  </si>
  <si>
    <t>Kijelentem, hogy</t>
  </si>
  <si>
    <t>– jelen finanszírozási kérelem benyújtását megelőzően a kérelemben szereplő finanszírozási célhoz más állami forrásokból, célelőirányzatokból, illetve jogszabályok alapján támogatás(ok)ban az állami és/vagy uniós forrásból származó támogatásokról szóló nyilatkozat szerint részesültem (ideértve a területfejlesztési tanácsok rendelkezési jogkörében eldöntött támogatásokat, valamint az államközi szerződés alapján külföldi segélyekből kapott támogatások összegét is).</t>
  </si>
  <si>
    <t>– a támogatás kedvezményezettjének neve, címe, a támogatás tárgya, a támogatás összege és aránya, a beruházás megvalósítási helye nyilvánosságra hozható, továbbá az interneten megjelentethető,</t>
  </si>
  <si>
    <t>– a köztartozások figyelemmel kísérése érdekében az államháztartásról szóló 2011. évi CXCV. törvény 51. §-ának (2) bekezdése és a 368/2011. (XII. 31.) Korm. rendelet 90. § (1) bekezdésében foglaltak szerint az adószámomat vagy adóazonosító jelemet, a társadalombiztosítási azonosító jelemet társadalombiztosítási folyószámlámat a Magyar Államkincstár, illetve a támogatást nyújtó szerv és a Magyar Államkincstár felhasználja a lejárt köztartozások teljesítése, illetve az adósság bekövetkezése tényének és összegének megismeréséhez.</t>
  </si>
  <si>
    <t>a kedvezményes forrással és biztosítékokkal kapcsolatos jogszabályi előírásokat ismerem, továbbá tartózkodom minden olyan magatartástól, amely fedezetlevonásnak minősül vagy a fedezet értékét csökkenti.</t>
  </si>
  <si>
    <t>Felelősségem tudatában kijelentem és igazolom, hogy</t>
  </si>
  <si>
    <t xml:space="preserve">a finanszírozási kérelemben foglalt adatok, információk és dokumentumok teljes körűek, valódiak és hitelesek. Az adatokban, a vállalkozás helyzetében bekövetkezett, a finanszírozási cél megvalósítását befolyásoló változtatásokról a finanszírozó pénzügyi intézményt haladéktalanul értesítem. Tudomásul veszem, hogy a fentiek elmaradása esetében a finanszírozó pénzügyi intézménynek jogában áll a lízingszerződést/kölcsönszerződést azonnali hatállyal felmondani. </t>
  </si>
  <si>
    <t>kiválasztott Program</t>
  </si>
  <si>
    <t>MFB NHP Fix Lízing Refinanszírozási Program/MFB Lízing Refinanszírozási Program nyilatkozatok</t>
  </si>
  <si>
    <t>Bünetetőjogi felelősségem tudatában, mint a finanszírozást igénylő vállalkozás kijelentem az alábbiakat:</t>
  </si>
  <si>
    <t>– a kiválasztott Program Termékleírását megismertem, az abban foglalt feltételeknek megfelelek, és az abban foglaltakat kötelezőnek ismerem el,</t>
  </si>
  <si>
    <t>– a vállalkozás nem áll jogerős végzéssel elrendelt csőd-, felszámolási vagy végelszámolási, vagy egyéb - a megszüntetésére irányuló, jogszabályban meghatározott – eljárás alatt, illetve nem felel meg azon feltételeknek, amelyek alapján kérelmére felszámolási eljárás alá vonható lenne, és/vagy kiegyenlítetlen lejárt köztartozása sincs (kivéve, amennyiben az adóhatóság számára fizetési halasztást vagy részletfizetést engedélyezett)</t>
  </si>
  <si>
    <t>– amennyiben nem Projektcég a Lízinget/Kölcsönt felvevő, a vállalkozás a lízingszerződés/kölcsönszerződés megkötésének idején az üzletszerű működéshez szükséges jogerős hatósági engedélyekkel rendelkezik</t>
  </si>
  <si>
    <t>– a vállalkozás nem szolgáltatott a finanszírozási kérelem szakmai, pénzügyi tartalmát érdemben befolyásoló valótlan, hamis vagy megtévesztő adatot és ilyen nyilatkozatot sem tett és/vagy megadta / nem tagadta meg a kért adatszolgáltatást, nyilatkozat kitöltését</t>
  </si>
  <si>
    <t>– a vállalkozásnak harmadik személy felé nem áll fenn olyan kötelezettsége, amely a Lízingből/Kölcsönből megvalósítandó Beruházás céljának, illetve a további finanszírozási célok megvalósulását meghiúsíthatja</t>
  </si>
  <si>
    <t>– a vállalkozással szemben a bíróság nem rendelte el jogerősen büntetőjogi intézkedésként tevékenységének korlátozását</t>
  </si>
  <si>
    <t>– harmadik személy felé olyan kötelezettsége nem áll fenn, amely a Lízingből/Kölcsönből megvalósítandó finanszírozási célok megvalósulását meghiúsíthatja;</t>
  </si>
  <si>
    <t>– a vállalkozás a Termékleírásban meghatározott kritériumok alapján KKV-nak minősül,</t>
  </si>
  <si>
    <t>– a cégbíróságon be vagyok jegyezve</t>
  </si>
  <si>
    <t xml:space="preserve">– a Vállalkozás nem áll jogerős végzéssel elrendelt csőd-, felszámolási vagy végelszámolási, vagy egyéb - a megszüntetésére irányuló, jogszabályban meghatározott – eljárás, vagy végrehajtás alatt áll, illetve nem felel meg azon feltételeknek, amelyek alapján hitelezői kérelmére felszámolás alá vonható lenne, és kiegyenlítetlen lejárt köztartozása sincs (kivéve, amennyiben az adóhatóság számára fizetési halasztást vagy részletfizetést engedélyezett) </t>
  </si>
  <si>
    <t>– tevékenységemet nem függesztettem fel, illetve nem függesztették fel,</t>
  </si>
  <si>
    <t xml:space="preserve">– hamis adatszolgáltatás miatt nem zártak ki állami vagyon hasznosítására irányuló korábbi - három évnél nem régebben lezárult – eljárásból, </t>
  </si>
  <si>
    <t>– az általam közölt tények, adatok, információk teljes mértékben megfelelnek a valóságnak,</t>
  </si>
  <si>
    <t>– a hitelkérelem benyújtásának időpontjában nem állok végrehajtási eljárás alatt,</t>
  </si>
  <si>
    <t>– a hitelkérelem benyújtásának időpontjában lejárt esedékességű adó- vagy adók módjára behajtható köztartozásom nincs (ide nem értve, ha az adóhatóság számomra fizetési halasztást vagy részletfizetést engedélyezett),</t>
  </si>
  <si>
    <t>– a hitelkérelem benyújtásának időpontjában hitelszerződésből, bankgarancia megbízási szerződésből, vagy lízingszerződésből eredő lejárt tartozásom nem áll fenn,</t>
  </si>
  <si>
    <t>– a hitelkérelem benyújtását megelőzően minden, az államháztartás alrendszereiből, az Európai Unió előcsatlakozási eszközeiből, vagy a strukturális alapokból juttatott támogatással összefüggésben, a támogatási szerződésben vállalt kötelezettségemet teljesítettem,</t>
  </si>
  <si>
    <t>– nincs olyan, az Európai Bizottságnak valamely támogatás visszafizetését elrendelő határozata által érintett és tiltottnak minősített támogatás, amelyet nem fizettem vissza,</t>
  </si>
  <si>
    <t>– a tevékenység folytatásához szükséges valamennyi hatósági engedéllyel rendelkezem,</t>
  </si>
  <si>
    <t>– adószámom nincs felfüggesztve,</t>
  </si>
  <si>
    <t xml:space="preserve">– főtevékenységem nem
• fegyver-, lőszergyártás (TEÁOR’03 29.60, TEÁOR’08 25.40), 
• szerencsejáték, fogadás (TEÁOR’03 92.71, TEÁOR’08 92.00), 
• katonai harcjármű-gyártás (TEÁOR’08 30.40),
• dohánytermesztés, dohánytermék gyártása, forgalmazása (TEÁOR’08 0115, 1200, 4635, 4639, 4726)
• egyéb személyi szolgáltatás (TEÁOR’08 9609)
• pénzügyi közvetítés (TEÁOR’08 6411-6630)
</t>
  </si>
  <si>
    <t>– nem vagyok egyetlen hitelintézet vagy pénzügyi vállalkozás kapcsolt vállalkozása sem a 2000. évi C. törvény (Szmt.) szerint,</t>
  </si>
  <si>
    <t>– egyetlen – a velem a CRR 4. cikk 39. pontja alapján ügyfélcsoportot képező - vállalkozás sem áll jogerős végzéssel elrendelt csőd-, felszámolási, vagy egyéb - a megszüntetésére irányuló, jogszabályban meghatározott – eljárás, vagy végrehajtás alatt, és adószáma sem került felfüggesztésre,</t>
  </si>
  <si>
    <t xml:space="preserve">– a finanszírozást nem visszaigényelhető általános forgalmi adó (ÁFA), vám, illeték finanszírozására használom fel, kivéve, ha ÁFA visszaigénylésére nem vagyok jogosult; </t>
  </si>
  <si>
    <t xml:space="preserve">– a finanszírozást nem más hitel, lízing kiváltására, üzletrész, részvény, illetve más társasági részesedés vásárlására használom fel; </t>
  </si>
  <si>
    <t>– a finanszírozást nem a hiteldöntés napján fizikailag már lezárt (befejezett) vagy teljes mértékben (fizikailag és pénzügyileg is) végrehajtott beruházás finanszírozására használom fel;</t>
  </si>
  <si>
    <t>– finanszírozást nem olyan feltétellel használom fel, amely az európai uniós jog megsértését eredményezi,</t>
  </si>
  <si>
    <t>– a Termékleírásban meghatározott - mértékű saját erővel rendelkezem.</t>
  </si>
  <si>
    <t>– amennyiben ÁFA visszaigénylésre jogosult vagyok, rendelkezem az ÁFA megfizetéséhez szükséges forrással.</t>
  </si>
  <si>
    <t>– bérelt ingatlan esetében a bérleti szerződés kizárólagos joggal biztosítja a beruházás üzemeltetésének lehetőségét.</t>
  </si>
  <si>
    <t>MFB Vállalkozásfinanszírozás 2020 Program</t>
  </si>
  <si>
    <t>– a finanszírozási kérelem időpontjában vállalkozás nem áll jogerős végzéssel elrendelt csőd-, felszámolási vagy végelszámolási, vagy egyéb - a megszüntetésére irányuló, jogszabályban meghatározott – eljárás alatt, illetve nem felel meg azon feltételeknek, amelyek alapján kérelmére felszámolási eljárás alá vonható lenne, és/vagy kiegyenlítetlen lejárt köztartozása sincs (kivéve, amennyiben az adóhatóság számára fizetési halasztást vagy részletfizetést engedélyezett)</t>
  </si>
  <si>
    <t>– a finanszírozási kérelem időpontjában lejár esedékességű, adó- vagy adók módjára behajtható köztartozásom nincs kivéve, ha adóhatóság számomra fizetési halasztást vagy részletfizetést engedélyezett,</t>
  </si>
  <si>
    <t>– a finanszírozási kérelem időpontjában hitelszerződésből vagy garancia-szerződésből eredő lejárt tartozásom nem áll fenn,</t>
  </si>
  <si>
    <t>– a tevékenység folytatásához szükséges hatósági engedélyekkel rendelkezem,</t>
  </si>
  <si>
    <t>– az Európai Bizottság valamely támogatás visszafizetésére határazata által érintett és tiltottnak minősített támogatását visszafizettem,</t>
  </si>
  <si>
    <t xml:space="preserve">– a finanszírozási kérelem időpontját megelőzően az államháztartás alrendszereiből, a Strukturális Alapok (2014-2020)-ból, vagy a Kohéziós Alapból jutatott valamely támogatással összefüggésben a támogatási szerződésben vállalt kötelezettségemet teljesítettem. </t>
  </si>
  <si>
    <t>– nagyvállalkozás esetében a vállalkozás hitelminősítése eléri az Európai Bizottság 2008/C14/02 számú közleménye szerinti "Gyenge (B)" hitelminősítési kategóriát,</t>
  </si>
  <si>
    <t>– a bérelt ingatlan esetében a bérleti szerződés kizárólagos joggal biztosítja a beruházás üzemeltetésének lehetőségét,</t>
  </si>
  <si>
    <t>– osztatlan közös tulajdonban álló ingatlanon megvalósuló beruházás esetén csatoltam a tulajdonostársak között közokiratba vagy teljes bizonyító erejű magánokiratba foglalt használat megállapodást és az ahhoz tartozó használati megosztásra vonatkozó vázrajzot.</t>
  </si>
  <si>
    <t>Patika Hitelprogram</t>
  </si>
  <si>
    <t>– nem állok a gyógyszerészi foglalkozástól való eltiltás hatálya alatt,</t>
  </si>
  <si>
    <t>– eleget tettem az előírt határidőben az Európai Bizottság állami támogatás felfüggesztését, vagy állami támogatás visszafizetését elrendelő határozatának, illetve ilyen határozattal nem vagyok érintett,</t>
  </si>
  <si>
    <t>– olyan gyógyszertárat működtető gazdasági társaságban kívánok tulajdonhányadot szerezni, amely a hitelkérelemem benyújtásának időpontjában:
* lejárt esedékessű, adó- vagy adók módjára behatjható köztartozással nem rendelkezik, illetve az adóhatóság a számára fizetési halasztást vagy részletfizetést engedélyezett, továbbá;
*a hitel-, kölcsön- vagy lízingszerződésből eredő lejárt tartozással nem rendelkezik,</t>
  </si>
  <si>
    <t>– a Patika Hitelprogram keretében kedvezményes hitelben/kölcsölben és kamattámogatásban még nem részesültem, illetve a Patika Hitelprogram keretében kedveményes hitelben/kölcsönben és kamattámogatásban ugyanezen gyógyszertár vonatkozásában 1 (egy) alkalommal már részesültem, és a Gyftv. 74. § (1) bekezdésében és a 83/A. §-ában foglalt feltétel teljesítése érdekében, az 50%-ot meghaladó tulajdonhányad elérése céljából veszem fel ezt az újabb hitelt/kölcsönt a kamattámogatással,</t>
  </si>
  <si>
    <t>MFB Kisfaludy Turizmus-fejlesztési Hitelprogram</t>
  </si>
  <si>
    <t xml:space="preserve">– az Európai Bizottság valamely támogatás visszafizetésére kötelező határozata által érintett és a tiltottnak minősített támogatását visszafizettem,  </t>
  </si>
  <si>
    <t>A közforgalmú gyógyszertárakban a gyógyszerészi tulajdonarány növelésének elősegítéséről szóló 212/2013. (VI.19) Korm. Rendelet értelmében az MFB Vállalkozásfinanszírozási Program 2020 Patika Hitelprogramja keretében igényelt hitellel/kölcsönnel és kamattámogatással kapcsolatban,</t>
  </si>
  <si>
    <t>helyi infrastruktúrára irányuló támogatás</t>
  </si>
  <si>
    <t>választottam finanszírozási/támogatási kategóriát</t>
  </si>
  <si>
    <t>Támogatási kategóriák Programok szerint</t>
  </si>
  <si>
    <t>A kiválasztott Programban elérhető támogatási kategóriák</t>
  </si>
  <si>
    <t>Előjel függvény segédtábla</t>
  </si>
  <si>
    <t>– a finanszírozást nem visszaigényelhető általános forgalmi adó (ÁFA), vám, illeték finanszírozására használja fel, kivéve, ha ÁFA visszaigénylésére nem jogosult;</t>
  </si>
  <si>
    <t>– a finanszírozást nem a finanszírozásról szóló döntés napján fizikailag már lezárt (befejezett) vagy teljes mértékben (fizikailag és pénzügyileg is) végrehajtott beruházás finanszírozására használja fel;</t>
  </si>
  <si>
    <t>– a finanszírozást nem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használja fel,</t>
  </si>
  <si>
    <t xml:space="preserve">– a finanszírozást nem visszaigényelhető általános forgalmi adó (ÁFA) finanszírozására használom fel, kivéve, ha ÁFA visszaigénylésére nem vagyok jogosult; </t>
  </si>
  <si>
    <t>– a finanszírozást nem olyan feltétellel használja fel, amely az európai uniós jog megsértését eredményezi,</t>
  </si>
  <si>
    <t>– a finanszírozást nem az 1379/2013/EU rendelet  szerinti halászati és akvakultúra ágazattal kapcsolatos tevékenység finanszírozására,</t>
  </si>
  <si>
    <t>– a finanszírozást nem mezőgazdasági termékek elsődleges termelésével kapcsolatos tevékenység finanszírozására,</t>
  </si>
  <si>
    <t>– a finanszírozást nem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*amennyiben a támogatás feltétele az elsődleges termelőknek történő teljes, vagy részleges továbbadás;</t>
  </si>
  <si>
    <t>– a finanszírozást nem teherszállító járművek megvásárlására használja fel, amennyiben közúti kereskedelmi árufuvarozást ellenszolgáltatás fejében történő végző vállalkozásnak minősül.</t>
  </si>
  <si>
    <t xml:space="preserve">– a finanszírozást nem a finanszírozásról szóló döntés napján fizikailag már lezárt (befejezett) vagy teljes mértékben (fizikailag és pénzügyileg is) végrehajtott beruházás finanszírozására használom fel; </t>
  </si>
  <si>
    <t>– a finanszírozást nem a harmadik országokba vagy tagállamokba irányuló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t>
  </si>
  <si>
    <t>– a finanszírozást nem olyan feltétellel használom fel, amely az európai uniós jog megsértését eredményezi,</t>
  </si>
  <si>
    <t xml:space="preserve">– a finanszírozást nem használom fel visszaigényelhető általános forgalmi adó (ÁFA) finanszírozására, kivéve, ha ÁFA visszaigénylésére nem vagyok jogosult; </t>
  </si>
  <si>
    <t xml:space="preserve">– a finanszírozást nem használom fel más hitel, lízing kiváltására, üzletrész, részvény, illetve más társasági részesedés vásárlására; </t>
  </si>
  <si>
    <t xml:space="preserve">– a finanszírozást nem használom fel finanszírozásról szóló döntés napján fizikailag már lezárt (befejezett) vagy teljes mértékben (fizikailag és pénzügyileg is) végrehajtott beruházás finanszírozására; </t>
  </si>
  <si>
    <t xml:space="preserve">– a finanszírozást nem használom fel forgóeszköz finanszírozáshoz </t>
  </si>
  <si>
    <t>– a finanszírozást nem használom fel exporttal kapcsolatos tevékenységhez, ahol a támogatás az exportált mennyiségekhez, értékesítési hálózat kialakításához és működtetéséhez vagy az exporttevékenységgel összefüggésben felmerülő egyéb folyó kiadásokhoz közvetlenül kapcsolódik,</t>
  </si>
  <si>
    <t>– a finanszírozást nem használom fel olyan feltétellel, amely az európai uniós jog megsértését eredményezi,</t>
  </si>
  <si>
    <t>– a finanszírozást nem használom fel termelési jogok, támogatási jogosultságok és egynyári növények vásárlására</t>
  </si>
  <si>
    <t>– a finanszírozást nem használom fel egynyári növények telepítésére</t>
  </si>
  <si>
    <t>– a finanszírozást nem használom fel vízelvezetési munkálatokhoz</t>
  </si>
  <si>
    <t>– finanszírozást nem használom fel  állatok vásárlására, kivéve a természeti katasztrófák, természeti katasztrófához hasonlítható kedvezőtlen éghajlati jelenségek, állatbetegségek vagy növénykárosítók által károsított termelési potenciál helyreállítása, vagy károkozás megelőzése esetén</t>
  </si>
  <si>
    <t>– a finanszírozást nem használom fel uniós szabványoknak való megfelelést szolgáló beruházás megvalósítására (kivéve, ha fiatal mezőgazdasági termelő vagyok, és gazdálkodói tevékenységemet 24 hónapnál nem régebben kezdtem meg);</t>
  </si>
  <si>
    <t>– a finanszírozást nem használom fel az 1308/2013/EU európai parlamenti és tanácsi rendeletben megállapított valamely tiltás vagy korlátozás - ide értve a kizárólag az 1308/2013/EU európai parlamenti és tanácsi rendeletben szabályozott uniós támogatásra vonatkozó esetet is – megszegésével.</t>
  </si>
  <si>
    <t>Az alábbiak közül legalább egy állítás kiválasztásával nyilatkozom, hogy a beruházás a 702/2014/EU rendelet 14. cikkének a 3. bekezdésében meghatározott az alábbi célkitűzések egyikéhez kapcsolódik:</t>
  </si>
  <si>
    <t>3a) a mezőgazdasági üzem összteljesítményének és fenntarthatóságának javítása</t>
  </si>
  <si>
    <t>3b) a természeti környezet minőségének, a higiéniai körülményeknek vagy az állatjólét színvonalának javítása, feltéve, hogy az érintett beruházás normái szigorúbbak a hatályos uniós előírásoknál</t>
  </si>
  <si>
    <t>3c) a mezőgazdaság fejlesztéséhez, átalakításához és korszerűsítéséhez – többek között a mezőgazdasági földterületekhez való hozzáféréshez, a birtokrendezéshez és a termőföld minőségének javításához, valamint az energia- és vízellátáshoz és az energia- és víztakarékossághoz – kapcsolódó infrastruktúra kiépítése és fejlesztése</t>
  </si>
  <si>
    <t>3d) agrár-környezetvédelmi, illetve az éghajlattal kapcsolatos célkitűzések teljesítése, a biológiai sokféleséggel összefüggésben a fajok és az élőhelyek védettségi állapotának megőrzése, illetve valamely Natura 2000 terület vagy egyéb, a Vidékfejlesztési Programban meghatározott, jelentős természeti értéket képviselő rendszer közjóléti értékének növelése, feltéve, hogy a beruházás nem termelési célra irányul,</t>
  </si>
  <si>
    <t>3e) a természeti katasztrófák, természeti katasztrófához hasonlítható kedvezőtlen éghajlati jelenségek, állatbetegségek vagy növénykárosítók által károsított termelési potenciál helyreállítása, vagy  károkozás megelőzése.</t>
  </si>
  <si>
    <t>– a környezeti hatásvizsgálati és az egységes környezethasználati engedélyezési eljárásról szóló 314/2005. (XII. 25.) Korm. rendelet szerinti eljárás lefolytatásra került.</t>
  </si>
  <si>
    <t>Tudomásul veszem:</t>
  </si>
  <si>
    <t>a beruházást elsődleges mezőgazdasági termeléssel foglalkozó kis- és középvállalkozásként valósítom meg</t>
  </si>
  <si>
    <t>a beruházás olyan tárgyi eszközt, illetve olyan immateriális javat érint, amelyet elsődleges mezőgazdasági termeléssel foglalkozó kis- és középvállalkozás használ</t>
  </si>
  <si>
    <t>Bioüzemanyag vagy a megújuló energiaforrásból származó energia mezőgazdasági üzemen belül történő előállításához kapcsolódó beruházás esetén tudomásul veszem, hogy</t>
  </si>
  <si>
    <t>a) az előállított üzemanyag- vagy energiamennyiség nem lépheti túl a mezőgazdasági üzem átlagos évi üzemanyag- vagy energiafogyasztását,</t>
  </si>
  <si>
    <t>b) bioüzemanyag előállítására irányuló beruházás esetén
ba) az üzemanyag-termelő létesítmény termelési kapacitása nem haladhatja meg a mezőgazdasági üzem átlagos éves közlekedési célú üzemanyag-fogyasztásának megfelelő szintet, és
bb) az előállított bioüzemanyag nem értékesíthető a piacon,</t>
  </si>
  <si>
    <t>c) a mezőgazdasági üzemben hőenergia és villamos energia megújuló forrásból történő előállítására irányuló beruházás esetén
ca) az energiatermelő létesítmény csak a kedvezményezett saját energiaszükségletének fedezésére szolgálhat, és termelési kapacitása nem haladhatja meg a mezőgazdasági üzem és az ahhoz kapcsolódó mezőgazdasági háztartás átlagos éves kombinált hőenergia- és villamosenergia-fogyasztását,
cb) az előállított villamos energia hálózatba történő eladásának mértéke nem lépheti túl az energiatermelő létesítmény átlagos éves fogyasztását, és
cc) az előállított energiának meg kell felelnie a 2009/28/EK európai parlamenti és tanácsi irányelv 17. cikk (2)-(6) bekezdésében meghatározott fenntarthatósági kritériumoknak.</t>
  </si>
  <si>
    <t xml:space="preserve">Tudomásul veszem, hogy:                                         
</t>
  </si>
  <si>
    <t>– ha a beruházást saját bioüzemanyag- és energiaszükségletük fedezése céljából több kedvezményezett hajtja végre, az átlagos éves fogyasztást valamennyi kedvezményezett átlagos éves fogyasztásának összegeként kell meghatározni.</t>
  </si>
  <si>
    <t xml:space="preserve"> – az energiát fogyasztó vagy termelő, valamely megújuló energiához kapcsolódó infrastruktúrára irányuló beruházásnak meg kell felelnie a nemzeti energiahatékonysági szabványoknak.</t>
  </si>
  <si>
    <t>Elsődlegesen biomassza-alapú villamosenergia-termelésre irányuló beruházás esetén kijelentem, hogy a nemzeti előírás szerinti arányban hőenergiát is hasznosítok.</t>
  </si>
  <si>
    <t>Öntözéssel kapcsolatos beruházás esetén kijelentem, hogy a beruházás nem érint olyan felszín alatti vagy felszíni víztestet, amely a vonatkozó vízgyűjtő-gazdálkodási tervben vízmennyiséggel kapcsolatos ok miatt „jó” minősítésnél rosszabb minősítésű, továbbá nem olyan felszín alatti vagy felszíni víztestet érintő beruházást valósítok meg, amely az öntözött területek nettó növekedését eredményezi.</t>
  </si>
  <si>
    <t xml:space="preserve">Az alábbiak közül legalább egy állítás kiválasztásával nyilatkozom, hogy </t>
  </si>
  <si>
    <t>fiatal mezőgazdasági termelő vagyok, vagy olyan mezőgazdasági termelő vagyok, aki a hitelkérelem benyújtásának időpontját megelőző öt évben kezdte meg gazdálkodói tevékenységét.</t>
  </si>
  <si>
    <t>kollektív beruházást hajtok végre (pl. mezőgazdasági termelők egy csoportja által használt raktározási létesítmények, vagy mezőgazdasági termékeknek a forgalmazásra való előkészítésére szolgáló létesítmények, valamint az 1305/2013/EU rendeletben előírt intézkedések közül többre is kiterjedő integrált projektek, beleértve a termelői szervezetek egyesüléséhez kapcsolódókat is)</t>
  </si>
  <si>
    <t>természeti és egyéb sajátos hátrányokkal rendelkező területeken valósítom meg a hitelkérelem tárgyát képező beruházást</t>
  </si>
  <si>
    <t>ez európai innovációs partnerség (EIP) keretében támogatott műveletet hajtok végre (pl. olyan új istálló létesítésére irányuló beruházást, amely lehetővéteszi valamely mezőgazdasági termelőkből, tudósokból, valamint állatjóléti nem kormányzati szervezetek képviselőiből álló operatív csoport által kifejlesztett új állattartási gyakorlat kipróbálását.)</t>
  </si>
  <si>
    <t>természeti környezet minőségének, a higiéniai körülményeknek vagy az állatjólét színvonalának a javítására irányuló beruházást hajtok végre, amely a hatályban lévő uniós előírásokat meghaladó szint eléréséhez vezet, de nem vezet a termelési kapacitások növekedéséhez</t>
  </si>
  <si>
    <t>3d) pont szerinti nem termelő beruházást, vagy 3e) pont szerinti természeti potenciál helyreállítására irányuló beruházást hajtok végre.</t>
  </si>
  <si>
    <t>3e) pont szerinti megelőző intézkedésekkel kapcsolatos beruházást hajtok végre.</t>
  </si>
  <si>
    <t>3e) pont szerinti megelőző intézkedésekkel kapcsolatos beruházást hajtok végre és a beruházást több kedvezményezett közösen valósítja meg.</t>
  </si>
  <si>
    <t>A fentiek egyike sem áll fenn.</t>
  </si>
  <si>
    <t>mezőgazdasági termékek feldolgozása, forgalmazásának támogatása</t>
  </si>
  <si>
    <t>– a finanszírozást nem forgóeszköz finanszírozáshoz használom fel</t>
  </si>
  <si>
    <t>– a finanszírozást nem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t>
  </si>
  <si>
    <t>– a finanszírozást nem a hatályos uniós szabványoknak való megfelelést szolgáló beruházás finanszírozásához használom fel,</t>
  </si>
  <si>
    <t>–a finanszírozást nem az élelmiszeralapú bioüzemanyagok előállításával kapcsolatos beruházás finanszírozásához használom fel</t>
  </si>
  <si>
    <t>– a finanszírozást nem az 1308/2013/EU európai parlamenti és tanácsi rendeletben megállapított valamely tiltás vagy korlátozás - ideértve a kizárólag az 1308/2013/EU európai parlamenti és tanácsi rendeletben szabályozott uniós támogatásra vonatkozó esetet is – megszegésével használom fel.</t>
  </si>
  <si>
    <t>– a beruházás mezőgazdasági termékek feldolgozásához vagy mezőgazdasági termékek forgalmazásához kapcsolódik.</t>
  </si>
  <si>
    <t>Nyilatkozom, hogy:</t>
  </si>
  <si>
    <t>a beruházást termelői szervezetek egyesülése hajtja végre;</t>
  </si>
  <si>
    <t>a beruházás az európai innovációs partnerség keretében valósul meg.</t>
  </si>
  <si>
    <t xml:space="preserve">– a finanszírozást nem használom fel visszaigényelhető általános forgalmi adó (ÁFA), vám, illeték finanszírozására, kivéve, ha ÁFA visszaigénylésére nem vagyok jogosult; </t>
  </si>
  <si>
    <t xml:space="preserve">– a finanszírozást nem használom fel a finanszírozásról szóló döntés napján fizikailag már lezárt (befejezett) vagy teljes mértékben (fizikailag és pénzügyileg is) végrehajtott beruházás finanszírozására; </t>
  </si>
  <si>
    <t>– 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t>
  </si>
  <si>
    <t xml:space="preserve">–  a finanszírozást nem használom fel exporttal kapcsolatos tevékenység finanszírozására </t>
  </si>
  <si>
    <t>– a finanszírozást nem használom fel az 1379/2013/EU rendelet  szerinti halászati és akvakultúra ágazattal kapcsolatos tevékenység finanszírozására,</t>
  </si>
  <si>
    <t>–  a finanszírozást nem használom fel mezőgazdasági termékek elsődleges termelésével kapcsolatos tevékenység finanszírozására,</t>
  </si>
  <si>
    <t>–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t>
  </si>
  <si>
    <t>Kijelentem, hogy:</t>
  </si>
  <si>
    <t>– acélipari tevékenység; hajógyártási tevékenység; szénipari tevékenység; szintetikusszál-ipari tevékenység; ellenszolgáltatásért végzett légi, közúti, vasúti és belvízi úton történő személy- vagy áruszállítási szolgáltatás nyújtsáa, vagy a kapcsolódó infrastruktúra kialakítása; energiatermelési, energiaelosztási tevékenységhez és energetikai célú infrastruktúra létrehozását szolgáló beruházás.</t>
  </si>
  <si>
    <t>– a tervezett beruházás olyan induló beruházásnak minősül, amelyet a 37/2011. (III. 22.) Korm. rendelet (a továbbiakban: Atr.) 25. § (1) bekezdés a)-d) pontja szerinti régióban kis- és középvállalkozás valósít meg.
Induló beruházás az a tárgyi eszközök vagy immateriális javak beszerzésére irányuló beruházás, amely új létesítmény létrehozatalát, meglévő létesítmény kapacitásának bővítését, létesítmény termékkínálatának a létesítményben addig nem gyártott termékekkel történő bővítését vagy egy meglévő létesítmény teljes termelési folyamatának alapvető megváltoztatását eredményezi, valamint a részesedésszerzés kivételével olyan létesítmény eszközeinek az eladótól független harmadik fél beruházó általi felvásárlása, amely létesítmény bezárásra került vagy bezárásra került volna.</t>
  </si>
  <si>
    <t>– az elszámolható költségek összege meghaladja az alapvetően megváltoztatandó eredeti termelési folyamathoz kapcsolódó eszközökre a kérelem benyújtásának adóévét megelőző három adóévben elszámolt terv szerinti értékcsökkenés összegét (a termelési folyamat alapvető megváltozását eredményező beruházás esetén)</t>
  </si>
  <si>
    <t>– meglévő létesítmény termékkínálatának a létesítményben addig nem gyártott termékkel történő bővítését eredményező induló beruházás esetén az elszámolható költségek legalább 200%-kal meghaladják az eredeti tevékenység keretében használt és az új tevékenység keretében is használni tervezett tárgyi eszközöknek és immateriális javaknak a beruházás megkezdése előtti adóévben nyilvántartott könyv szerinti értékét.</t>
  </si>
  <si>
    <t>– Kötelezettséget vállalok arra, hogy a beruházással létrehozott tevékenységet az üzembe helyezés időpontjától számított legalább három évig fenntartom.</t>
  </si>
  <si>
    <t xml:space="preserve">–a finanszírozási kérelem benyújtását megelőző két évben nem valósítottam meg áttelepítést abba a létesítménybe, amelyben a finanszírozási kérelem tárgyát képező induló beruházást meg kívánom valósítani. Továbbá vállalom, hogy a finanszírozási kérelem tárgyát képező induló beruházás befejezését követően két évig nem kerül sor áttelepítésre abba a létesítménybe, amelyben a finanszírozási kérelem tárgyát képező induló beruházást meg kívánom valósítani.
Áttelepítésnek minősül, ha
a) a támogatási kérelmet benyújtó kedvezményezett vagy a kérelmet benyújtó kedvezményezettel egy vállalatcsoportba tartozó vállalkozás azonos vagy hasonló tevékenységet vagy annak egy részét az Európai Gazdasági Térségről szóló megállapodás (EGT megállapodás) egyik szerződő felének területén található létesítményből (eredeti létesítmény) az EGT megállapodás egy másik szerződő felének területén található azon létesítménybe helyezi át, ahol a támogatott beruházásra sor kerül (támogatott létesítmény),
b) az eredeti, valamint a támogatott létesítményben előállított termék vagy nyújtott szolgáltatás legalább részben ugyanazokat a célokat szolgálja és ugyanazon fogyasztói típus keresletét vagy igényeit elégíti ki, és
c) a finanszírozási kérelmet benyújtó kedvezményezett vagy a kérelmet benyújtó kedvezményezettel egy vállalatcsoportba tartozó vállalkozás valamely az EGT-n belüli eredeti létesítményében folytatott azonos vagy hasonló tevékenység körében munkahelyek szűnnek meg.
</t>
  </si>
  <si>
    <t>Tudomásul veszem, hogy:</t>
  </si>
  <si>
    <t>– A tárgyi eszközök bérléséhez kapcsolódó költségek a következő feltételek mellett vehetők figyelembe: földterület, illetve épület esetében a bérleti viszonynak a beruházási projekt várható befejezési időpontját követően három évig fenn kell állnia</t>
  </si>
  <si>
    <t>– Létesítmény eszközeinek megvásárlása esetében csak azon eszközök költségét lehet figyelembe venni, amelyeket a vevőtől független harmadik féltől vásárolnak. Az ügyletet piaci feltételek mellett kell lebonyolítani. Amennyiben az eszközök beszerzéséhez a vásárlást megelőzően már nyújtottak támogatást, ezen eszközök költségeit le kell vonni a létesítmény felvásárlásához kapcsolódó elszámolható költségekből. Ha egy kisvállalkozást az eredeti tulajdonos családtagjai vagy korábbi munkavállalók vesznek át, az eszközöknek a vevőtől független harmadik féltől való megvásárlására vonatkozó feltételnek nem kell teljesülnie. A részesedésszerzés nem minősül induló beruházásnak.</t>
  </si>
  <si>
    <t>– Immateriális javak akkor vehetők figyelembe a beruházási költségek kiszámításához, amennyiben teljesítik a következő feltételeket:
a) kizárólag a beruházás tárgyát képező létesítményben használják fel;
b) amortizálhatóak;
c) a vevőtől független harmadik felektől, piaci feltételek mellett kell azokat megvásárolni; valamint
d) legalább három évig a vállalkozás eszközei között kell szerepelniük, és a jelen hitelből finanszírozott projekthez kell kapcsolódniuk.</t>
  </si>
  <si>
    <t>– A bérköltségeket akkor lehet az elszámolható költségek között feltüntetni, amennyiben teljesülnek az alábbiak: 
a) a beruházási projektnek az előző tizenkét hónap átlagához képest az érintett létesítményben foglalkoztatottak számának nettó növekedését kell eredményeznie, ami azt jelenti, hogy a megszüntetett álláshelyek számát le kell vonni az említett időszak alatt létrehozott álláshelyek számából;
b) minden egyes álláshelyet a munkálatok befejezésétől számított három éven belül be kell tölteni; valamint
c) a beruházás által létrehozott valamennyi munkahelyet az álláshely első betöltése után legalább három évig fenn kell tartani az érintett területen.</t>
  </si>
  <si>
    <t>–  az az előírás, hogy a hitelprogram keretében beszerzett eszköznek újnak kell lennie, nem akadályozza a gyors technológiai változások miatt a fenntartási időszak alatt korszerűtlenné vált vagy meghibásodott tárgyi eszköz cseréjét, ha a fenntartási időszak alatt a gazdasági tevékenység fenntartása az érintett régióban biztosított. A korszerűtlenné vált vagy meghibásodott és támogatásban már részesült tárgyi eszköz cseréjére a fenntartási időszakban a beruházó állami támogatásban nem részesülhet. Az új eszköznek a lecserélt tárgyi eszközzel azonos funkcióval és azonos vagy nagyobb kapacitással kell rendelkeznie, továbbá a gyártási időpontja nem lehet korábbi, mint a lecserélt tárgyi eszközé.</t>
  </si>
  <si>
    <t>– tárgyi eszköz esetén az elszámolható költséget a szokásos piaci áron kell figyelembe venni, ha az a beruházó és a beruházótól nem független harmadik vállalkozás között a szokásos piaci árnál magasabb áron kötött szerződés alapján merült fel.</t>
  </si>
  <si>
    <t xml:space="preserve">–a finanszírozást nem használom fel a finanszírozásról szóló döntés napján fizikailag már lezárt (befejezett) vagy teljes mértékben (fizikailag és pénzügyileg is) végrehajtott beruházás finanszírozására; </t>
  </si>
  <si>
    <t>–a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t>
  </si>
  <si>
    <t>–a finanszírozást nem használom fel olyan feltétellel, amely az európai uniós jog megsértését eredményezi,</t>
  </si>
  <si>
    <t>–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t>
  </si>
  <si>
    <t>– az elszámolható költségek a beruházáshoz kapcsolódó tárgyi eszközök és immateriális javak költségeit, valamint  közvetlenül a beruházási projekt által létrehozott munkahelyek két évre számított, becsült bérköltségét tartalmazzák</t>
  </si>
  <si>
    <t>Továbbá kijelentem, hogy:</t>
  </si>
  <si>
    <t>– ha egy kisvállalkozást az eredeti tulajdonos családtagjai vagy korábbi munkavállalók vesznek át, az eszközöknek a vevőtől független harmadik féltől való megvásárlására vonatkozó feltételnek nem kell teljesülnie. A vállalkozásban történő részesedésszerzés önmagában nem minősül beruházásnak.</t>
  </si>
  <si>
    <t>–  az immateriális javak költsége akkor elszámolható, ha
a) azokat kizárólag a támogatásban részesült létesítményben használják fel,
b) az az Sztv. előírásai szerinti terv szerinti értékcsökkenési leírás alá esik,
c) azokat szokásos piaci feltételek mellett, a vevőtől független harmadik féltől vásárolják meg,
d) azok kis- és középvállalkozás esetén legalább három évig a beruházó eszközei között szerepelnek és ahhoz a projekthez kapcsolódnak, amelyhez a támogatást nyújtották</t>
  </si>
  <si>
    <t>– A közvetlenül a beruházási projekt által létrehozott munkahelyekre vonatkozóan a következő feltételeknek kell teljesülniük: 
a) a munkahelyeket a beruházás befejezésétől számított három éven belül kell létrehozni;
b) az előző tizenkét hónap átlagához képest az érintett létesítményben foglalkoztatottak számának nettó növekedését kell eredményeznie;
c) a létrehozott munkahelyeket az álláshely első betöltésétől számított legalább három évig fenn kell tartani.</t>
  </si>
  <si>
    <t>a kiválasztott Program Termékleírásában meghatározott mértékű saját erővel rendelkezem,</t>
  </si>
  <si>
    <t>amennyiben ÁFA visszaigénylésre jogosult vagyok, rendelkezem az ÁFA megfizetéséhez szükséges forrással.</t>
  </si>
  <si>
    <t>az általam képviselt vállalkozás (a vállalkozással egy és ugyanazon vállalkozásnak* minősülő vállakozás(ok) nélkül) nem részesült.</t>
  </si>
  <si>
    <t>A támogatás összege összesen (EUR):</t>
  </si>
  <si>
    <t>Ft, azaz</t>
  </si>
  <si>
    <t>Euró</t>
  </si>
  <si>
    <t>a vállalkozásommal egy és ugyanazon vállalkozásnak* minősülő más vállalkozás(ok) (ide nem értve a hiteligénylő vállalkozást) nem részesültek.</t>
  </si>
  <si>
    <t>az általam képviselt vállalkozás nem részesült.</t>
  </si>
  <si>
    <t>*A 37/2011. (III. 22.) Korm. Rendelet, ill. az 1407/2013/EU bizottsági rendelet, és a VM Vidékfejlesztési Értesítő 2014/2. számában megjelent tájékoztatás alapján.</t>
  </si>
  <si>
    <t>Nyilatkozom továbbá, hogy a fenti táblázatban megadott állami és/vagy közösségi forrásból származó támogatások igénybevételére megkötött szerződésekben foglalt kötelezettségeimnek és az állami támogatásokra vonatkozó jogszabályokban foglalt rendelkezéseknek maradéktalanul eleget tettem/teszek.</t>
  </si>
  <si>
    <t>Az első oszlopban megjelenő kék cellákhoz tartozó kérdésre legalább egy választ válasszon!</t>
  </si>
  <si>
    <t>Meghatalmazás</t>
  </si>
  <si>
    <t xml:space="preserve">Alulírott, a finanszírozást igénylő vállalkozás képviseletében nyilatkozom, hogy </t>
  </si>
  <si>
    <t>a 37/2011. (III. 22.) Korm. rendelet alapján a vállalkozásnak nem kell nyilatkozatot benyújtania az egy és ugyanazon vállalkozási minőség tárgyában</t>
  </si>
  <si>
    <t>a 37/2011. (III. 22.) Korm. rendelet alapján a vállalkozásnak nyilatkozatot kell benyújtania az egy és ugyanazon vállalkozási minőség tárgyában, a nyilatkozattételi kötelezettségemet az "egy és ugyanazon vállalkozás" minőségről, valamint az alkalmazott üzleti évről történő nyilatkozattételi kötelezettségről szóló mindenkor hatályos Kincstári közlemény mellékletét képező nyomtatvány útján a Kincstár részére teljesítettem.</t>
  </si>
  <si>
    <t>Nyilatkozat csekély összegű támogatásokhoz kapcsolódó Magyar Államkincstár előtti eljáráshoz</t>
  </si>
  <si>
    <t xml:space="preserve"> A jelen nyilatkozat aláírásával hozzájárulok ahhoz, hogy 
</t>
  </si>
  <si>
    <t>– a hitelintézetekről és a pénzügyi vállalkozásokról szóló 2013. évi CCXXXVII. törvény 161. § (1) bekezdésének a) pontja értelmében kifejezetten hozzájárulok ahhoz, hogy MFB Magyar Fejlesztési Bank Zártkörűen Működő Részvénytársaság az igénylővel és a Lízing/Kölcsön felhasználásával kapcsolatban minden rendelkezésre álló, banktitkot képező tényt, információt, megoldást vagy adatot korlátozás mentesen a Magyar Fejlesztési Bank Részvénytársaságról szóló 2001. évi XX. törvény 1. számú mellékletében felsorolt gazdálkodó szervezetek, azon gazdálkodó szervezetek, amelyekben a Bank az állami vagyonról szóló 2007. évi CVI. törvény felhatalmazása alapján kiadott miniszteri rendelet értelmében gyakorol az állam nevében a tulajdonosi jogokat, valamint Bank közvetlen vagy közvetett tulajdonosi részesedésével alapított, illetve működő gazdálkodó szervezetek, mindezek jogutódai (a továbbiakban ezen társaságok együttesen: „MFB Csoport”), továbbá a Bank részére forrást biztosító nemzetközi fejlesztési intézmények, például a CEB, az EIB tudomására hozza, és ezen adatokat, információkat, értesüléseket az MFB Csoport pénzügyi szolgáltatási, kiegészítő pénzügyi szolgáltatási vagy egyéb, az 2013. évi CCXXXVII. törvény alapján kockázatvállalásnak minősülő, illetőleg biztosítási szolgáltatási, befektetési szolgáltatási, vagy kiegészítő befektetési szolgáltatási tevékenysége kapcsán felhasználhassa, azzal a korlátozással, hogy ezen adatokat, információkat, értesüléseket – az alábbiak kivételével – nem hozhatja nyilvánosságra, és nem teheti az MFB Csoporton és a nemzetközi fejlesztési intézményeken kívüli személyek számára hozzáférhetővé. Finanszírozást igénylő kijelenti, hogy az MFB Csoporthoz tartozó társaságok tételes felsorolását, a társaságok személyében bekövetkező változást a mindenkor hatályos jogszabályokban figyelemmel kíséri. Az adatok, információk felhasználási céljai a következők: MFB csoport szintű ügyfél-adatbázis létrehozása, MFB csoport szintű nagykockázat-vállalási korlát, valamint limit megállapítása és figyelése, az ügyfélre vonatkozó, újabb kockázat vállalása szempontjából releváns adat vagy tény megosztása, statisztikai célú elemzések készítése, a termékfejlesztési munka támogatása.</t>
  </si>
  <si>
    <t xml:space="preserve">– az MFB Zrt., illetőleg meghatalmazottjai, a beruházás/felújítás részét képező valamennyi helyszínt, berendezést és munkát megvizsgálhassanak, a vizsgálatokat az általuk kívánt módon végezzék, továbbá e célból biztosítom a szükséges információt és segítséget. </t>
  </si>
  <si>
    <t>Kötelezettséget vállalok arra, hogy:</t>
  </si>
  <si>
    <t xml:space="preserve">Az adatátadásra vonatkozó felhatalmazásom önkéntesen történt.
</t>
  </si>
  <si>
    <t xml:space="preserve">–  a finanszírozási célt a lízingszerződésben/kölcsönszerződésben meghatározott időn belül megvalósítom;
</t>
  </si>
  <si>
    <t xml:space="preserve">– az MFB Zrt. részére átadok minden általuk kért információt és dokumentumot, különösen az építési és üzemeltetési engedélyt, valamint kérésre nyilatkozatot teszek és igazolom, hogy beszereztem minden (az építéshez és az üzemeltetéshez szükséges) engedélyt annak érdekében, hogy megfeleljek a magyar környezetvédelmi és versenyjogi jogszabályoknak; 
</t>
  </si>
  <si>
    <t xml:space="preserve">–  az Európai Unió jogának, és különösen – amennyiben azok alkalmazandók a beruházásra – a vonatkozó európai uniós irányelveknek megfelelően hajtom végre,
</t>
  </si>
  <si>
    <t xml:space="preserve">–  amennyiben az európai uniós irányelvek nem alkalmazandók, akkor a gazdaságosság és a hatékonyság elveinek megfelelő tenderek (beszerzési eljárás) keretében hajtom végre;
</t>
  </si>
  <si>
    <t xml:space="preserve">– elvégzek minden, a rendeltetésszerű működéshez szükséges fenntartási, karbantartási, javítási és felújítási munkát a beruházás részét képező vagyonelemeken;
</t>
  </si>
  <si>
    <t xml:space="preserve">– a Lízing/Kölcsön felhasználását a vonatkozó – európai uniós és magyar jogszabályokban, továbbá nemzetközi szerződésekben előírt </t>
  </si>
  <si>
    <t>–  környezetvédelmi előírások betartásával valósítom meg, beleértve ebbe a növény- és állatvilág, a talaj, a víz, a levegő, a klíma, a tájkép, az épített környezet és a kulturális örökség megőrzését, védelmét és javítását, továbbá a foglakoztatási, közegészségügyi- és biztonsági, és a munkakörülményekre vonatkozó előírások betartását is;</t>
  </si>
  <si>
    <t xml:space="preserve">– a hitel felhasználását a vonatkozó európai uniós és magyar jogszabályok betartásával valósítom meg és működtetem;
</t>
  </si>
  <si>
    <t>Kelt:</t>
  </si>
  <si>
    <t>Egyéni vállalkozók, őstermelők esetében tanúk aláírása is szükséges.</t>
  </si>
  <si>
    <t>Előttünk, mint tanúk előtt:</t>
  </si>
  <si>
    <t>1. Név</t>
  </si>
  <si>
    <t>2. Név</t>
  </si>
  <si>
    <t>Szem. Ig. szám.</t>
  </si>
  <si>
    <t>Lakóhely</t>
  </si>
  <si>
    <t>1. A vállalkozás foglalkoztatottjainak száma:</t>
  </si>
  <si>
    <t>2. Amennyiben a vállalkozás foglalkoztatottjainak száma 250 főnél kevesebb, van-e olyan tulajdonos, amely a vállakozás jegyzett tőkéjének legalább 25%-át tulajdonolja?</t>
  </si>
  <si>
    <t>3. Ha a 2. kérdésre a válasz "igen", a 25%-nál nagyobb tulajdoni aránnyal rendelkező tulajdonos(ok) kizárólag:</t>
  </si>
  <si>
    <t xml:space="preserve"> (a létszám, költségvetés és az aktuális árfolyam meghatározása tárgyév első napján érvényes adatok alapján történik);</t>
  </si>
  <si>
    <t>– állami befektető társaságok,</t>
  </si>
  <si>
    <t>– finanszírozáshoz való hozzáférés elősegítése céljából rendszeresen kockázatitőke-befektetést folytató egyének vagy csoportok, akik vagy amelyek a tőzsdén nem jegyzett vállalkozások alaptőkéjébe fektetnek be, azzal a feltétellel, hogy az érdekeltségük az adott vállalkozásban kevesebb, mint 1 250 000 euró, illetve az annak megfelelő forintösszeg,</t>
  </si>
  <si>
    <t>– a szövetkezeti üzletrész hasznosító gazdasági társaság,</t>
  </si>
  <si>
    <t>–  felsőoktatási intézmények, nem felsőoktatási intézmény szervezetében működő oktatási és szaktanácsadási intézmények, a felső- vagy középfokú oktatás gyakorlati háttereként termelő tevékenységet folytató tangazdaságok és tanüzemek, nonprofit kutatási központok, valamint nem felsőoktatási intézmény szervezeteként - költségvetési formában működő - egyéb kutatóhelyek,</t>
  </si>
  <si>
    <t>– a tőkepiacról szóló 2001. évi CXX. törvény 5. § (1) bekezdésének 60. pontjában meghatározott intézményi befektetők,</t>
  </si>
  <si>
    <t>– az évi 10 millió eurót, illetve az annak megfelelő forintösszeget meg nem haladó költségvetéssel és kevesebb, mint 5000 lakossal rendelkező helyi önkormányzatok;</t>
  </si>
  <si>
    <t>4.  Ha van olyan (a 3. pont szerinti tulajdonosi körébe be nem sorolható) vállalkozás, amely a vállalkozás jegyzett tőkéjének legalább 25%-át tulajdonolja, akkor a konszolidált foglalkoztatotti létszám*</t>
  </si>
  <si>
    <t>5. Amennyiben a 3. kérdésre adott válasz "igen", és a 4. kérdésre adott válasz 250 főnél kevesebb, akkor kérjük, hogy adja meg a vállalkozás székhelyének régióját.</t>
  </si>
  <si>
    <t>Észak-Magyarország</t>
  </si>
  <si>
    <t>Észak-Alföld</t>
  </si>
  <si>
    <t xml:space="preserve">Dél-Alföld </t>
  </si>
  <si>
    <t>Dél-Dunántúl</t>
  </si>
  <si>
    <t>Közép-Dunántúl</t>
  </si>
  <si>
    <t>Nyugat-Dunántúl</t>
  </si>
  <si>
    <t>Közép-Magyarországi nem támogatható települések</t>
  </si>
  <si>
    <t>Közép-Magyarországi támogatható települések</t>
  </si>
  <si>
    <t>6. A beruházás környezetvédelmi engedély köteles ?</t>
  </si>
  <si>
    <t>amennyiben a beruházás környezetvédelmi engedély köteles, a legmagasabb engedélyező környezetvédelmi hatóság:</t>
  </si>
  <si>
    <t>A beruházás megfelel a hatályos európai uniós és magyar környezetvédelmi jogszabályoknak</t>
  </si>
  <si>
    <t>a környezeti hatásvizsgálati és az egységes környezethasználati engedélyezési eljárásról szóló 314/2005. (XII. 25.) Korm. rendelet (az EU Tanácsának 1985. június 27-i 85/337/EGK számú, az egyes köz- és magánprojektek környezetre gyakorolt hatásainak vizsgálatáról szóló irányelvének - HL L 175., 1985.7.5., 40-48. o. - való megfelelést szolgáló nemzeti jogszabály), illetve a helyébe lépő jogszabály alapján a beruházás megkezdéséhez környezeti hatástanulmány, vagy  környezetvédelmi/egységes környezethasználati engedély:</t>
  </si>
  <si>
    <t>szükséges</t>
  </si>
  <si>
    <t>nem szükséges</t>
  </si>
  <si>
    <t>Ha a beruházás megkezdéséhez szükség van környezeti hatástanulmányra, vagy  környezetvédelmi/egységes környezethasználati engedélyre, akkor vállalom, hogy az alábbi dokumentumok angol nyelvű fordítását jelen Adatlaphoz csatolom:</t>
  </si>
  <si>
    <t>• a beruházás műszaki összefoglalója,</t>
  </si>
  <si>
    <t>• a vonatkozó környezeti hatástanulmány összefoglalója,</t>
  </si>
  <si>
    <t>• az illetékes hatóság által kiadott környezetvédelmi vagy egységes környezethasználati engedély kivonata,</t>
  </si>
  <si>
    <t>• a nyilvános/lakossági részvételi és konzultációs eljárás leírása.</t>
  </si>
  <si>
    <t>*A létszámkalkulációt a tulajdonos és tulajdonolt vállalkozások szintjén kell összeadni. Partner vállalkozásoknál (25 és 50% közötti tulajdoni hányad): A finanszírozott vállalkozásnál az alkalmazottak létszámához hozzáadjuk a partnervállalkozásoknál alkalmazottak létszámának tulajdonrésszel arányosított nagyságát. Kapcsolt vállalkozásnál (50% feletti tulajdoni hányad): Ugyanaz mint a partner de a teljes foglalkoztatotti létszámot kell hozzáadni. A partner vállalkozások esetében a közvetlenül tulajdonolt, és tulajdonost kell nézni, a kapcsolt vállalkozásnál az összes kapcsoltat egészen a magánszemély tulajdonosig levezetve.</t>
  </si>
  <si>
    <t>3. Nyilatkozat</t>
  </si>
  <si>
    <t xml:space="preserve">A jelen nyilatkozat aláírásával hozzájárulok ahhoz, hogy 
</t>
  </si>
  <si>
    <t>a hitelintézetekről és a pénzügyi vállalkozásokról szóló 2013. évi CCXXXVII. törvény 161. § (1) bekezdésének a) pontja értelmében kifejezetten hozzájárulok ahhoz, hogy MFB Magyar Fejlesztési Bank Zártkörűen Működő Részvénytársaság az igénylővel és a Lízing/Kölcsön felhasználásával kapcsolatban minden rendelkezésre álló, banktitkot képező tényt, információt, megoldást vagy adatot korlátozás mentesen a Magyar Fejlesztési Bank Részvénytársaságról szóló 2001. évi XX. törvény 1. számú mellékletében felsorolt gazdálkodó szervezetek, azon gazdálkodó szervezetek, amelyekben a Bank az állami vagyonról szóló 2007. évi CVI. törvény felhatalmazása alapján kiadott miniszteri rendelet értelmében gyakorol az állam nevében a tulajdonosi jogokat, valamint Bank közvetlen vagy közvetett tulajdonosi részesedésével alapított, illetve működő gazdálkodó szervezetek, mindezek jogutódai (a továbbiakban ezen társaságok együttesen: „MFB Csoport”), továbbá a Bank részére forrást biztosító nemzetközi fejlesztési intézmények, például a CEB, az EIB tudomására hozza, és ezen adatokat, információkat, értesüléseket az MFB Csoport pénzügyi szolgáltatási, kiegészítő pénzügyi szolgáltatási vagy egyéb, az 2013. évi CCXXXVII. törvény alapján kockázatvállalásnak minősülő, illetőleg biztosítási szolgáltatási, befektetési szolgáltatási, vagy kiegészítő befektetési szolgáltatási tevékenysége kapcsán felhasználhassa, azzal a korlátozással, hogy ezen adatokat, információkat, értesüléseket – az alábbiak kivételével – nem hozhatja nyilvánosságra, és nem teheti az MFB Csoporton és a nemzetközi fejlesztési intézményeken kívüli személyek számára hozzáférhetővé. Adós kijelenti, hogy az MFB Csoporthoz tartozó társaságok tételes felsorolását, a társaságok személyében bekövetkező változást a mindenkor hatályos jogszabályokban figyelemmel kíséri. Az adatok, információk felhasználási céljai a következők: MFB csoport szintű ügyfél-adatbázis létrehozása, MFB csoport szintű nagykockázat-vállalási korlát, valamint limit megállapítása és figyelése, az ügyfélre vonatkozó, újabb kockázat vállalása szempontjából releváns adat vagy tény megosztása, statisztikai célú elemzések készítése, a termékfejlesztési munka támogatása.- az MFB Zrt. részére forrást biztosító nemzetközi fejlesztési intézmények, például a CEB, az EIB, illetőleg ezek meghatalmazottjai, ideértve az Európai Számvevőszék képviselőit is, a beruházás/felújítás részét képező valamennyi helyszínt, berendezést és munkát megvizsgálhassanak, a vizsgálatokat az általuk kívánt módon végezzék, továbbá e célból biztosítom a szükséges információt és segítséget.</t>
  </si>
  <si>
    <t xml:space="preserve">kötelezettséget vállalok arra, hogy </t>
  </si>
  <si>
    <t xml:space="preserve">az MFB Zrt. részére forrást biztosító nemzetközi fejlesztési intézmények részére átadok minden általuk kért információt és dokumentumot, különösen az építési és üzemeltetési engedélyt, valamint kérésre nyilatkozatot teszek és igazolom, hogy beszereztem minden (az építéshez és az üzemeltetéshez szükséges) engedélyt annak érdekében, hogy megfeleljek a magyar környezetvédelmi és versenyjogi jogszabályoknak; </t>
  </si>
  <si>
    <t xml:space="preserve">Az adatátadásra vonatkozó felhatalmazásom önkéntesen történt.
</t>
  </si>
  <si>
    <t>A vállalkozás azonosító adatai</t>
  </si>
  <si>
    <t>Alapnyilatkozat</t>
  </si>
  <si>
    <t>A kiválasztott Program nyilatkozata</t>
  </si>
  <si>
    <t>Támogatási/finanszírozási kategória nyilatkozata</t>
  </si>
  <si>
    <t>Nyilatkozat állami és/vagy uniós forrásból származó támogatásokról</t>
  </si>
  <si>
    <t>Nyilatkozat</t>
  </si>
  <si>
    <t>Végleges kategóriák</t>
  </si>
  <si>
    <t>Alulírott, a finanszírozást igénylő vállalkozás képviseletében meghatalmazom a finanszírozási kérelmemben szereplő finanszírozó pénzügyi intézményt azzal, hogy a Program keretében a vállalkozás részére rendelkezésre álló egyéni mezőgazdasági, halászati, és általános csekély összegű támogatási keretösszeg ellenőrzése céljából a Magyar Államkincstártól (továbbiakban: Kincstár), az erre vonatkozó eljárás keretében adatszolgáltatást kérjen, és ehhez adataimat felhasználhassa, továbbá azzal, hogy a Lízing/Kölcsön támogatástartalmának zárolása, lekötése – és szükség esetén – felszabadítása érdekében a Kincstár előtt teljes jogkörrel eljárjon, figyelembe véve a vállalkozással egy és ugyanazon vállalkozásnak minősülő vállalkozás(ok) által igénybe vett csekély összegű támogatásokat is.</t>
  </si>
  <si>
    <t xml:space="preserve">A kiválasztott Program neve: </t>
  </si>
  <si>
    <t>Magyar Államkincstári ügyfélazonosító</t>
  </si>
  <si>
    <t>– a kiválasztott Program keretében igényelt refinanszírozási kölcsön kedvezményes kamatozásából származó előnyt az ügyfél részére átadja,</t>
  </si>
  <si>
    <t>– az ügyfél illetve az ügylet hitelminősítési és biztosítéki besorolása a pénzügyi intézmény belső szabályzataiban előírt minősítési kategóriának megfelel.</t>
  </si>
  <si>
    <t>– az ügyfél illetve az ügylet a hitelminősítési kategóriába és biztosítékokkal való fedezettségi kategóriába történt besorolása az Európai Unió Bizottsága által az Európai Unió hivatalos lapjában 2008. január 19-én közzétett, a referencia-kamatláb és a leszámítolási kamatláb megállapítási módjának módosításáról szóló közleményben (2008/C 14/02) előírtaknak megfelel.</t>
  </si>
  <si>
    <t>– az ügyfél által kitöltött és benyújtott finanszírozási kérelembe foglalt adatokat ellenőriztük és az abban foglaltakat magunk részéről elfogadtuk,</t>
  </si>
  <si>
    <t>–  a kiválasztott Program lejáratát követő 10 évig a támogatást nyújtó MFB Magyar Fejlesztési Bank Zártkörűen Működő Részvénytársaság (MFB Zrt., 1051 Budapest, Nádor u. 31., cg.: 01-10-041712) nyilvántartást vezet a nyújtott finanszírozás támogatástartalmáról, amelyet szükség esetén az Európai Bizottság és más ellenőrző hatóságok részére bemutat, illetőleg átad, továbbá, hogy a folyósító pénzügyi intézmény és az MFB Zrt. a támogatástartalomról kiállított nyilatkozatának egy eredeti példányát ugyanennyi ideig megőrzi,</t>
  </si>
  <si>
    <t>akkor büntetőjogi felelősségem tudatában, mint finanszírozást igénylő vállalkozás kijelentem az alábbiakat, hogy:</t>
  </si>
  <si>
    <t>Az igénylő adatai</t>
  </si>
  <si>
    <t>Támogatási/finanszírozási kategória választó</t>
  </si>
  <si>
    <t xml:space="preserve"> Az igénylő adatai</t>
  </si>
  <si>
    <t>Az igényelt finanszírozás adatai</t>
  </si>
  <si>
    <t>A vállalkozás gazdálkodási adatai</t>
  </si>
  <si>
    <t xml:space="preserve">A beruházás / ügylet adatai I. </t>
  </si>
  <si>
    <t>A beruházás/ügylet adatai II.</t>
  </si>
  <si>
    <t>A beruházás/ügylet adatai III.</t>
  </si>
  <si>
    <t xml:space="preserve"> A referenciaráta kiszámítása  </t>
  </si>
  <si>
    <t>A pénzügyi intézmény nyilatkozatai</t>
  </si>
  <si>
    <t>Kattintson ide!</t>
  </si>
  <si>
    <t xml:space="preserve">dülő </t>
  </si>
  <si>
    <t>sétány</t>
  </si>
  <si>
    <t>–  a Lízinget/Kölcsönt kizárólag a finanszírozási célnak megfelelően  használom fel;</t>
  </si>
  <si>
    <t>Kérem válasszon! A beruházás kapcsolódik …</t>
  </si>
  <si>
    <t>mezőgazdasági termék feldolgozásához, forgalmazásához</t>
  </si>
  <si>
    <t>megújulóenergia-termelés finanszírozásához</t>
  </si>
  <si>
    <t>helyi infrastruktúra kiépítéséhez, korszerűsítéséhez</t>
  </si>
  <si>
    <t>halászat/akvakultúra fejlesztéséhez</t>
  </si>
  <si>
    <t>egyébhez</t>
  </si>
  <si>
    <t>Lista</t>
  </si>
  <si>
    <t>Finanszírozó pénzügyi intézmény által a tervezett folyósítási időpontban kért összeg</t>
  </si>
  <si>
    <t>Jelen oldal kitöltése kötelező,de a refinanszírozási kölcsönkérelemhez nem szükséges csatolni!</t>
  </si>
  <si>
    <t>Ütemezés számoló, háttérfejlesztési oldal</t>
  </si>
  <si>
    <t>korlátolt felelősségű társaság</t>
  </si>
  <si>
    <t>zártkörűen működő részvénytársaság</t>
  </si>
  <si>
    <t>nyílvánosan működő részvénytársaság</t>
  </si>
  <si>
    <t>x</t>
  </si>
  <si>
    <t>Az első oszlopban megjelenő kék cellákhoz tartozó kérdésre legalább egy választ válasszon és jelölje X-el!</t>
  </si>
  <si>
    <t>Ügyfélcsoportra vonatkozó adatok</t>
  </si>
  <si>
    <t>Kapcsolt Vállalkozás neve</t>
  </si>
  <si>
    <t>Adott kölcsön ügylet támogatástartalma</t>
  </si>
  <si>
    <t>(Kérjük azokat a cellákat megjelölni, melyek a hitelfelvevőkre igazak!)</t>
  </si>
  <si>
    <t>NHP Lízing</t>
  </si>
  <si>
    <t>Lízing</t>
  </si>
  <si>
    <t>VFP</t>
  </si>
  <si>
    <t>Patika</t>
  </si>
  <si>
    <t>Kisfaludy</t>
  </si>
  <si>
    <t>VFP lízing</t>
  </si>
  <si>
    <t>VFP beru</t>
  </si>
  <si>
    <t>Tulajdonhányad szerzéssel érintett gazdasági társaság neve</t>
  </si>
  <si>
    <t>Adószáma</t>
  </si>
  <si>
    <t>Székhelye</t>
  </si>
  <si>
    <t>A hitellel érintett közforgalmú gyógyszertár(ak) megnevezése (Gyftv. 74. § (1a) bek.)</t>
  </si>
  <si>
    <t>A Patika Hitelprogram keretében eddig igénybe vett hitel összege (HUF)</t>
  </si>
  <si>
    <t>Kérem töltse ki és cégszerűen aláírva csatolja!</t>
  </si>
  <si>
    <t>az MFB Zrt. Által meghirdetett Patika Hitelprogramhoz kapcsolódóan a 212/2013. (VI.19.) Korm. Rendelet 7. § alapján</t>
  </si>
  <si>
    <t>Pénzügyi intézmény neve</t>
  </si>
  <si>
    <t>A kamattámogatást kérelmező gyógyszerész neve</t>
  </si>
  <si>
    <t>Kamarai nyilvántartási száma</t>
  </si>
  <si>
    <t>Hitel-vagy kölcsönszerződés azonosítószáma</t>
  </si>
  <si>
    <t>A kamattámogatást kérelmező gyógyszerész által igénybe venni kívánt kamattámogatás mértéke (%)</t>
  </si>
  <si>
    <t>Nyilatkozat a kamattámogatás igénybevételéről</t>
  </si>
  <si>
    <t>Alulírott az MFB Zrt. által meghirdetett Patika Hitelprogram keretében, mint a kedvezményes kamatozású hitelre és kamattámogatásra jogosult gyógyszerész a fenti, jelen nyilatkozaton szereplő kamattámogatást kívánom igénybe venni. Amennyiben az egyéni támogaátsi keret kihasználtságára vonatkozó adatok alapján a fenti, jelen nyilatkozaton szereplő mértékű kamattámogatás igénybe vételére nem vagyok jogosult, úgy a rendelkezésre álló szabad csekély összegű (de minimis) keret figyelembevételével a támogatást nyújtó szerv által kiadott támogatói okiratban megállapított hitelösszeget és kamattámogatást kívánom igénybe venni.</t>
  </si>
  <si>
    <t>Gyógyszerész aláírása</t>
  </si>
  <si>
    <t>A 3 legutóbbi lezárt gazdálkodási év közül kettőben veszteségesen működött?</t>
  </si>
  <si>
    <t>képlezetve, frissíthető</t>
  </si>
  <si>
    <t>A finanszírozáshoz kapcsolódó támogatási/finanszírozási kategória:</t>
  </si>
  <si>
    <t>Kattintson ide és nyomtassa ki a lehetséges kategóriákat!</t>
  </si>
  <si>
    <t>– a vállalkozás nem külföldön bejegyzett vagy tevékenységét jellemzően külföldön folytató vállalkozás;</t>
  </si>
  <si>
    <t>– a vállalkozásnak az MFB Zrt. Felé bármely korábbi, az MFB Zrt. által meghirdetett programmal, vagy egyéb finanszírozással  kapcsolatban nem keletkezett lejárt, rendezetlen tartozása;</t>
  </si>
  <si>
    <t>– a vállalkozás az uniós versenyjogi szabályok szerint nem kizárt vállalkozás;</t>
  </si>
  <si>
    <t>– a vállalkozás az uniós állami támogatási szabályok szerint nincs nehéz helyzetben;</t>
  </si>
  <si>
    <t>– a vállalkozás saját tőkéje eléri a jegyzett tőke összegét;</t>
  </si>
  <si>
    <t>– a vállalkozás az utolsó 3 lezárt gazdasági évéből maximum egyben volt veszteséges és a veszteségek folytán sem csökkent a saját tőke 40% alá, illetve van másik fizetőképes gazdasági társasági, aki kezességet vállal a társaság tartozásaiért;</t>
  </si>
  <si>
    <t>– a vállalkozás legalább egy lezárt gazdasági évvel rendelkezik, illetve amennyiben a lezárt gazdasági évek száma nem haladja meg a kettőt, maximum az egyikben működött veszteségesen és saját tőkéje nem csökkent 40% alá, vagy ilyen setben van olyan gazdasági társaság, aki kezességet vállal a vállalkozás tartozásaiért;</t>
  </si>
  <si>
    <t>– a vállalkozás nem minősül a 2014/C 249/01 számú Európai Bizottsági iránymutatás alapján nehéz helyzetben lévő vállalkozásnak;</t>
  </si>
  <si>
    <t>– főtevékenységem nem
• fegyver-, lőszergyártás (TEÁOR’03 29.60, TEÁOR’08 25.40), 
• szerencsejáték, fogadás (TEÁOR’03 92.71, TEÁOR’08 92.00), 
• katonai harcjármű-gyártás (TEÁOR’08 30.40),</t>
  </si>
  <si>
    <t>• dohánytermesztés, dohánytermék gyártása, forgalmazása (TEÁOR’08 0115, 1200, 4635, 4639, 4726)
• egyéb személyi szolgáltatás (TEÁOR’08 9609)
• pénzügyi közvetítés (TEÁOR’08 6411-6630).</t>
  </si>
  <si>
    <t>– a finanszírozási kérelem időpontjában hitelszerződésből, kölcsönszerződésből vagy lízingszerződésből eredő lejárt tartozásom nem áll fenn,</t>
  </si>
  <si>
    <t>– természetes személyként nem szerepelek szankciós, korlátozó listán;</t>
  </si>
  <si>
    <t>– a finanszírozási kérelem időpontjában hitel-, kölcsönszerződésből vagy garancia-szerződésből eredő lejárt tartozásom nem áll fenn,</t>
  </si>
  <si>
    <t>– nagyvállalkozás esetében a vállalkozás hitelminősítése az Európai Bizottság 2008/C14/02 számú közleménye szerinti "Gyenge (B)" hitelminősítési kategóriát,</t>
  </si>
  <si>
    <t>– a cégbíróságon be vagyok jegyezve;</t>
  </si>
  <si>
    <t xml:space="preserve">– főtevékenységem nem
• fegyver-, lőszergyártás (TEÁOR’03 29.60, TEÁOR’08 25.40), 
• szerencsejáték, fogadás (TEÁOR’03 92.71, TEÁOR’08 92.00), 
• katonai harcjármű-gyártás (TEÁOR’08 30.40),
</t>
  </si>
  <si>
    <t>• dohánytermesztés, dohánytermék gyártása, forgalmazása (TEÁOR’08 0115, 1200, 4635, 4639, 4726)
• egyéb személyi szolgáltatás (TEÁOR’08 9609)
• pénzügyi közvetítés (TEÁOR’08 6411-6630)</t>
  </si>
  <si>
    <t xml:space="preserve">– visszaigényelhető általános forgalmi adó (ÁFA), vám, illeték finanszírozására használom fel, kivéve, ha ÁFA visszaigénylésére nem vagyok jogosult; </t>
  </si>
  <si>
    <t>– más hitel, lízing kiváltására, üzletrész, részvény, illetve más társasági részesedés vásárlására használom fel;</t>
  </si>
  <si>
    <t xml:space="preserve">– a hiteldöntés napján fizikailag már lezárt (befejezett) vagy teljes mértékben (fizikailag és pénzügyileg is) végrehajtott beruházás finanszírozására használom fel; </t>
  </si>
  <si>
    <t>–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használom fel,</t>
  </si>
  <si>
    <t>– olyan feltétellel használom fel, amely az európai uniós jog megsértését eredményezi,</t>
  </si>
  <si>
    <t>– a finanszírozást kizárólag új létesítmény létrehozására fordítom</t>
  </si>
  <si>
    <t>– a termékleírásban meghatározott mértékű saját erővel rendelkezem</t>
  </si>
  <si>
    <t>– amennyiben ÁFA visszaigénylésre jogosult vagyok, rendelkezem az ÁFA megfizetéshez szükséges forrással</t>
  </si>
  <si>
    <t>– a finanszírozást kizárólag élelmiszer-alapú bioüzemanyagtól eltérő fenntartható bioüzemanyag előállítására irányuló beruházásra, vagy élelmiszer-alapú bioüzemanyagot előállító meglévő létesítmény újszerű bioüzemanyagot előállító létesítménnyé való átalakítására és azzal arányosan az élelmiszer-alapú bioüzemanyag előállításának csökkentésére fordítom</t>
  </si>
  <si>
    <t>–  a finanszírozást kizárólag olyan bioüzemanyagok előállítására irányuló beruházásra fordítom, amelyek nem tartoznak szolgáltatási vagy keverési kötelezettség hatálya alá</t>
  </si>
  <si>
    <t>– a finanszírozást kizárólag olyan vízi erőművek létrehozására fordítom, amelyek megfelelnek a 2000/60/EK európai parlamenti és tanácsi irányelvnek</t>
  </si>
  <si>
    <t>– a támogatást nem fordítom közvetlenül működési célra, illetve a magasabb környezetvédelmi szint eléréséhez közvetlenül nem kapcsolódó költségeket nem számolok el</t>
  </si>
  <si>
    <t>b) amennyiben a megújulóenergia-termelésre irányuló beruházás költségei olyan hasonló, kevésbé környezetbarát beruházáshoz viszonyítva határozhatók meg, amelyet a támogatás hiányában hitelt érdemlően végrehajtottak volna, a megújuló energiához kapcsolódó költséget e két beruházás költségeinek különbsége jelenti, és ez minősül elszámolható költségnek
c) bizonyos kisméretű létesítmények esetében, ahol azért nem lehet megvalósítani kevésbé környezetbarát beruházást, mert nem léteznek korlátozott méretű létesítmények, az elszámolható költség a magasabb környezetvédelmi szint eléréséhez kapcsolódó beruházás teljes költsége</t>
  </si>
  <si>
    <t>– a megújulóenergia-termeléshez szükséges beruházási többletköltségek elszámolása során az alábbiakra figyelemmel járok el:
a) amennyiben a beruházás összköltségén belül a megújulóenergia-termelésre irányuló beruházás költségei külön beruházásként meghatározhatók, például egy már meglévő létesítmény könnyen azonosítható kiegészítő alkotórészeként, az elszámolható költségek e megújuló energiához kapcsolódó költségek</t>
  </si>
  <si>
    <t xml:space="preserve">– más hitel, lízing kiváltására, üzletrész, részvény, illetve más társasági részesedés vásárlására használom fel; </t>
  </si>
  <si>
    <t>– a finanszírozást csak olyan infrastruktúra kiépítéshez vagy korszerűsítéshez használhatom fel, amely helyi szinten hozzájárul a gazdasági és fogyasztói környezet javításához, valamint az ipari bázis korszerűsítéséhez és fejlesztéséhez, az Európai Unió működéséről szóló szerződés 107. cikkének (3) bekezdése szerint összeegyeztethető a belső piaccal, és mentesül az Európai Unió működéséről szóló szerződés 108. cikkének (3) bekezdésében foglalt bejelentési kötelezettség alól, feltéve, hogy teljesülnek a 651/2014/EU bizottsági rendelet I. fejezetében és az 56. cikkében foglaltak</t>
  </si>
  <si>
    <t>– a hitelt nem használhatom fel a 37/2011. (III. 22.) Korm. rendelet (a továbbiakban: Atr.) 25-32. § alapján regionális beruházások finanszírozására, valamint repülőtéri és kikötői infrastruktúra kiépítésére és korszerűsítésére</t>
  </si>
  <si>
    <t>– az infrastruktúrához való hozzáférést az érdekelt felhasználók számára nyílt, átlátható és megkülönböztetésmentes módon kell biztosítani, valamint az infrastruktúra használatáért vagy eladásáért a piaci árnak megfelelő árat kell felszámítani</t>
  </si>
  <si>
    <t>–  az infrastruktúra működtetésének koncesszióba adását vagy egyéb módon harmadik félre bízását nyílt, átlátható és megkülönböztetésmentes módon kell végezni, a vonatkozó közbeszerzési szabályok kellő figyelembevételével</t>
  </si>
  <si>
    <t>– a finanszírozást csak tárgyi eszközökre, illetve immateriális javakra fordíthatom</t>
  </si>
  <si>
    <t>– az előzetesen azonosítható vállalkozás(ok) számára épített és az ő igényei(k)hez szabott infrastruktúra a 651/2014/EU bizottsági rendelet értelmében speciális célú infrastruktúrának minősül, ilyen esetben bejelentési kötelezettség áll fenn az Európai Bizottság felé.</t>
  </si>
  <si>
    <t xml:space="preserve">– visszaigényelhető általános forgalmi adó (ÁFA) finanszírozására, kivéve, ha ÁFA visszaigénylésére nem jogosult; </t>
  </si>
  <si>
    <t>– a harmadik országokba vagy tagállamokba irányuló exporttal kapcsolatos tevékenységhez, ahol a támogatás az exportált mennyiségekhez, értékesítési hálózat kialakításához és működtetéséhez vagy az exporttevékenységgel összefüggésben felmerülő egyéb folyó kiadásokhoz közvetlenül kapcsolódik,</t>
  </si>
  <si>
    <t>– mezőgazdasági termékek elsődleges termelésével kapcsolatos tevékenység finanszírozására,</t>
  </si>
  <si>
    <t>– a mezőgazdasági termékek feldolgozásával és forgalmazásával foglalkozó vállalkozásoknak nyújtott támogatás, a következő esetekben: 
o amennyiben a támogatás összege az elsődleges termelőktől beszerzett, vagy az érintett vállalkozások által forgalmazott ilyen termékek ára, vagy mennyisége alapján kerül rögzítésre;
o amennyiben a támogatás feltétele az elsődleges termelőknek történő teljes, vagy részleges továbbadás;</t>
  </si>
  <si>
    <t>– halászhajók vásárlására;</t>
  </si>
  <si>
    <t xml:space="preserve">– halászhajók főhajtóműveinek vagy kiegészítő hajtóműveinek korszerűsítésére vagy cseréjére; </t>
  </si>
  <si>
    <t>– a hajó halászati kapacitásának növelését célzó műveletekre vagy halfelderítési képességének növelését célzó berendezésekre</t>
  </si>
  <si>
    <t xml:space="preserve">– új halászhajók építésére vagy halászhajók behozatalára; </t>
  </si>
  <si>
    <t xml:space="preserve">– a felderítő halászatra; </t>
  </si>
  <si>
    <t xml:space="preserve">– vállalkozás tulajdonjogának átadására; </t>
  </si>
  <si>
    <t>– közvetlen újratelepítésre, kivéve abban az esetben, ha azt valamely uniós jogi aktus állományvédelmi intézkedésként kifejezetten előírja, illetve kísérleti újratelepítés esetén</t>
  </si>
  <si>
    <t>– olyan feltétellel, amely az európai uniós jog megsértését eredményezi,</t>
  </si>
  <si>
    <t xml:space="preserve">–  más hitel, lízing kiváltására, üzletrész, részvény, illetve más társasági részesedés vásárlására; </t>
  </si>
  <si>
    <t>– a hiteldöntés napján fizikailag már lezárt (befejezett) vagy teljes mértékben (fizikailag és pénzügyileg is) végrehajtott beruházás finanszírozására;</t>
  </si>
  <si>
    <t>– az 1379/2013/EU rendelet  szerinti halászati és akvakultúra ágazattal kapcsolatos tevékenység finanszírozására,</t>
  </si>
  <si>
    <t>– már elfogadott uniós szabályok által előírt követelmények teljesítésére, akkor sem, ha azok még nem léptek hatályba</t>
  </si>
  <si>
    <t>Továbbá kijelentem, hogy</t>
  </si>
  <si>
    <t>– hogy a beruházást nem az uniós szabványoknak való megfelelés, hanem az energiahatékonyság növelése céljából valósítom meg</t>
  </si>
  <si>
    <t>– a Termékleírásban meghatározott mértékű saját erővel rendelkezem</t>
  </si>
  <si>
    <t>– amennyiben ÁFA visszaigénylésre jogosult vagyok, rendelkezem az ÁFA megfizetéséhez szükséges forrással</t>
  </si>
  <si>
    <t>A Finanszírozást nem használom fel:</t>
  </si>
  <si>
    <t xml:space="preserve">– exporttal kapcsolatos tevékenység finanszírozására </t>
  </si>
  <si>
    <t>– az elszámolható költségek a magasabb energiahatékonysági szint eléréhez szükséges többletköltségek, az ehhez közvetlenül nem kapcsolódó költségeket nem számolom el</t>
  </si>
  <si>
    <t xml:space="preserve">Büntetőjogi felelősségem tudatában nyilatkozom, hogy </t>
  </si>
  <si>
    <t>a folyó üzleti évben az azt megelőző két üzleti évben: az 1407/2013/EU bizottsági rendeletek hatálya alá tartozó (általános csekély összegű) támogatás(ok)ban (ide nem értve a jelen kérelem tárgyát képező ügyletet)</t>
  </si>
  <si>
    <t>az általam képviselt vállalkozás (a vállalkozással egy és ugyanazon vállalkozásnak* minősülő vállakozás(ok) nélkül) az alábbiak szerint részesült:</t>
  </si>
  <si>
    <t>a vállalkozásommal egy és ugyanazon vállalkozásnak* minősülő más vállalkozás(ok) (ide nem értve a hiteligénylő vállalkozást) az alábbiak szerint részesült(tek):</t>
  </si>
  <si>
    <t>a támogatáshalmozódás szempontjából figyelembe veendő, az igényelt finanszírozás elszámolható költségeivel részben vagy teljesen azonos elszámolható költségekhez nyújtott, uniós versenyjogi értelemben vett állami támogatásban és csekély összegű támogatásban</t>
  </si>
  <si>
    <t>az általam képviselt vállalkozás az alábbiak szerint részesült (támogatásról szóló okiratok, támogatástartalom igazolások alapján):</t>
  </si>
  <si>
    <t>Sorsz.</t>
  </si>
  <si>
    <t>Támogatás megnevezése</t>
  </si>
  <si>
    <t>Támogatás típusa (pl. vissza nem térítendő, intézményi kezességvállalás stb.)</t>
  </si>
  <si>
    <t>Okirat/Igazolás vagy kérelem benyújtás dátuma</t>
  </si>
  <si>
    <t>Felhívjuk figyelmüket, hogy jelen Refinanszírozási kérelmi csomag a kapcsolódó termékleírásokkal, útmutatókkal, jogszabályokkal és segédletekkel együttesen értendő.</t>
  </si>
  <si>
    <t>REFINANSZÍROZÁSI KÉRELMI CSOMAG</t>
  </si>
  <si>
    <t xml:space="preserve">– a finanszírozásról szóló döntés napján fizikailag már lezárt (befejezett) vagy teljes mértékben (fizikailag és pénzügyileg is) végrehajtott beruházás finanszírozására; </t>
  </si>
  <si>
    <t>A REFINANSZÍROZÁS CÉLJA</t>
  </si>
  <si>
    <t>REFINANSZÍROZÁSI KÖLCSÖNKÉRELEM</t>
  </si>
  <si>
    <t>TÖRLESZTÉSI ÜTEMTERV</t>
  </si>
  <si>
    <t>EREDMÉNYTERV</t>
  </si>
  <si>
    <t>TÁMOGATÁS INTENZITÁS KALKULÁTOR</t>
  </si>
  <si>
    <t>TÁMOGATÁS TARTALOM ÖSSZESÍTÉS</t>
  </si>
  <si>
    <t>NYILATKOZATOK</t>
  </si>
  <si>
    <t>mezőgazdasági termék előállításához – kivéve szőlőbor termelése</t>
  </si>
  <si>
    <t>Referencia kamatláb</t>
  </si>
  <si>
    <t>Tőke</t>
  </si>
  <si>
    <t>Kamat</t>
  </si>
  <si>
    <t>őstermelő</t>
  </si>
  <si>
    <t>KAMATTÁMOGATÁSI KÉRELEM</t>
  </si>
  <si>
    <t>Törlesztés kezdete dátum hóvége</t>
  </si>
  <si>
    <t>Kamattámogatás mértéke Patika Hitelprogram esetén</t>
  </si>
  <si>
    <t xml:space="preserve"> év</t>
  </si>
  <si>
    <t>statisztikai létszámon belül női munkavállalók száma</t>
  </si>
  <si>
    <t>a vállalkozásban a női tulajdonosok aránya</t>
  </si>
  <si>
    <t>a vállalkozás menedzsmentjében a nők aránya</t>
  </si>
  <si>
    <t>a vállalkozás alapítási éve</t>
  </si>
  <si>
    <t>beruházás hatására létrejövő új munkahelyek száma</t>
  </si>
  <si>
    <t>létrejövő munkahelyek számán belül a női munkavállalók aránya</t>
  </si>
  <si>
    <t>Kötelezettséget vállalok arra, hogy</t>
  </si>
  <si>
    <t>a beruházás megvalósítás nem vezet az Emberi Jogok Európai Egyezménye vagy az Európai Szociália Karta előírásainak a megsértéséhez;</t>
  </si>
  <si>
    <t>a beruházás megvalósítása nem eredményezi a csalásra, korrupcióra és a pénzeszközök jogellenes felhasználására vonatkozó jogszabályok megsértését;</t>
  </si>
  <si>
    <t>az igénybe vett és részben vagy egészben CEB forrásokból finanszírozott Lízinget/Kölcsönt kizárólag a jóváhagyott beruházás megvalsóítására használom fel;</t>
  </si>
  <si>
    <t>a beruházás keretében az áruk vásárlására, szolgáltatások igénybe vételére és munkálatok megrendelésére vonatkozó beszerzéseimet:</t>
  </si>
  <si>
    <t>• a hatályos közbeszerzési/beszerzési jogszabályoknak megfelelően hajtom végre, vagy,
• amennyiben a közbeszerzési/beszerzési jogszabályok nem alkalmazandók, akkor ezen beszerzéseket olyan megfelelő beszerzési eljárás keretében hajtom végre, amely biztosítja a költséghatékony és piac konform áru beszerzést.</t>
  </si>
  <si>
    <t>a beruházás kapcsán betartom a CEB Környezeti és Szociális Védelmi Politikájában előírtakat (mindenkor hatályos: www.coebank.org);</t>
  </si>
  <si>
    <t xml:space="preserve">amennyiben a CEB Környezeti és Szociális Védelmi Politikája alapján a beruházás megvalósítása előtt hatástanulmány elkészítésére vagyok kötelezetett, akkor az alábbiak szerint angol nyelvű vagy nem angol nyelvű fordítással ellátott dokumentumokat nyújtom be. A tanulmány tartalmazza: 
• a beruházás műszaki tartalmának rövid ismertetőjét;
• a környezeti hatásvizsgálat rövid ismertetőjét;
• az illetékes hatóság engedélyének kivonatát; 
•a társadalmi részvétel és a konzultációs folyamat bemutatását.
</t>
  </si>
  <si>
    <t>elvégzek minden a rendeltetésszerű működéshez szükséges fenntartási, karbantartási, javítási és felújítási munkát a beruházás részét képező ingó-és ingatlan vagyonelemeken;</t>
  </si>
  <si>
    <t>lehetővé teszem a CEB alkalmazottai vagy az általuk kijelölt/megbízott harmadik felek számára, hogy (i) látogatást tegyenek a beruházás helyszínén, találkozzanak a megvalósítással megbízott vállalkozókkal, megtekintsék a beszerelt berendezéseket és a foylamatban lévő munkálatokat; (ii) az általuk megkívánt módon elvégezzék ezen ellenőrzéseket és (iii) a fentiek érdekében megkapjanak minden szükséges információt és támogatást;</t>
  </si>
  <si>
    <t>a CEB által nyújtott források nem állnak rendelkezésre abban az esetben, ha a fenti pontokben írt feltételek valamelyikét nem teljesítem.</t>
  </si>
  <si>
    <t>statisztikai létszám (a vállalkozás foglalkoztatottjainak száma)</t>
  </si>
  <si>
    <t>KIEGÉSZÍTŐ NYILATKOZATOK EIB/CEB FINANSZÍROZÁS ESETÉN</t>
  </si>
  <si>
    <t>Tulajdonosok neve</t>
  </si>
  <si>
    <t>Tulajdoni hányada</t>
  </si>
  <si>
    <t>ÖSSZESEN</t>
  </si>
  <si>
    <t>Kölcsön összege (HUF)</t>
  </si>
  <si>
    <t xml:space="preserve">Támogatás kategóriája </t>
  </si>
  <si>
    <t>Támogatási kategóriája</t>
  </si>
  <si>
    <t>Támogatás összege (HUF/EUR)</t>
  </si>
  <si>
    <t>A hitellel érintett közforgalmú gyógyszertár(ak) címe (Gyftv. 74. § (1a) bek.)</t>
  </si>
  <si>
    <t>A refinanszírozási kérelmi csomag tartalmazza a korábban használt Refinanszírozási kérelmet és Adatlapot. Más dokumentum kitöltésére nincs szükség.</t>
  </si>
  <si>
    <t>A kiválasztott Program neve</t>
  </si>
  <si>
    <t xml:space="preserve">Finanszírozó pénzügyi intézmény által tervezett folyósítási időpont </t>
  </si>
  <si>
    <t>A visszafizetés kezdete (az első tőketörlesztés időpontja)</t>
  </si>
  <si>
    <r>
      <t xml:space="preserve">Ügyfélcsoport fogalma
</t>
    </r>
    <r>
      <rPr>
        <sz val="10"/>
        <rFont val="Tahoma"/>
        <family val="2"/>
        <charset val="238"/>
      </rPr>
      <t>Az Európai Parlament és Tanács 575/2013/EU rendeletének 39. pontja alapján egy ügyfélcsoportnak tekinthető: 
a) két vagy több természetes vagy jogi személy, akik vagy amelyek – az ellenkező bizonyításáig – egyetlen kockázati tényezőt képeznek, mivel egyikük közvetlen vagy közvetett ellenőrzése alatt áll a másik vagy a többi;
b) két vagy több természetes vagy jogi személy, akik vagy amelyek között nincs az a) pontban leírt ellenőrzést jelentő kapcsolat, mégis egyetlen kockázati tényezőnek tekintendők, mivel olyan keresztkapcsolatok állnak  fenn közöttük, amelyek alapján ha egyikük pénzügyi – különösen finanszírozási vagy visszafizetési – nehézségbe ütközne, a másiknak vagy a többinek is valószínűleg finanszírozási vagy visszafizetési gondokkal kellene megküzdenie;
az a) és b) pont ellenére, ha a központi kormányzat közvetlenül ellenőriz vagy közvetlen kapcsolatban áll több természetes vagy jogi személlyel, a központi kormányzat és az általa az a) pontnak megfelelően közvetlenül kapcsolatban áll, a központi kormányzatot is ideértve. Ugyanez alkalmazandó azon regionális kormányzatok és helyi hatóságok esetében, amelyekre a 115. cikk (2) bekezdése alkalmazandó.</t>
    </r>
  </si>
  <si>
    <t>Mi az az ügyfélcsoport?</t>
  </si>
  <si>
    <t>Kérem töltse ki az ügyfélcsoportra vonatkozó adatokat, kattintson ide!</t>
  </si>
  <si>
    <t>A lenti tőkeállomány összege</t>
  </si>
  <si>
    <t>Az tőketörlesztések összege legyen egyenlő a folyósítással! Kérem többlet esetén az utolsó törlesztésnél korrigáljon addig míg a lenti tőkeállomány összege nem egyezik a finanszírozott összeggel!</t>
  </si>
  <si>
    <t>Több, mint 3 támogatás esetén kattintson ide!</t>
  </si>
  <si>
    <t>re</t>
  </si>
  <si>
    <t>Marketing nyilatkozat</t>
  </si>
  <si>
    <t>hozzájárulok</t>
  </si>
  <si>
    <t>nem járulok hozzá</t>
  </si>
  <si>
    <t>a jelen nyilatkozatban megadott személyes adataimnak az MFB Magyar Fejlesztési Bank Zártkörűen Működő Részvénytársaság (a továbbiakban: MFB Zrt.) mint adatkezelő marketing adatbázisába való felvételéhez, és azoknak a jelen nyilatkozatban meghatározott célból történő felhasználása és kezelés érdekében.</t>
  </si>
  <si>
    <t>A fentiekben felsorolt tájékoztatókat az alábbi formákban kaphatom:</t>
  </si>
  <si>
    <t>szórólap</t>
  </si>
  <si>
    <t>e-mail</t>
  </si>
  <si>
    <t>SMS,MMS</t>
  </si>
  <si>
    <t>postai küldemény</t>
  </si>
  <si>
    <t>statisztikai és/vagy minőségi közvélemény-kutatás</t>
  </si>
  <si>
    <t>egyéb üzleti felmérés</t>
  </si>
  <si>
    <t>A piackutatási tevékenység során az MFB Zrt. adatfeldolgozó vehet igénybe, amelyről minden esetben a piackutatás során értesítjük az érintetteket.</t>
  </si>
  <si>
    <t>Finanszírozott összeg HUF-ban</t>
  </si>
  <si>
    <t>Átváltáshoz használt árfolyam</t>
  </si>
  <si>
    <t>Árfolyam dátuma</t>
  </si>
  <si>
    <t>Átfolyam típusa</t>
  </si>
  <si>
    <t>a vállalkozás mérete</t>
  </si>
  <si>
    <t>Mid-Cap</t>
  </si>
  <si>
    <t>Felszámított kamatrés</t>
  </si>
  <si>
    <t>KKV</t>
  </si>
  <si>
    <t>állami</t>
  </si>
  <si>
    <t>vfp</t>
  </si>
  <si>
    <t>kisfaludy</t>
  </si>
  <si>
    <t>patika</t>
  </si>
  <si>
    <t>lízing</t>
  </si>
  <si>
    <t>nhp lízing</t>
  </si>
  <si>
    <t>pvrk II</t>
  </si>
  <si>
    <t>kiválasztott forma</t>
  </si>
  <si>
    <t>a pénzügyi intézmény által az igénylő felé felszámított kamatfelár:</t>
  </si>
  <si>
    <t>r</t>
  </si>
  <si>
    <t>Adatszolgáltatás a nemzetközi fejlesztési intézmények részére</t>
  </si>
  <si>
    <t xml:space="preserve"> Az itt közölt adatok nem képezik a kiválasztott Program feltételrendszerét, ezért nem zárják ki a kérelmet a finanszírozásból, de a kért adatokat a valóságnak megfelelően közölni kell.</t>
  </si>
  <si>
    <t>Futamidő kezdete</t>
  </si>
  <si>
    <t>ebből az MFB felé fizetendő refinanszírozási kamat:</t>
  </si>
  <si>
    <t>kell-e a Ttnyil_all fül</t>
  </si>
  <si>
    <t xml:space="preserve">Jelen fedlap továbbá a pöttyözött oldalak kinyomtatása nem szükséges. </t>
  </si>
  <si>
    <t>– a vállalkozás nincs nehéz helyzetben</t>
  </si>
  <si>
    <t>napok</t>
  </si>
  <si>
    <t>hónap</t>
  </si>
  <si>
    <t>Törlesztés kezdete dátumhoz igazított futamidő kezdete</t>
  </si>
  <si>
    <t xml:space="preserve">Kamat </t>
  </si>
  <si>
    <t xml:space="preserve">A refinanszírozási kérelmi csomag 10 fülből áll.  </t>
  </si>
  <si>
    <t>MFB Régió Versenyképességi Pénzügyi Vállalkozás Refinanszírozási Program</t>
  </si>
  <si>
    <t>50000000</t>
  </si>
  <si>
    <t>Kamatozás típusa</t>
  </si>
  <si>
    <t>– a Refinanszírozási kérelmi csomagban, valamint az ügyfél finanszírozási kérelmében foglaltak teljes mértékben megfelelnek a kiválasztott Program Útmutatójában meghatározott feltételeknek,</t>
  </si>
  <si>
    <t>MNB</t>
  </si>
  <si>
    <t>EKB</t>
  </si>
  <si>
    <t>forgóeszköz hitel</t>
  </si>
  <si>
    <t>akvizíciós hitel</t>
  </si>
  <si>
    <t xml:space="preserve">–  a Lízing/Kölcsön felhasználásának keretében a beszerzéseket (áruk vásárlása, szolgáltatás igénybe vétele, munkálatok megrendelése) az Európai Unió jogának, és különösen – amennyiben azok alkalmazandók a beruházásra – a vonatkozó európai uniós irányelveknek megfelelően hajtom végre,
</t>
  </si>
  <si>
    <t>elsődleges mezőgazdasági termelés támogatása</t>
  </si>
  <si>
    <t>mezőgazdasági termékek feldolgozásának forgalmazásának támogatása</t>
  </si>
  <si>
    <t>ügyfélcsoport kérdés</t>
  </si>
  <si>
    <t>legördülő</t>
  </si>
  <si>
    <t>Ország</t>
  </si>
  <si>
    <t>aláírás</t>
  </si>
  <si>
    <t>AT</t>
  </si>
  <si>
    <t>SI</t>
  </si>
  <si>
    <t>Burgenland</t>
  </si>
  <si>
    <t>Niederösterreich</t>
  </si>
  <si>
    <t>Wien</t>
  </si>
  <si>
    <t>Kärnten</t>
  </si>
  <si>
    <t>Steiermark</t>
  </si>
  <si>
    <t>Oberösterreich</t>
  </si>
  <si>
    <t>Salzburg</t>
  </si>
  <si>
    <t>Tirol</t>
  </si>
  <si>
    <t>Vorarlberg</t>
  </si>
  <si>
    <t>Jadranska Hrvatska</t>
  </si>
  <si>
    <t>Kontinentalna Hrvatska</t>
  </si>
  <si>
    <t>Nord-Vest</t>
  </si>
  <si>
    <t>Centru</t>
  </si>
  <si>
    <t>Nord-Est</t>
  </si>
  <si>
    <t>Sud-Est</t>
  </si>
  <si>
    <t>Sud – Muntenia</t>
  </si>
  <si>
    <t>București – Ilfov</t>
  </si>
  <si>
    <t>Sud-Vest Oltenia</t>
  </si>
  <si>
    <t>Vest</t>
  </si>
  <si>
    <t>Vzhodna Slovenija</t>
  </si>
  <si>
    <t>Zahodna Slovenija</t>
  </si>
  <si>
    <t>Bratislavský kraj</t>
  </si>
  <si>
    <t>Západné Slovensko</t>
  </si>
  <si>
    <t>Stredné Slovensko</t>
  </si>
  <si>
    <t>Východné Slovensko</t>
  </si>
  <si>
    <t>Régiók</t>
  </si>
  <si>
    <t>HR</t>
  </si>
  <si>
    <t>RO</t>
  </si>
  <si>
    <t>SK</t>
  </si>
  <si>
    <t>országkód</t>
  </si>
  <si>
    <t>felugró régió lista</t>
  </si>
  <si>
    <t xml:space="preserve">Alulírott tudomásul veszem, hogy
• a finanszírozó pénzügyi intézmény részére az általam megadott adataim az 1408/2013/EU bizottsági rendelet (mezőgazdasági csekély összegű bizottsági rendelet), a 717/2014/EU bizottsági rendelet (halászati csekély összegű bizottsági rendelet), valamint az 1407/2013/EU bizottsági rendelet (általános csekély összegű bizottsági rendelet) szerinti egyéni és tagállami küszöbérték ellenőrzése céljából felhasználásra és feldolgozásra kerülnek, 
• a kiválasztott Program igénybevétele érdekében, a rendelkezésre álló szabad egyéni csekély összegű támogatási keretem ellenőrzése céljából a finanszírozó pénzügyi intézmény a részére általam megadott adataim alapján a Magyar Államkincstártól (a továbbiakban: Kincstár) adatokat kér és az igényelt állami támogatás támogatástartalmának összege az 1407/2013/EU bizottsági rendelet hatálya alá tartozó agrár és vidékfejlesztési támogatások esetében a lízingszerződés/kölcsönszerződés megkötésekor a Kincstár által, a mezőgazdasági, agrár-vidékfejlesztési, valamint halászati támogatásokhoz és egyéb intézkedésekhez kapcsolódó eljárás egyes kérdéseiről szóló 2007. évi XVII. törvény 26. § (1) bekezdés f) pontja szerinti nyilvántartási rendszerében zárolásra kerül,
• nem megfelelő ügyfél-azonosító megadása esetén az általam megadott további adatok alapján történő beazonosítást követően a Kincstár az ügyfél-azonosítómat megküldi a finanszírozó pénzügyi intézmény részére, 
• amennyiben a kedvezményes kamatozású kölcsön ugyanazon elszámolható költség vonatkozásában egyéb más csekély összegű támogatással halmozódik, a finanszírozó pénzügyi intézmény a részére megadott adataim alapján a Kincstártól adatokat kér, 
• a rendelkezésre álló szabad csekély összegű támogatási keretem alapján - figyelembe véve a vállalkozással egy és ugyanazon vállalkozásnak minősülő vállalkozás(ok) által igénybe vett csekély összegű támogatásokat is - kerül megállapításra az igénybe vehető kedvezményes kamatozású kölcsön/lízing összege. </t>
  </si>
  <si>
    <t>A finanszírozás típusa bh vagy lízing</t>
  </si>
  <si>
    <t>Tudomásul vételi nyilatkozatok</t>
  </si>
  <si>
    <t>• a finanszírozó pénzügyi intézmény a Kincstár által szabályozott módon köteles az adataimat a Kincstárnak beküldeni; 
• a jelen Nyilatkozat általam kitöltött eredeti példányát a finanszírozó pénzügyi intézmény elkülönítetten köteles kezelni, a Kincstár által ellenőrizhető módon tárolni, és kérésre köteles haladéktalanul a Kincstár, illetve az MFB Zrt. rendelkezésére bocsátani;                                                                                                                                                                                             
• a Kincstár és az MFB Zrt a tudomásulvételi nyilatkozat és a meghatalmazás meglétét, valamint azok tartalmát bármikor ellenőrizheti;
• a Kincstárral a kapcsolattartás a Támogatási törvény 28. §-a szerinti Egységes Mezőgazdasági Ügyfél-nyilvántartási Rendszerbe bejelentett adatok alapján történik;</t>
  </si>
  <si>
    <r>
      <t xml:space="preserve">Hozzájárulok ahhoz, hogy </t>
    </r>
    <r>
      <rPr>
        <sz val="11"/>
        <color theme="1"/>
        <rFont val="Tahoma"/>
        <family val="2"/>
        <charset val="238"/>
      </rPr>
      <t>az állami támogatással kapcsolatban vállalt kötelezettségeim nem teljesítése esetén a kapott támogatás - a mindenkor hatályos jogszabályok, jelenleg a 271/2008/EK bizottsági rendelettel módosított, az Európai Közösséget létrehozó Szerződés 93. cikkének alkalmazására vonatkozó részletes szabályok megállapításáról szóló  659/1999/EK tanácsi rendelet végrehajtásáról szóló 2004. április 21-i 794/2004/EK bizottsági rendeletben (HL L 140, 2004. április 30., 1. o.) foglaltak alapján megállapított, és a referencia és diszkont ráták megállapítási módjáról szóló Bizottsági közleménynek (a Bizottság 2008/C 14/02 közleménye a referencia-kamatláb és a leszámítolási kamatláb megállapítási módjának módosításáról, megjelent az Európai Unió Hivatalos Lapjában 2008.01.19-én C 14. 6-9. oldal) megfelelően kiszámított - visszatérítési kamattal növelt összegét beszedés alkalmazásával szedje be az MFB Magyar Fejlesztési Bank Zártkörűen Működő Részvénytársaság (1051 Budapest, Nádor utca 31.), köteles vagyok a számlavezető bankomat utasítani a beszedés teljesítésére.</t>
    </r>
  </si>
  <si>
    <t>A természetes személyeknek a személyes adatok kezelése tekintetében történő védelméről és az ilyen adatok szabad áramlásáról, valamint a 95/46/EK irányelv hatályon kívül helyezéséről szóló, 2016. április 27-i (EU) 2016/679 európai parlamenti és tanácsi rendelet 6. § (1) bekezdés a) pontja, valamint a gazdasági reklámtevékenység alapvető feltételeiről és egyes korlátairól szóló 2008. évi XLVIII. törvény (a továbbiakban: Grt.) 6. § (1) bekezdése, az elektronikus kereskedelmi szolgáltatások alapján kifejezetten</t>
  </si>
  <si>
    <t>Az adatkezelés célja, hogy az MFB Zrt. a saját marketing adatbázisában tárolt érintetti adatok felhasználásával az üzleti tevékenységre vonatkozó piaci szokásokat elemezze, célzottabb ügyfélkiszolgálást valósítson meg, az MFB Zrt. akciós és kedvezményes ajánlatairól tájékoztató anyagokat, direkt marketing tartalmú megkereséseket, személyre szóló ajánlatokat és gazdasági reklámot is tartalmazó e-mail hírleveveleket küldjön, a piackutatási tevékenységet, statisztikai célú adatgyűjtést végezzen. Az adatkezelés jogalapja: az érintett önkéntes hozzájárulása.</t>
  </si>
  <si>
    <t>A kezelt adatok köre: a finanszírozást igénylő vállalkozás teljes neve (cégforma is), a vállalkozás/egyéni vállalkozó/őstermelő székhelye (ország, helység, postafiók, közterület neve, jellege, hsz.em.ajtó), e-mail címe, telefonszáma, adószáma</t>
  </si>
  <si>
    <t>tere</t>
  </si>
  <si>
    <t>Befektetett pénzügyi eszközök</t>
  </si>
  <si>
    <t>ebből használt gép, berendezés</t>
  </si>
  <si>
    <t>A beruházás összes aktiválható költsége, nettó pénzigénye EUR-ban:</t>
  </si>
  <si>
    <t>MFB Gazdaság Újjáépítési Hitel Program</t>
  </si>
  <si>
    <t>GUHP beru</t>
  </si>
  <si>
    <t>GUHP beru+forg</t>
  </si>
  <si>
    <t>GUHP ön. forg.</t>
  </si>
  <si>
    <t>GUHP ing. évtúl</t>
  </si>
  <si>
    <t>GUHP ing. évbel</t>
  </si>
  <si>
    <t>Likvid sor kell</t>
  </si>
  <si>
    <t>Verzió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</si>
</sst>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 _F_t_-;\-* #,##0.00\ _F_t_-;_-* &quot;-&quot;??\ _F_t_-;_-@_-"/>
    <numFmt numFmtId="165" formatCode="_(* #,##0.00_);_(* \(#,##0.00\);_(* &quot;-&quot;??_);_(@_)"/>
    <numFmt numFmtId="166" formatCode="_-* #,##0\ _F_t_-;\-* #,##0\ _F_t_-;_-* &quot;-&quot;??\ _F_t_-;_-@_-"/>
    <numFmt numFmtId="167" formatCode="#,##0\ &quot;Ft&quot;"/>
    <numFmt numFmtId="168" formatCode="0.0%"/>
    <numFmt numFmtId="169" formatCode="yyyy/mm/dd;@"/>
    <numFmt numFmtId="170" formatCode="_-* #,##0\ _F_t_-;\-* #,##0\ _F_t_-;_-* &quot;-&quot;????\ _F_t_-;_-@_-"/>
    <numFmt numFmtId="171" formatCode="0.0000%"/>
    <numFmt numFmtId="172" formatCode="_-* #,##0.0000\ _F_t_-;\-* #,##0.0000\ _F_t_-;_-* &quot;-&quot;??\ _F_t_-;_-@_-"/>
    <numFmt numFmtId="173" formatCode="_(* #,##0_);_(* \(#,##0\);_(* &quot;-&quot;??_);_(@_)"/>
    <numFmt numFmtId="174" formatCode="#,##0.00\ [$EUR];\-#,##0.00\ [$EUR]"/>
    <numFmt numFmtId="175" formatCode="#,##0.00\ [$EUR]"/>
  </numFmts>
  <fonts count="66" x14ac:knownFonts="1">
    <font>
      <sz val="11"/>
      <color theme="1"/>
      <name val="Calibri"/>
      <family val="2"/>
      <charset val="238"/>
      <scheme val="minor"/>
    </font>
    <font>
      <sz val="10"/>
      <name val="Arial"/>
      <family val="2"/>
      <charset val="238"/>
    </font>
    <font>
      <b/>
      <sz val="9"/>
      <color indexed="81"/>
      <name val="Tahoma"/>
      <family val="2"/>
      <charset val="238"/>
    </font>
    <font>
      <b/>
      <sz val="10"/>
      <name val="Tahoma"/>
      <family val="2"/>
      <charset val="238"/>
    </font>
    <font>
      <sz val="10"/>
      <name val="Tahoma"/>
      <family val="2"/>
      <charset val="238"/>
    </font>
    <font>
      <sz val="11"/>
      <color theme="1"/>
      <name val="Calibri"/>
      <family val="2"/>
      <charset val="238"/>
      <scheme val="minor"/>
    </font>
    <font>
      <u/>
      <sz val="11"/>
      <color theme="10"/>
      <name val="Calibri"/>
      <family val="2"/>
      <charset val="238"/>
      <scheme val="minor"/>
    </font>
    <font>
      <sz val="9"/>
      <color theme="1"/>
      <name val="Arial"/>
      <family val="2"/>
      <charset val="238"/>
    </font>
    <font>
      <sz val="11"/>
      <name val="Calibri"/>
      <family val="2"/>
      <charset val="238"/>
      <scheme val="minor"/>
    </font>
    <font>
      <sz val="11"/>
      <color theme="1"/>
      <name val="Arial"/>
      <family val="2"/>
      <charset val="238"/>
    </font>
    <font>
      <sz val="10"/>
      <color rgb="FF000000"/>
      <name val="Times New Roman"/>
      <family val="1"/>
      <charset val="238"/>
    </font>
    <font>
      <b/>
      <sz val="11"/>
      <color theme="0"/>
      <name val="Calibri"/>
      <family val="2"/>
      <charset val="238"/>
      <scheme val="minor"/>
    </font>
    <font>
      <sz val="10"/>
      <color rgb="FFFF0000"/>
      <name val="Tahoma"/>
      <family val="2"/>
      <charset val="238"/>
    </font>
    <font>
      <b/>
      <sz val="8"/>
      <color indexed="81"/>
      <name val="Tahoma"/>
      <family val="2"/>
      <charset val="238"/>
    </font>
    <font>
      <sz val="8"/>
      <color indexed="81"/>
      <name val="Tahoma"/>
      <family val="2"/>
      <charset val="238"/>
    </font>
    <font>
      <sz val="11"/>
      <color rgb="FF000000"/>
      <name val="Calibri"/>
      <family val="2"/>
      <charset val="238"/>
    </font>
    <font>
      <sz val="10"/>
      <color theme="0" tint="-0.499984740745262"/>
      <name val="Tahoma"/>
      <family val="2"/>
      <charset val="238"/>
    </font>
    <font>
      <sz val="10"/>
      <color theme="1"/>
      <name val="Tahoma"/>
      <family val="2"/>
      <charset val="238"/>
    </font>
    <font>
      <b/>
      <sz val="10"/>
      <color theme="1"/>
      <name val="Tahoma"/>
      <family val="2"/>
      <charset val="238"/>
    </font>
    <font>
      <sz val="10"/>
      <color rgb="FF1F497D"/>
      <name val="Tahoma"/>
      <family val="2"/>
      <charset val="238"/>
    </font>
    <font>
      <b/>
      <sz val="10"/>
      <color theme="0"/>
      <name val="Tahoma"/>
      <family val="2"/>
      <charset val="238"/>
    </font>
    <font>
      <b/>
      <sz val="10"/>
      <color indexed="9"/>
      <name val="Tahoma"/>
      <family val="2"/>
      <charset val="238"/>
    </font>
    <font>
      <b/>
      <sz val="10"/>
      <color rgb="FFFF0000"/>
      <name val="Tahoma"/>
      <family val="2"/>
      <charset val="238"/>
    </font>
    <font>
      <sz val="11"/>
      <color rgb="FF9C0006"/>
      <name val="Calibri"/>
      <family val="2"/>
      <charset val="238"/>
      <scheme val="minor"/>
    </font>
    <font>
      <sz val="10"/>
      <color theme="0"/>
      <name val="Tahoma"/>
      <family val="2"/>
      <charset val="238"/>
    </font>
    <font>
      <u/>
      <sz val="11"/>
      <color theme="10"/>
      <name val="Tahoma"/>
      <family val="2"/>
      <charset val="238"/>
    </font>
    <font>
      <sz val="11"/>
      <color theme="1"/>
      <name val="Tahoma"/>
      <family val="2"/>
      <charset val="238"/>
    </font>
    <font>
      <sz val="10"/>
      <color theme="9" tint="-0.499984740745262"/>
      <name val="Tahoma"/>
      <family val="2"/>
      <charset val="238"/>
    </font>
    <font>
      <b/>
      <sz val="10"/>
      <color theme="0" tint="-0.34998626667073579"/>
      <name val="Tahoma"/>
      <family val="2"/>
      <charset val="238"/>
    </font>
    <font>
      <b/>
      <sz val="10"/>
      <color theme="9" tint="-0.499984740745262"/>
      <name val="Tahoma"/>
      <family val="2"/>
      <charset val="238"/>
    </font>
    <font>
      <strike/>
      <sz val="10"/>
      <color theme="1"/>
      <name val="Tahoma"/>
      <family val="2"/>
      <charset val="238"/>
    </font>
    <font>
      <b/>
      <sz val="10"/>
      <color rgb="FF1F497D"/>
      <name val="Tahoma"/>
      <family val="2"/>
      <charset val="238"/>
    </font>
    <font>
      <b/>
      <sz val="16"/>
      <color theme="0"/>
      <name val="Tahoma"/>
      <family val="2"/>
      <charset val="238"/>
    </font>
    <font>
      <b/>
      <sz val="16"/>
      <color theme="3"/>
      <name val="Tahoma"/>
      <family val="2"/>
      <charset val="238"/>
    </font>
    <font>
      <b/>
      <sz val="12"/>
      <name val="Tahoma"/>
      <family val="2"/>
      <charset val="238"/>
    </font>
    <font>
      <b/>
      <sz val="12"/>
      <color theme="0"/>
      <name val="Tahoma"/>
      <family val="2"/>
      <charset val="238"/>
    </font>
    <font>
      <b/>
      <sz val="14"/>
      <color theme="1"/>
      <name val="Tahoma"/>
      <family val="2"/>
      <charset val="238"/>
    </font>
    <font>
      <b/>
      <sz val="11"/>
      <color theme="1"/>
      <name val="Tahoma"/>
      <family val="2"/>
      <charset val="238"/>
    </font>
    <font>
      <sz val="11"/>
      <color rgb="FFFFFFFF"/>
      <name val="Calibri"/>
      <family val="2"/>
      <charset val="238"/>
    </font>
    <font>
      <sz val="10"/>
      <color rgb="FF000000"/>
      <name val="Arial"/>
      <family val="2"/>
      <charset val="238"/>
    </font>
    <font>
      <sz val="11"/>
      <name val="Tahoma"/>
      <family val="2"/>
      <charset val="238"/>
    </font>
    <font>
      <sz val="11"/>
      <color rgb="FFFF0000"/>
      <name val="Tahoma"/>
      <family val="2"/>
      <charset val="238"/>
    </font>
    <font>
      <sz val="10"/>
      <color rgb="FF000000"/>
      <name val="Tahoma"/>
      <family val="2"/>
      <charset val="238"/>
    </font>
    <font>
      <u/>
      <sz val="10"/>
      <color theme="10"/>
      <name val="Arial"/>
      <family val="2"/>
      <charset val="238"/>
    </font>
    <font>
      <b/>
      <sz val="10"/>
      <color rgb="FF000000"/>
      <name val="Tahoma"/>
      <family val="2"/>
      <charset val="238"/>
    </font>
    <font>
      <u/>
      <sz val="11"/>
      <color rgb="FFFF0000"/>
      <name val="Calibri"/>
      <family val="2"/>
      <charset val="238"/>
      <scheme val="minor"/>
    </font>
    <font>
      <sz val="16"/>
      <color rgb="FFFF0000"/>
      <name val="Tahoma"/>
      <family val="2"/>
      <charset val="238"/>
    </font>
    <font>
      <sz val="14"/>
      <color rgb="FFFF0000"/>
      <name val="Tahoma"/>
      <family val="2"/>
      <charset val="238"/>
    </font>
    <font>
      <u/>
      <sz val="11"/>
      <name val="Calibri"/>
      <family val="2"/>
      <charset val="238"/>
      <scheme val="minor"/>
    </font>
    <font>
      <b/>
      <sz val="11"/>
      <name val="Tahoma"/>
      <family val="2"/>
      <charset val="238"/>
    </font>
    <font>
      <sz val="11"/>
      <color theme="0"/>
      <name val="Tahoma"/>
      <family val="2"/>
      <charset val="238"/>
    </font>
    <font>
      <b/>
      <sz val="11"/>
      <color rgb="FFFF0000"/>
      <name val="Tahoma"/>
      <family val="2"/>
      <charset val="238"/>
    </font>
    <font>
      <b/>
      <sz val="11"/>
      <color indexed="9"/>
      <name val="Tahoma"/>
      <family val="2"/>
      <charset val="238"/>
    </font>
    <font>
      <b/>
      <sz val="11"/>
      <color theme="0"/>
      <name val="Tahoma"/>
      <family val="2"/>
      <charset val="238"/>
    </font>
    <font>
      <b/>
      <u/>
      <sz val="11"/>
      <name val="Tahoma"/>
      <family val="2"/>
      <charset val="238"/>
    </font>
    <font>
      <b/>
      <sz val="11"/>
      <color indexed="10"/>
      <name val="Tahoma"/>
      <family val="2"/>
      <charset val="238"/>
    </font>
    <font>
      <b/>
      <sz val="14"/>
      <color theme="0"/>
      <name val="Tahoma"/>
      <family val="2"/>
      <charset val="238"/>
    </font>
    <font>
      <b/>
      <sz val="14"/>
      <color theme="3"/>
      <name val="Tahoma"/>
      <family val="2"/>
      <charset val="238"/>
    </font>
    <font>
      <b/>
      <sz val="12"/>
      <color theme="3"/>
      <name val="Tahoma"/>
      <family val="2"/>
      <charset val="238"/>
    </font>
    <font>
      <b/>
      <sz val="12"/>
      <color rgb="FFFF0000"/>
      <name val="Tahoma"/>
      <family val="2"/>
      <charset val="238"/>
    </font>
    <font>
      <u/>
      <sz val="12"/>
      <color theme="10"/>
      <name val="Calibri"/>
      <family val="2"/>
      <charset val="238"/>
      <scheme val="minor"/>
    </font>
    <font>
      <sz val="12"/>
      <name val="Calibri"/>
      <family val="2"/>
      <charset val="238"/>
      <scheme val="minor"/>
    </font>
    <font>
      <sz val="8"/>
      <color theme="1"/>
      <name val="Tahoma"/>
      <family val="2"/>
      <charset val="238"/>
    </font>
    <font>
      <sz val="9"/>
      <color indexed="81"/>
      <name val="Tahoma"/>
      <family val="2"/>
      <charset val="238"/>
    </font>
    <font>
      <sz val="11"/>
      <color rgb="FF000000"/>
      <name val="Calibri"/>
      <family val="2"/>
      <charset val="238"/>
      <scheme val="minor"/>
    </font>
    <font>
      <sz val="11"/>
      <color rgb="FF000000"/>
      <name val="Calibri"/>
      <family val="2"/>
    </font>
  </fonts>
  <fills count="3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92D050"/>
        <bgColor indexed="64"/>
      </patternFill>
    </fill>
    <fill>
      <patternFill patternType="solid">
        <fgColor rgb="FFA5A5A5"/>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C7CE"/>
      </patternFill>
    </fill>
    <fill>
      <patternFill patternType="solid">
        <fgColor theme="8"/>
        <bgColor indexed="64"/>
      </patternFill>
    </fill>
    <fill>
      <patternFill patternType="solid">
        <fgColor theme="9"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FFFF"/>
        <bgColor rgb="FFFFFFFF"/>
      </patternFill>
    </fill>
    <fill>
      <patternFill patternType="solid">
        <fgColor theme="6" tint="0.79998168889431442"/>
        <bgColor indexed="64"/>
      </patternFill>
    </fill>
    <fill>
      <patternFill patternType="solid">
        <fgColor theme="9" tint="0.39997558519241921"/>
        <bgColor indexed="64"/>
      </patternFill>
    </fill>
    <fill>
      <patternFill patternType="gray0625">
        <bgColor theme="0"/>
      </patternFill>
    </fill>
    <fill>
      <patternFill patternType="lightGray">
        <bgColor theme="0"/>
      </patternFill>
    </fill>
    <fill>
      <patternFill patternType="lightGray">
        <bgColor theme="0" tint="-0.34998626667073579"/>
      </patternFill>
    </fill>
    <fill>
      <patternFill patternType="lightGray">
        <bgColor indexed="9"/>
      </patternFill>
    </fill>
    <fill>
      <patternFill patternType="lightGray"/>
    </fill>
    <fill>
      <patternFill patternType="lightGray">
        <bgColor theme="4" tint="0.79998168889431442"/>
      </patternFill>
    </fill>
    <fill>
      <patternFill patternType="solid">
        <fgColor theme="4" tint="0.59999389629810485"/>
        <bgColor indexed="64"/>
      </patternFill>
    </fill>
  </fills>
  <borders count="70">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rgb="FFFF0000"/>
      </right>
      <top/>
      <bottom/>
      <diagonal/>
    </border>
    <border>
      <left style="thin">
        <color rgb="FFFF0000"/>
      </left>
      <right style="thin">
        <color indexed="64"/>
      </right>
      <top/>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top/>
      <bottom style="medium">
        <color indexed="64"/>
      </bottom>
      <diagonal/>
    </border>
    <border>
      <left/>
      <right/>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right style="dotted">
        <color indexed="64"/>
      </right>
      <top/>
      <bottom/>
      <diagonal/>
    </border>
  </borders>
  <cellStyleXfs count="24">
    <xf numFmtId="0" fontId="0" fillId="0" borderId="0"/>
    <xf numFmtId="0" fontId="11" fillId="5" borderId="27" applyNumberFormat="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0" fontId="6" fillId="0" borderId="0" applyNumberFormat="0" applyFill="0" applyBorder="0" applyAlignment="0" applyProtection="0"/>
    <xf numFmtId="0" fontId="1" fillId="0" borderId="0"/>
    <xf numFmtId="0" fontId="7"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0" fontId="23" fillId="12" borderId="0" applyNumberFormat="0" applyBorder="0" applyAlignment="0" applyProtection="0"/>
    <xf numFmtId="0" fontId="15" fillId="0" borderId="0"/>
    <xf numFmtId="0" fontId="38" fillId="20" borderId="0" applyNumberFormat="0" applyBorder="0" applyAlignment="0" applyProtection="0"/>
    <xf numFmtId="0" fontId="39" fillId="0" borderId="0" applyNumberFormat="0" applyBorder="0" applyProtection="0"/>
    <xf numFmtId="164" fontId="1" fillId="0" borderId="0" applyFont="0" applyFill="0" applyBorder="0" applyAlignment="0" applyProtection="0"/>
    <xf numFmtId="0" fontId="43" fillId="0" borderId="0" applyNumberFormat="0" applyFill="0" applyBorder="0" applyAlignment="0" applyProtection="0"/>
    <xf numFmtId="0" fontId="5" fillId="0" borderId="0"/>
    <xf numFmtId="165" fontId="5" fillId="0" borderId="0" applyFont="0" applyFill="0" applyBorder="0" applyAlignment="0" applyProtection="0"/>
  </cellStyleXfs>
  <cellXfs count="1803">
    <xf numFmtId="0" fontId="0" fillId="0" borderId="0" xfId="0"/>
    <xf numFmtId="0" fontId="0" fillId="0" borderId="0" xfId="0" applyFill="1"/>
    <xf numFmtId="0" fontId="1" fillId="0" borderId="0" xfId="0" applyFont="1" applyFill="1" applyBorder="1" applyAlignment="1" applyProtection="1">
      <alignment horizontal="left" vertical="top" wrapText="1"/>
    </xf>
    <xf numFmtId="9" fontId="1" fillId="0" borderId="0" xfId="9" applyFont="1" applyProtection="1"/>
    <xf numFmtId="0" fontId="8" fillId="0" borderId="0" xfId="0" applyFont="1"/>
    <xf numFmtId="14" fontId="0" fillId="0" borderId="0" xfId="0" applyNumberFormat="1"/>
    <xf numFmtId="0" fontId="0" fillId="0" borderId="0" xfId="0"/>
    <xf numFmtId="0" fontId="0" fillId="0" borderId="0" xfId="0"/>
    <xf numFmtId="0" fontId="9" fillId="0" borderId="0"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9" fontId="0" fillId="0" borderId="6" xfId="0" applyNumberFormat="1" applyBorder="1" applyProtection="1"/>
    <xf numFmtId="0" fontId="9" fillId="0" borderId="7" xfId="0" applyFont="1" applyBorder="1" applyAlignment="1">
      <alignment vertical="center"/>
    </xf>
    <xf numFmtId="9" fontId="0" fillId="0" borderId="8" xfId="0" applyNumberFormat="1" applyBorder="1" applyProtection="1"/>
    <xf numFmtId="0" fontId="9" fillId="4" borderId="7" xfId="0" applyFont="1" applyFill="1" applyBorder="1" applyAlignment="1">
      <alignment vertical="center"/>
    </xf>
    <xf numFmtId="0" fontId="9" fillId="3" borderId="7" xfId="0" applyFont="1" applyFill="1" applyBorder="1" applyAlignment="1">
      <alignment vertical="center"/>
    </xf>
    <xf numFmtId="0" fontId="9" fillId="0" borderId="7" xfId="0" applyFont="1" applyBorder="1"/>
    <xf numFmtId="0" fontId="10" fillId="0" borderId="7" xfId="0" applyFont="1" applyBorder="1"/>
    <xf numFmtId="9" fontId="8" fillId="0" borderId="8" xfId="0" applyNumberFormat="1" applyFont="1" applyBorder="1"/>
    <xf numFmtId="0" fontId="8" fillId="0" borderId="7" xfId="0" applyFont="1" applyBorder="1"/>
    <xf numFmtId="0" fontId="10" fillId="0" borderId="9" xfId="0" applyFont="1" applyBorder="1"/>
    <xf numFmtId="0" fontId="9" fillId="0" borderId="10" xfId="0" applyFont="1" applyBorder="1" applyAlignment="1">
      <alignment vertical="center"/>
    </xf>
    <xf numFmtId="9" fontId="8" fillId="0" borderId="11" xfId="0" applyNumberFormat="1" applyFont="1" applyBorder="1"/>
    <xf numFmtId="9" fontId="0" fillId="0" borderId="0" xfId="0" applyNumberFormat="1"/>
    <xf numFmtId="0" fontId="0" fillId="0" borderId="2" xfId="0" applyFill="1" applyBorder="1"/>
    <xf numFmtId="0" fontId="6" fillId="2" borderId="0" xfId="6" applyFill="1" applyBorder="1" applyAlignment="1">
      <alignment horizontal="center" vertical="center"/>
    </xf>
    <xf numFmtId="0" fontId="0" fillId="0" borderId="28" xfId="0" applyBorder="1" applyAlignment="1">
      <alignment horizontal="center"/>
    </xf>
    <xf numFmtId="0" fontId="0" fillId="0" borderId="29" xfId="0" applyBorder="1"/>
    <xf numFmtId="0" fontId="0" fillId="0" borderId="30" xfId="0" applyBorder="1"/>
    <xf numFmtId="0" fontId="0" fillId="0" borderId="22" xfId="0" applyBorder="1" applyAlignment="1">
      <alignment horizontal="center"/>
    </xf>
    <xf numFmtId="0" fontId="0" fillId="0" borderId="23" xfId="0" applyBorder="1"/>
    <xf numFmtId="0" fontId="0" fillId="0" borderId="24" xfId="0" applyBorder="1"/>
    <xf numFmtId="0" fontId="0" fillId="0" borderId="23" xfId="0" quotePrefix="1" applyBorder="1"/>
    <xf numFmtId="0" fontId="6" fillId="0" borderId="22" xfId="6" applyFill="1" applyBorder="1" applyAlignment="1">
      <alignment horizontal="center"/>
    </xf>
    <xf numFmtId="10" fontId="0" fillId="0" borderId="23" xfId="0" applyNumberFormat="1" applyBorder="1"/>
    <xf numFmtId="0" fontId="0" fillId="0" borderId="23" xfId="0" applyBorder="1" applyAlignment="1">
      <alignment wrapText="1"/>
    </xf>
    <xf numFmtId="0" fontId="0" fillId="0" borderId="29" xfId="0" applyBorder="1" applyAlignment="1">
      <alignment vertical="center"/>
    </xf>
    <xf numFmtId="0" fontId="0" fillId="0" borderId="23" xfId="0" applyBorder="1" applyAlignment="1">
      <alignment vertical="center"/>
    </xf>
    <xf numFmtId="166" fontId="17" fillId="0" borderId="0" xfId="2" applyNumberFormat="1" applyFont="1" applyFill="1" applyBorder="1" applyAlignment="1" applyProtection="1">
      <alignment horizontal="center"/>
      <protection locked="0"/>
    </xf>
    <xf numFmtId="49" fontId="4" fillId="6" borderId="0" xfId="7" applyNumberFormat="1" applyFont="1" applyFill="1" applyBorder="1" applyProtection="1"/>
    <xf numFmtId="0" fontId="4" fillId="6" borderId="0" xfId="7" applyFont="1" applyFill="1" applyBorder="1" applyProtection="1"/>
    <xf numFmtId="49" fontId="4" fillId="6" borderId="0" xfId="7" applyNumberFormat="1" applyFont="1" applyFill="1" applyBorder="1" applyAlignment="1" applyProtection="1"/>
    <xf numFmtId="0" fontId="17" fillId="0" borderId="0" xfId="0" applyFont="1" applyProtection="1"/>
    <xf numFmtId="0" fontId="4" fillId="6" borderId="0" xfId="7" applyNumberFormat="1" applyFont="1" applyFill="1" applyBorder="1" applyProtection="1"/>
    <xf numFmtId="0" fontId="4" fillId="6" borderId="0" xfId="7" applyNumberFormat="1" applyFont="1" applyFill="1" applyBorder="1" applyAlignment="1" applyProtection="1"/>
    <xf numFmtId="0" fontId="17" fillId="6" borderId="0" xfId="0" applyFont="1" applyFill="1" applyBorder="1" applyAlignment="1" applyProtection="1"/>
    <xf numFmtId="0" fontId="18" fillId="6" borderId="0" xfId="0" applyFont="1" applyFill="1" applyBorder="1" applyAlignment="1" applyProtection="1"/>
    <xf numFmtId="165" fontId="4" fillId="8" borderId="0" xfId="2" applyFont="1" applyFill="1" applyBorder="1" applyAlignment="1" applyProtection="1">
      <alignment horizontal="center" vertical="center" wrapText="1"/>
      <protection locked="0"/>
    </xf>
    <xf numFmtId="0" fontId="17" fillId="0" borderId="0" xfId="0" applyFont="1" applyFill="1" applyBorder="1" applyProtection="1"/>
    <xf numFmtId="0" fontId="17" fillId="0" borderId="0" xfId="0" applyFont="1" applyFill="1" applyProtection="1"/>
    <xf numFmtId="0" fontId="12" fillId="6" borderId="0"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7" fillId="0" borderId="0" xfId="0" applyFont="1" applyBorder="1" applyProtection="1"/>
    <xf numFmtId="165" fontId="16" fillId="6" borderId="0" xfId="2" applyFont="1" applyFill="1" applyBorder="1" applyAlignment="1" applyProtection="1">
      <alignment horizontal="center" vertical="center" wrapText="1"/>
      <protection locked="0"/>
    </xf>
    <xf numFmtId="0" fontId="17" fillId="6" borderId="0" xfId="0" applyFont="1" applyFill="1" applyBorder="1" applyAlignment="1" applyProtection="1">
      <alignment horizontal="center" vertical="center" wrapText="1"/>
      <protection locked="0"/>
    </xf>
    <xf numFmtId="166" fontId="17" fillId="6" borderId="12" xfId="2" applyNumberFormat="1" applyFont="1" applyFill="1" applyBorder="1" applyAlignment="1" applyProtection="1">
      <alignment horizontal="center" vertical="center" wrapText="1"/>
      <protection locked="0"/>
    </xf>
    <xf numFmtId="0" fontId="17" fillId="6" borderId="0" xfId="0" applyFont="1" applyFill="1" applyBorder="1" applyAlignment="1" applyProtection="1">
      <alignment horizontal="center" wrapText="1"/>
      <protection locked="0"/>
    </xf>
    <xf numFmtId="0" fontId="0" fillId="6" borderId="0" xfId="0" applyFill="1"/>
    <xf numFmtId="165" fontId="0" fillId="6" borderId="0" xfId="2" applyFont="1" applyFill="1"/>
    <xf numFmtId="0" fontId="0" fillId="6" borderId="2" xfId="0" applyFill="1" applyBorder="1" applyAlignment="1">
      <alignment vertical="top"/>
    </xf>
    <xf numFmtId="0" fontId="0" fillId="6" borderId="2" xfId="0" applyFill="1" applyBorder="1"/>
    <xf numFmtId="165" fontId="0" fillId="6" borderId="0" xfId="2" applyFont="1" applyFill="1" applyBorder="1"/>
    <xf numFmtId="173" fontId="0" fillId="6" borderId="0" xfId="2" applyNumberFormat="1" applyFont="1" applyFill="1"/>
    <xf numFmtId="14" fontId="0" fillId="6" borderId="2" xfId="0" applyNumberFormat="1" applyFill="1" applyBorder="1"/>
    <xf numFmtId="166" fontId="0" fillId="6" borderId="2" xfId="2" applyNumberFormat="1" applyFont="1" applyFill="1" applyBorder="1"/>
    <xf numFmtId="173" fontId="12" fillId="15" borderId="21" xfId="2" applyNumberFormat="1" applyFont="1" applyFill="1" applyBorder="1" applyAlignment="1">
      <alignment horizontal="left" vertical="center"/>
    </xf>
    <xf numFmtId="0" fontId="17" fillId="6" borderId="0" xfId="0" applyFont="1" applyFill="1"/>
    <xf numFmtId="0" fontId="17" fillId="6" borderId="0" xfId="0" applyFont="1" applyFill="1" applyBorder="1"/>
    <xf numFmtId="0" fontId="17" fillId="6" borderId="0" xfId="0" applyFont="1" applyFill="1" applyBorder="1" applyAlignment="1">
      <alignment horizontal="center"/>
    </xf>
    <xf numFmtId="0" fontId="17" fillId="0" borderId="21" xfId="0" applyFont="1" applyBorder="1"/>
    <xf numFmtId="0" fontId="24" fillId="6" borderId="0" xfId="0" applyFont="1" applyFill="1" applyBorder="1"/>
    <xf numFmtId="0" fontId="17" fillId="6" borderId="7" xfId="0" applyFont="1" applyFill="1" applyBorder="1"/>
    <xf numFmtId="0" fontId="17" fillId="0" borderId="0" xfId="0" applyFont="1" applyBorder="1"/>
    <xf numFmtId="0" fontId="17" fillId="6" borderId="0" xfId="0" applyFont="1" applyFill="1" applyBorder="1" applyAlignment="1">
      <alignment horizontal="left"/>
    </xf>
    <xf numFmtId="0" fontId="17" fillId="6" borderId="9" xfId="0" applyFont="1" applyFill="1" applyBorder="1"/>
    <xf numFmtId="166" fontId="18" fillId="13" borderId="26" xfId="5" applyNumberFormat="1" applyFont="1" applyFill="1" applyBorder="1" applyAlignment="1" applyProtection="1">
      <alignment vertical="center" wrapText="1"/>
    </xf>
    <xf numFmtId="0" fontId="17" fillId="0" borderId="0" xfId="0" applyFont="1" applyFill="1"/>
    <xf numFmtId="0" fontId="17" fillId="0" borderId="0" xfId="0" quotePrefix="1" applyFont="1" applyFill="1" applyAlignment="1">
      <alignment horizontal="right" vertical="center"/>
    </xf>
    <xf numFmtId="0" fontId="17" fillId="0" borderId="0" xfId="0" applyFont="1" applyFill="1" applyBorder="1" applyAlignment="1">
      <alignment vertical="center"/>
    </xf>
    <xf numFmtId="0" fontId="17" fillId="6" borderId="2" xfId="0" applyFont="1" applyFill="1" applyBorder="1" applyAlignment="1">
      <alignment vertical="top"/>
    </xf>
    <xf numFmtId="0" fontId="17" fillId="6" borderId="2" xfId="0" applyFont="1" applyFill="1" applyBorder="1" applyAlignment="1">
      <alignment horizontal="center" vertical="top" wrapText="1"/>
    </xf>
    <xf numFmtId="14" fontId="17" fillId="6" borderId="2" xfId="0" applyNumberFormat="1" applyFont="1" applyFill="1" applyBorder="1" applyAlignment="1">
      <alignment horizontal="center" vertical="top" wrapText="1"/>
    </xf>
    <xf numFmtId="166" fontId="17" fillId="6" borderId="2" xfId="2" applyNumberFormat="1" applyFont="1" applyFill="1" applyBorder="1" applyAlignment="1">
      <alignment horizontal="center" vertical="top" wrapText="1"/>
    </xf>
    <xf numFmtId="0" fontId="17" fillId="0" borderId="2" xfId="0" applyFont="1" applyFill="1" applyBorder="1" applyAlignment="1">
      <alignment horizontal="center" vertical="top" wrapText="1"/>
    </xf>
    <xf numFmtId="0" fontId="17" fillId="0" borderId="2" xfId="0" applyFont="1" applyFill="1" applyBorder="1" applyAlignment="1">
      <alignment horizontal="center" vertical="top"/>
    </xf>
    <xf numFmtId="165" fontId="17" fillId="6" borderId="0" xfId="2" applyFont="1" applyFill="1" applyBorder="1" applyAlignment="1">
      <alignment horizontal="center" vertical="top" wrapText="1"/>
    </xf>
    <xf numFmtId="0" fontId="17" fillId="6" borderId="0" xfId="0" applyFont="1" applyFill="1" applyBorder="1" applyAlignment="1">
      <alignment horizontal="center" vertical="top" wrapText="1"/>
    </xf>
    <xf numFmtId="173" fontId="17" fillId="6" borderId="0" xfId="2" applyNumberFormat="1" applyFont="1" applyFill="1" applyBorder="1" applyAlignment="1">
      <alignment horizontal="center" vertical="top" wrapText="1"/>
    </xf>
    <xf numFmtId="0" fontId="12" fillId="6" borderId="0" xfId="0" applyFont="1" applyFill="1"/>
    <xf numFmtId="0" fontId="17" fillId="6" borderId="2" xfId="0" applyFont="1" applyFill="1" applyBorder="1"/>
    <xf numFmtId="14" fontId="17" fillId="9" borderId="2" xfId="0" applyNumberFormat="1" applyFont="1" applyFill="1" applyBorder="1"/>
    <xf numFmtId="166" fontId="17" fillId="6" borderId="2" xfId="2" applyNumberFormat="1" applyFont="1" applyFill="1" applyBorder="1"/>
    <xf numFmtId="166" fontId="17" fillId="9" borderId="2" xfId="0" applyNumberFormat="1" applyFont="1" applyFill="1" applyBorder="1"/>
    <xf numFmtId="0" fontId="17" fillId="0" borderId="2" xfId="0" applyFont="1" applyFill="1" applyBorder="1"/>
    <xf numFmtId="170" fontId="17" fillId="0" borderId="2" xfId="0" applyNumberFormat="1" applyFont="1" applyFill="1" applyBorder="1"/>
    <xf numFmtId="170" fontId="17" fillId="9" borderId="2" xfId="0" applyNumberFormat="1" applyFont="1" applyFill="1" applyBorder="1"/>
    <xf numFmtId="165" fontId="17" fillId="6" borderId="0" xfId="2" applyFont="1" applyFill="1" applyBorder="1"/>
    <xf numFmtId="166" fontId="17" fillId="6" borderId="0" xfId="0" applyNumberFormat="1" applyFont="1" applyFill="1"/>
    <xf numFmtId="173" fontId="17" fillId="6" borderId="0" xfId="2" applyNumberFormat="1" applyFont="1" applyFill="1"/>
    <xf numFmtId="173" fontId="17" fillId="9" borderId="0" xfId="2" applyNumberFormat="1" applyFont="1" applyFill="1"/>
    <xf numFmtId="165" fontId="27" fillId="6" borderId="0" xfId="2" applyFont="1" applyFill="1"/>
    <xf numFmtId="166" fontId="17" fillId="8" borderId="0" xfId="2" applyNumberFormat="1" applyFont="1" applyFill="1" applyBorder="1" applyProtection="1"/>
    <xf numFmtId="0" fontId="17" fillId="8" borderId="0" xfId="0" applyFont="1" applyFill="1"/>
    <xf numFmtId="14" fontId="17" fillId="6" borderId="2" xfId="0" applyNumberFormat="1" applyFont="1" applyFill="1" applyBorder="1"/>
    <xf numFmtId="166" fontId="17" fillId="6" borderId="2" xfId="0" applyNumberFormat="1" applyFont="1" applyFill="1" applyBorder="1"/>
    <xf numFmtId="166" fontId="17" fillId="6" borderId="0" xfId="2" applyNumberFormat="1" applyFont="1" applyFill="1" applyBorder="1" applyProtection="1"/>
    <xf numFmtId="166" fontId="17" fillId="6" borderId="0" xfId="2" applyNumberFormat="1" applyFont="1" applyFill="1" applyBorder="1" applyAlignment="1" applyProtection="1">
      <alignment horizontal="right"/>
    </xf>
    <xf numFmtId="166" fontId="17" fillId="8" borderId="0" xfId="2" applyNumberFormat="1" applyFont="1" applyFill="1" applyBorder="1" applyAlignment="1" applyProtection="1">
      <alignment horizontal="right"/>
    </xf>
    <xf numFmtId="166" fontId="28" fillId="6" borderId="0" xfId="1" applyNumberFormat="1" applyFont="1" applyFill="1" applyBorder="1"/>
    <xf numFmtId="165" fontId="29" fillId="6" borderId="0" xfId="2" applyFont="1" applyFill="1"/>
    <xf numFmtId="171" fontId="4" fillId="7" borderId="0" xfId="1" applyNumberFormat="1" applyFont="1" applyFill="1" applyBorder="1"/>
    <xf numFmtId="171" fontId="4" fillId="7" borderId="0" xfId="9" applyNumberFormat="1" applyFont="1" applyFill="1" applyBorder="1" applyProtection="1">
      <protection locked="0"/>
    </xf>
    <xf numFmtId="171" fontId="17" fillId="7" borderId="0" xfId="9" applyNumberFormat="1" applyFont="1" applyFill="1" applyBorder="1" applyProtection="1">
      <protection locked="0"/>
    </xf>
    <xf numFmtId="172" fontId="28" fillId="6" borderId="0" xfId="1" quotePrefix="1" applyNumberFormat="1" applyFont="1" applyFill="1" applyBorder="1" applyAlignment="1">
      <alignment horizontal="right"/>
    </xf>
    <xf numFmtId="166" fontId="4" fillId="7" borderId="0" xfId="1" applyNumberFormat="1" applyFont="1" applyFill="1" applyBorder="1"/>
    <xf numFmtId="0" fontId="17" fillId="7" borderId="0" xfId="0" applyFont="1" applyFill="1"/>
    <xf numFmtId="0" fontId="17" fillId="6" borderId="20" xfId="0" applyFont="1" applyFill="1" applyBorder="1" applyAlignment="1">
      <alignment horizontal="left"/>
    </xf>
    <xf numFmtId="0" fontId="27" fillId="6" borderId="0" xfId="0" applyFont="1" applyFill="1" applyBorder="1"/>
    <xf numFmtId="165" fontId="4" fillId="7" borderId="0" xfId="1" applyNumberFormat="1" applyFont="1" applyFill="1" applyBorder="1"/>
    <xf numFmtId="14" fontId="17" fillId="6" borderId="0" xfId="0" applyNumberFormat="1" applyFont="1" applyFill="1"/>
    <xf numFmtId="165" fontId="17" fillId="6" borderId="0" xfId="2" applyFont="1" applyFill="1"/>
    <xf numFmtId="165" fontId="17" fillId="6" borderId="0" xfId="2" applyNumberFormat="1" applyFont="1" applyFill="1"/>
    <xf numFmtId="0" fontId="4" fillId="6" borderId="0" xfId="0" applyFont="1" applyFill="1" applyBorder="1" applyProtection="1"/>
    <xf numFmtId="0" fontId="4" fillId="6" borderId="0" xfId="0" applyNumberFormat="1" applyFont="1" applyFill="1" applyBorder="1" applyAlignment="1" applyProtection="1"/>
    <xf numFmtId="0" fontId="4" fillId="6" borderId="0" xfId="0" applyNumberFormat="1" applyFont="1" applyFill="1" applyBorder="1" applyAlignment="1" applyProtection="1">
      <alignment horizontal="justify" vertical="top"/>
    </xf>
    <xf numFmtId="166" fontId="4" fillId="6" borderId="0" xfId="2" applyNumberFormat="1" applyFont="1" applyFill="1" applyBorder="1" applyAlignment="1" applyProtection="1">
      <alignment horizontal="right"/>
    </xf>
    <xf numFmtId="49" fontId="4" fillId="6" borderId="0" xfId="7" applyNumberFormat="1" applyFont="1" applyFill="1" applyBorder="1" applyAlignment="1" applyProtection="1">
      <alignment horizontal="center" vertical="center"/>
    </xf>
    <xf numFmtId="49" fontId="4" fillId="6" borderId="0" xfId="0" applyNumberFormat="1" applyFont="1" applyFill="1" applyBorder="1" applyProtection="1"/>
    <xf numFmtId="166" fontId="17" fillId="0" borderId="0" xfId="2" applyNumberFormat="1" applyFont="1" applyProtection="1"/>
    <xf numFmtId="0" fontId="17" fillId="0" borderId="4" xfId="0" applyFont="1" applyBorder="1"/>
    <xf numFmtId="0" fontId="17" fillId="0" borderId="5" xfId="0" applyFont="1" applyBorder="1"/>
    <xf numFmtId="0" fontId="17" fillId="0" borderId="45" xfId="0" applyFont="1" applyBorder="1"/>
    <xf numFmtId="0" fontId="17" fillId="0" borderId="51" xfId="0" applyFont="1" applyBorder="1"/>
    <xf numFmtId="0" fontId="17" fillId="0" borderId="7" xfId="0" applyFont="1" applyBorder="1" applyAlignment="1">
      <alignment wrapText="1"/>
    </xf>
    <xf numFmtId="174" fontId="17" fillId="0" borderId="0" xfId="0" applyNumberFormat="1" applyFont="1" applyBorder="1"/>
    <xf numFmtId="0" fontId="17" fillId="15" borderId="52" xfId="0" applyFont="1" applyFill="1" applyBorder="1"/>
    <xf numFmtId="0" fontId="17" fillId="15" borderId="21" xfId="0" applyFont="1" applyFill="1" applyBorder="1"/>
    <xf numFmtId="0" fontId="17" fillId="0" borderId="7" xfId="0" applyFont="1" applyBorder="1"/>
    <xf numFmtId="0" fontId="17" fillId="0" borderId="52" xfId="0" applyFont="1" applyBorder="1"/>
    <xf numFmtId="9" fontId="17" fillId="0" borderId="0" xfId="9" applyFont="1" applyBorder="1"/>
    <xf numFmtId="2" fontId="17" fillId="0" borderId="0" xfId="2" applyNumberFormat="1" applyFont="1" applyBorder="1"/>
    <xf numFmtId="174" fontId="17" fillId="0" borderId="21" xfId="0" applyNumberFormat="1" applyFont="1" applyBorder="1"/>
    <xf numFmtId="0" fontId="17" fillId="0" borderId="9" xfId="0" applyFont="1" applyBorder="1"/>
    <xf numFmtId="165" fontId="17" fillId="0" borderId="10" xfId="2" applyFont="1" applyBorder="1"/>
    <xf numFmtId="0" fontId="17" fillId="0" borderId="10" xfId="0" applyFont="1" applyBorder="1"/>
    <xf numFmtId="174" fontId="17" fillId="0" borderId="53" xfId="0" applyNumberFormat="1" applyFont="1" applyBorder="1"/>
    <xf numFmtId="0" fontId="17" fillId="0" borderId="54" xfId="0" applyFont="1" applyBorder="1"/>
    <xf numFmtId="0" fontId="17" fillId="0" borderId="53" xfId="0" applyFont="1" applyBorder="1"/>
    <xf numFmtId="0" fontId="30" fillId="0" borderId="0" xfId="0" applyFont="1" applyProtection="1"/>
    <xf numFmtId="0" fontId="17" fillId="0" borderId="0" xfId="0" applyFont="1" applyAlignment="1" applyProtection="1">
      <alignment vertical="top" wrapText="1"/>
    </xf>
    <xf numFmtId="0" fontId="17" fillId="0" borderId="10" xfId="0" applyFont="1" applyBorder="1" applyProtection="1"/>
    <xf numFmtId="166" fontId="17" fillId="0" borderId="5" xfId="0" applyNumberFormat="1" applyFont="1" applyBorder="1" applyProtection="1"/>
    <xf numFmtId="166" fontId="17" fillId="0" borderId="0" xfId="2" applyNumberFormat="1" applyFont="1" applyFill="1" applyBorder="1" applyAlignment="1" applyProtection="1">
      <alignment horizontal="center"/>
    </xf>
    <xf numFmtId="14" fontId="4"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0" fontId="12" fillId="0" borderId="0" xfId="0" applyFont="1" applyFill="1" applyBorder="1" applyAlignment="1" applyProtection="1">
      <alignment horizontal="left"/>
    </xf>
    <xf numFmtId="0" fontId="17" fillId="0" borderId="0" xfId="0" applyFont="1" applyFill="1" applyBorder="1" applyAlignment="1" applyProtection="1">
      <alignment wrapText="1"/>
    </xf>
    <xf numFmtId="0" fontId="19" fillId="0" borderId="0" xfId="0" applyFont="1" applyAlignment="1" applyProtection="1">
      <alignment horizontal="left" vertical="center" indent="5"/>
    </xf>
    <xf numFmtId="0" fontId="19" fillId="0" borderId="0" xfId="0" applyFont="1" applyAlignment="1" applyProtection="1">
      <alignment vertical="center"/>
    </xf>
    <xf numFmtId="0" fontId="31" fillId="0" borderId="0" xfId="0" applyFont="1" applyAlignment="1" applyProtection="1">
      <alignment vertical="center"/>
    </xf>
    <xf numFmtId="0" fontId="19" fillId="0" borderId="0" xfId="0" applyFont="1" applyAlignment="1" applyProtection="1">
      <alignment horizontal="left" vertical="center" indent="10"/>
    </xf>
    <xf numFmtId="0" fontId="19" fillId="0" borderId="0" xfId="0" applyFont="1" applyAlignment="1" applyProtection="1">
      <alignment horizontal="left" vertical="center" indent="8"/>
    </xf>
    <xf numFmtId="0" fontId="19" fillId="0" borderId="0" xfId="0" applyFont="1" applyFill="1" applyAlignment="1" applyProtection="1">
      <alignment horizontal="left" vertical="center" indent="5"/>
    </xf>
    <xf numFmtId="0" fontId="19" fillId="0" borderId="0" xfId="0" applyFont="1" applyFill="1" applyAlignment="1" applyProtection="1">
      <alignment horizontal="left" vertical="center" indent="10"/>
    </xf>
    <xf numFmtId="0" fontId="19" fillId="0" borderId="0" xfId="0" applyFont="1" applyFill="1" applyAlignment="1" applyProtection="1">
      <alignment horizontal="left" vertical="center" indent="8"/>
    </xf>
    <xf numFmtId="0" fontId="17" fillId="6" borderId="0" xfId="0" applyFont="1" applyFill="1" applyProtection="1"/>
    <xf numFmtId="0" fontId="17" fillId="6" borderId="0" xfId="0" applyFont="1" applyFill="1" applyBorder="1" applyProtection="1"/>
    <xf numFmtId="0" fontId="17" fillId="6" borderId="0" xfId="0" applyFont="1" applyFill="1" applyAlignment="1" applyProtection="1">
      <alignment wrapText="1"/>
    </xf>
    <xf numFmtId="0" fontId="17" fillId="6" borderId="2" xfId="0" applyFont="1" applyFill="1" applyBorder="1" applyProtection="1">
      <protection locked="0"/>
    </xf>
    <xf numFmtId="0" fontId="17" fillId="6" borderId="33" xfId="0" applyFont="1" applyFill="1" applyBorder="1" applyProtection="1">
      <protection locked="0"/>
    </xf>
    <xf numFmtId="0" fontId="17" fillId="6" borderId="34" xfId="0" applyFont="1" applyFill="1" applyBorder="1" applyProtection="1">
      <protection locked="0"/>
    </xf>
    <xf numFmtId="0" fontId="17" fillId="6" borderId="35" xfId="0" applyFont="1" applyFill="1" applyBorder="1" applyProtection="1">
      <protection locked="0"/>
    </xf>
    <xf numFmtId="0" fontId="17" fillId="6" borderId="37" xfId="0" applyFont="1" applyFill="1" applyBorder="1" applyProtection="1">
      <protection locked="0"/>
    </xf>
    <xf numFmtId="14" fontId="17" fillId="6" borderId="0" xfId="0" applyNumberFormat="1" applyFont="1" applyFill="1" applyBorder="1" applyProtection="1"/>
    <xf numFmtId="0" fontId="17" fillId="6" borderId="0" xfId="0" applyFont="1" applyFill="1" applyBorder="1" applyAlignment="1" applyProtection="1">
      <alignment horizontal="center"/>
    </xf>
    <xf numFmtId="0" fontId="17" fillId="6" borderId="12" xfId="0" applyFont="1" applyFill="1" applyBorder="1" applyAlignment="1" applyProtection="1"/>
    <xf numFmtId="0" fontId="4" fillId="0" borderId="0" xfId="0" applyFont="1" applyFill="1" applyBorder="1" applyAlignment="1" applyProtection="1">
      <alignment vertical="center" wrapText="1"/>
    </xf>
    <xf numFmtId="0" fontId="17" fillId="0" borderId="0" xfId="0" applyFont="1" applyBorder="1" applyProtection="1">
      <protection locked="0"/>
    </xf>
    <xf numFmtId="14" fontId="17" fillId="0" borderId="0" xfId="0" quotePrefix="1" applyNumberFormat="1" applyFont="1" applyFill="1" applyBorder="1" applyAlignment="1" applyProtection="1">
      <alignment horizontal="center" vertical="center"/>
    </xf>
    <xf numFmtId="0" fontId="18" fillId="6" borderId="0" xfId="0" applyFont="1" applyFill="1" applyBorder="1" applyAlignment="1" applyProtection="1">
      <alignment horizontal="center"/>
    </xf>
    <xf numFmtId="14" fontId="17" fillId="6" borderId="0"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73" fontId="17" fillId="6" borderId="0" xfId="2" applyNumberFormat="1" applyFont="1" applyFill="1" applyBorder="1" applyAlignment="1" applyProtection="1">
      <alignment horizontal="center"/>
    </xf>
    <xf numFmtId="0" fontId="17" fillId="6" borderId="7" xfId="0" applyFont="1" applyFill="1" applyBorder="1" applyAlignment="1" applyProtection="1">
      <alignment horizontal="center"/>
    </xf>
    <xf numFmtId="0" fontId="17" fillId="6" borderId="0" xfId="0" applyFont="1" applyFill="1" applyBorder="1" applyAlignment="1" applyProtection="1">
      <alignment wrapText="1"/>
    </xf>
    <xf numFmtId="0" fontId="18" fillId="10" borderId="49" xfId="0" applyFont="1" applyFill="1" applyBorder="1" applyAlignment="1" applyProtection="1">
      <alignment horizontal="center" vertical="center" wrapText="1"/>
      <protection locked="0"/>
    </xf>
    <xf numFmtId="0" fontId="18" fillId="10" borderId="2" xfId="0" applyFont="1" applyFill="1" applyBorder="1" applyAlignment="1" applyProtection="1">
      <alignment horizontal="center" vertical="center" wrapText="1"/>
      <protection locked="0"/>
    </xf>
    <xf numFmtId="0" fontId="17" fillId="6" borderId="20" xfId="0" applyFont="1" applyFill="1" applyBorder="1" applyAlignment="1">
      <alignment horizontal="right"/>
    </xf>
    <xf numFmtId="1" fontId="17" fillId="6" borderId="0" xfId="0" applyNumberFormat="1" applyFont="1" applyFill="1"/>
    <xf numFmtId="0" fontId="17" fillId="6" borderId="21" xfId="0" applyFont="1" applyFill="1" applyBorder="1"/>
    <xf numFmtId="2" fontId="17" fillId="6" borderId="0" xfId="0" applyNumberFormat="1" applyFont="1" applyFill="1"/>
    <xf numFmtId="14" fontId="17" fillId="6" borderId="20" xfId="0" applyNumberFormat="1" applyFont="1" applyFill="1" applyBorder="1" applyAlignment="1">
      <alignment horizontal="right"/>
    </xf>
    <xf numFmtId="14" fontId="17" fillId="6" borderId="21" xfId="0" applyNumberFormat="1" applyFont="1" applyFill="1" applyBorder="1" applyAlignment="1">
      <alignment horizontal="right"/>
    </xf>
    <xf numFmtId="0" fontId="17" fillId="6" borderId="15" xfId="0" applyFont="1" applyFill="1" applyBorder="1"/>
    <xf numFmtId="0" fontId="20" fillId="6" borderId="0" xfId="0" applyFont="1" applyFill="1" applyBorder="1" applyAlignment="1" applyProtection="1">
      <alignment horizontal="center"/>
    </xf>
    <xf numFmtId="0" fontId="4" fillId="6" borderId="14" xfId="0" applyFont="1" applyFill="1" applyBorder="1" applyProtection="1"/>
    <xf numFmtId="0" fontId="4" fillId="6" borderId="0" xfId="0" applyFont="1" applyFill="1" applyProtection="1"/>
    <xf numFmtId="0" fontId="4" fillId="6" borderId="20" xfId="0" applyFont="1" applyFill="1" applyBorder="1" applyProtection="1"/>
    <xf numFmtId="0" fontId="4" fillId="6" borderId="21" xfId="0" applyFont="1" applyFill="1" applyBorder="1" applyProtection="1"/>
    <xf numFmtId="0" fontId="4" fillId="6" borderId="13" xfId="0" applyFont="1" applyFill="1" applyBorder="1" applyProtection="1"/>
    <xf numFmtId="0" fontId="4" fillId="6" borderId="19" xfId="0" applyFont="1" applyFill="1" applyBorder="1" applyProtection="1"/>
    <xf numFmtId="0" fontId="4" fillId="6" borderId="1" xfId="0" applyFont="1" applyFill="1" applyBorder="1" applyProtection="1"/>
    <xf numFmtId="0" fontId="4" fillId="6" borderId="12" xfId="0" applyFont="1" applyFill="1" applyBorder="1" applyProtection="1"/>
    <xf numFmtId="0" fontId="4" fillId="6" borderId="18" xfId="0" applyFont="1" applyFill="1" applyBorder="1" applyProtection="1"/>
    <xf numFmtId="0" fontId="4" fillId="6" borderId="15" xfId="0" applyFont="1" applyFill="1" applyBorder="1" applyProtection="1"/>
    <xf numFmtId="0" fontId="4" fillId="6" borderId="16" xfId="0" applyFont="1" applyFill="1" applyBorder="1" applyProtection="1"/>
    <xf numFmtId="0" fontId="4" fillId="6" borderId="17" xfId="0" applyFont="1" applyFill="1" applyBorder="1" applyProtection="1"/>
    <xf numFmtId="0" fontId="4" fillId="6" borderId="43" xfId="0" applyFont="1" applyFill="1" applyBorder="1" applyProtection="1"/>
    <xf numFmtId="0" fontId="17" fillId="6" borderId="0" xfId="0" applyFont="1" applyFill="1" applyBorder="1" applyAlignment="1" applyProtection="1">
      <alignment horizontal="center"/>
      <protection locked="0"/>
    </xf>
    <xf numFmtId="0" fontId="17" fillId="6" borderId="0" xfId="0" applyFont="1" applyFill="1" applyBorder="1" applyAlignment="1" applyProtection="1">
      <alignment horizontal="left" vertical="center"/>
    </xf>
    <xf numFmtId="173" fontId="17" fillId="6" borderId="0" xfId="2" applyNumberFormat="1" applyFont="1" applyFill="1" applyBorder="1" applyAlignment="1" applyProtection="1">
      <alignment horizontal="center" vertical="center"/>
    </xf>
    <xf numFmtId="169" fontId="17" fillId="6" borderId="0" xfId="0" applyNumberFormat="1" applyFont="1" applyFill="1" applyBorder="1" applyAlignment="1" applyProtection="1">
      <alignment horizontal="center"/>
      <protection locked="0"/>
    </xf>
    <xf numFmtId="49" fontId="3" fillId="6" borderId="0" xfId="7" applyNumberFormat="1" applyFont="1" applyFill="1" applyBorder="1" applyAlignment="1" applyProtection="1">
      <alignment vertical="center"/>
    </xf>
    <xf numFmtId="0" fontId="25" fillId="0" borderId="0" xfId="6" applyFont="1" applyBorder="1" applyAlignment="1"/>
    <xf numFmtId="173" fontId="17" fillId="6" borderId="0" xfId="0" applyNumberFormat="1" applyFont="1" applyFill="1" applyBorder="1" applyAlignment="1" applyProtection="1">
      <alignment horizontal="center"/>
    </xf>
    <xf numFmtId="49" fontId="4" fillId="15" borderId="0" xfId="7" applyNumberFormat="1" applyFont="1" applyFill="1" applyBorder="1" applyAlignment="1" applyProtection="1"/>
    <xf numFmtId="0" fontId="4" fillId="15" borderId="0" xfId="7" applyFont="1" applyFill="1" applyBorder="1" applyAlignment="1" applyProtection="1"/>
    <xf numFmtId="49" fontId="4" fillId="15" borderId="0" xfId="7" applyNumberFormat="1" applyFont="1" applyFill="1" applyBorder="1" applyProtection="1"/>
    <xf numFmtId="0" fontId="4" fillId="14" borderId="0" xfId="7" applyNumberFormat="1" applyFont="1" applyFill="1" applyBorder="1" applyAlignment="1" applyProtection="1"/>
    <xf numFmtId="0" fontId="3" fillId="14" borderId="0" xfId="7" applyNumberFormat="1" applyFont="1" applyFill="1" applyBorder="1" applyAlignment="1" applyProtection="1">
      <alignment vertical="center"/>
    </xf>
    <xf numFmtId="49" fontId="4" fillId="14" borderId="0" xfId="7" applyNumberFormat="1" applyFont="1" applyFill="1" applyBorder="1" applyProtection="1"/>
    <xf numFmtId="0" fontId="26" fillId="6" borderId="0" xfId="0" applyFont="1" applyFill="1"/>
    <xf numFmtId="0" fontId="3" fillId="14" borderId="0" xfId="7" applyNumberFormat="1" applyFont="1" applyFill="1" applyBorder="1" applyAlignment="1" applyProtection="1"/>
    <xf numFmtId="49" fontId="4" fillId="6" borderId="7" xfId="7" applyNumberFormat="1" applyFont="1" applyFill="1" applyBorder="1" applyProtection="1"/>
    <xf numFmtId="49" fontId="4" fillId="6" borderId="0" xfId="7" applyNumberFormat="1" applyFont="1" applyFill="1" applyBorder="1" applyProtection="1"/>
    <xf numFmtId="49" fontId="4" fillId="6" borderId="0" xfId="7" applyNumberFormat="1" applyFont="1" applyFill="1" applyBorder="1" applyAlignment="1" applyProtection="1"/>
    <xf numFmtId="0" fontId="4" fillId="6" borderId="0" xfId="7" applyFont="1" applyFill="1" applyBorder="1" applyAlignment="1" applyProtection="1"/>
    <xf numFmtId="0" fontId="25" fillId="0" borderId="0" xfId="6" applyFont="1" applyFill="1" applyBorder="1" applyAlignment="1">
      <alignment horizontal="center"/>
    </xf>
    <xf numFmtId="0" fontId="17" fillId="6" borderId="0" xfId="0" applyFont="1" applyFill="1" applyBorder="1" applyAlignment="1">
      <alignment horizontal="center"/>
    </xf>
    <xf numFmtId="0" fontId="17" fillId="6" borderId="0" xfId="0" applyFont="1" applyFill="1" applyBorder="1" applyProtection="1"/>
    <xf numFmtId="14" fontId="17" fillId="6" borderId="0" xfId="0" applyNumberFormat="1" applyFont="1" applyFill="1" applyBorder="1" applyAlignment="1" applyProtection="1">
      <alignment horizontal="center"/>
    </xf>
    <xf numFmtId="0" fontId="24" fillId="6" borderId="0" xfId="0" applyFont="1" applyFill="1" applyBorder="1" applyProtection="1"/>
    <xf numFmtId="49" fontId="3" fillId="6" borderId="0" xfId="7" applyNumberFormat="1" applyFont="1" applyFill="1" applyBorder="1" applyAlignment="1" applyProtection="1"/>
    <xf numFmtId="14" fontId="4" fillId="6" borderId="0" xfId="0" applyNumberFormat="1" applyFont="1" applyFill="1" applyBorder="1" applyAlignment="1" applyProtection="1">
      <alignment horizontal="center"/>
    </xf>
    <xf numFmtId="0" fontId="17" fillId="6" borderId="0" xfId="0" applyFont="1" applyFill="1"/>
    <xf numFmtId="14" fontId="17" fillId="6" borderId="0" xfId="0" applyNumberFormat="1" applyFont="1" applyFill="1" applyBorder="1" applyAlignment="1">
      <alignment horizontal="center"/>
    </xf>
    <xf numFmtId="0" fontId="17" fillId="6" borderId="0" xfId="0" applyFont="1" applyFill="1" applyBorder="1" applyProtection="1"/>
    <xf numFmtId="14" fontId="17" fillId="6" borderId="0" xfId="0" applyNumberFormat="1" applyFont="1" applyFill="1" applyBorder="1" applyAlignment="1" applyProtection="1">
      <alignment horizontal="center"/>
    </xf>
    <xf numFmtId="0" fontId="22" fillId="16" borderId="0" xfId="0" applyFont="1" applyFill="1" applyBorder="1" applyAlignment="1" applyProtection="1">
      <alignment horizontal="center"/>
    </xf>
    <xf numFmtId="14" fontId="17" fillId="6" borderId="0" xfId="0" applyNumberFormat="1" applyFont="1" applyFill="1" applyBorder="1" applyProtection="1">
      <protection locked="0"/>
    </xf>
    <xf numFmtId="173" fontId="17" fillId="6" borderId="0" xfId="0" applyNumberFormat="1" applyFont="1" applyFill="1" applyBorder="1" applyAlignment="1">
      <alignment horizontal="center"/>
    </xf>
    <xf numFmtId="173" fontId="17" fillId="16" borderId="0" xfId="0" applyNumberFormat="1" applyFont="1" applyFill="1" applyBorder="1" applyAlignment="1">
      <alignment horizontal="center" vertical="center"/>
    </xf>
    <xf numFmtId="14" fontId="4" fillId="6" borderId="0" xfId="0" applyNumberFormat="1" applyFont="1" applyFill="1" applyBorder="1" applyAlignment="1" applyProtection="1">
      <alignment horizontal="center"/>
      <protection locked="0"/>
    </xf>
    <xf numFmtId="1" fontId="17" fillId="6" borderId="0" xfId="0" applyNumberFormat="1" applyFont="1" applyFill="1" applyBorder="1" applyAlignment="1">
      <alignment horizontal="center"/>
    </xf>
    <xf numFmtId="173" fontId="17" fillId="6" borderId="0" xfId="2" applyNumberFormat="1" applyFont="1" applyFill="1" applyBorder="1" applyAlignment="1">
      <alignment horizontal="center"/>
    </xf>
    <xf numFmtId="0" fontId="24" fillId="6" borderId="0" xfId="0" applyFont="1" applyFill="1" applyBorder="1" applyAlignment="1" applyProtection="1">
      <alignment horizontal="center"/>
    </xf>
    <xf numFmtId="173" fontId="17" fillId="17" borderId="0" xfId="2" applyNumberFormat="1" applyFont="1" applyFill="1" applyBorder="1" applyAlignment="1" applyProtection="1">
      <alignment horizontal="center"/>
      <protection locked="0"/>
    </xf>
    <xf numFmtId="49" fontId="3" fillId="6" borderId="0" xfId="7" applyNumberFormat="1" applyFont="1" applyFill="1" applyBorder="1" applyProtection="1"/>
    <xf numFmtId="0" fontId="26" fillId="6" borderId="0" xfId="0" applyFont="1" applyFill="1" applyAlignment="1"/>
    <xf numFmtId="0" fontId="26" fillId="6" borderId="0" xfId="0" applyFont="1" applyFill="1" applyBorder="1" applyAlignment="1"/>
    <xf numFmtId="0" fontId="26" fillId="6" borderId="0" xfId="0" applyFont="1" applyFill="1" applyBorder="1"/>
    <xf numFmtId="49" fontId="3" fillId="14" borderId="0" xfId="7" applyNumberFormat="1" applyFont="1" applyFill="1" applyBorder="1" applyAlignment="1" applyProtection="1"/>
    <xf numFmtId="49" fontId="4" fillId="14" borderId="0" xfId="7" applyNumberFormat="1" applyFont="1" applyFill="1" applyBorder="1" applyAlignment="1" applyProtection="1"/>
    <xf numFmtId="49" fontId="3" fillId="14" borderId="0" xfId="7" applyNumberFormat="1" applyFont="1" applyFill="1" applyBorder="1" applyProtection="1"/>
    <xf numFmtId="49" fontId="3" fillId="14" borderId="0" xfId="7" applyNumberFormat="1" applyFont="1" applyFill="1" applyBorder="1" applyAlignment="1" applyProtection="1">
      <alignment vertical="center"/>
    </xf>
    <xf numFmtId="0" fontId="12" fillId="0" borderId="0" xfId="0" applyFont="1" applyFill="1" applyBorder="1" applyAlignment="1" applyProtection="1">
      <alignment horizontal="center"/>
    </xf>
    <xf numFmtId="0" fontId="12" fillId="6" borderId="0" xfId="0" applyFont="1" applyFill="1" applyBorder="1" applyAlignment="1" applyProtection="1">
      <alignment horizontal="center" vertical="center"/>
    </xf>
    <xf numFmtId="0" fontId="26" fillId="6" borderId="0" xfId="0" applyFont="1" applyFill="1" applyAlignment="1">
      <alignment horizontal="left" wrapText="1"/>
    </xf>
    <xf numFmtId="0" fontId="26" fillId="6" borderId="0" xfId="0" applyFont="1" applyFill="1" applyBorder="1" applyAlignment="1">
      <alignment horizontal="left" wrapText="1"/>
    </xf>
    <xf numFmtId="0" fontId="37" fillId="6" borderId="0" xfId="0" applyFont="1" applyFill="1" applyBorder="1" applyAlignment="1">
      <alignment horizontal="justify"/>
    </xf>
    <xf numFmtId="0" fontId="26" fillId="6" borderId="0" xfId="0" applyFont="1" applyFill="1" applyBorder="1" applyAlignment="1">
      <alignment horizontal="justify" wrapText="1"/>
    </xf>
    <xf numFmtId="0" fontId="26" fillId="6" borderId="0" xfId="0" applyFont="1" applyFill="1" applyBorder="1" applyAlignment="1">
      <alignment horizontal="justify"/>
    </xf>
    <xf numFmtId="0" fontId="20" fillId="0" borderId="0" xfId="0" applyFont="1" applyFill="1" applyBorder="1" applyAlignment="1">
      <alignment horizontal="center"/>
    </xf>
    <xf numFmtId="0" fontId="21" fillId="6" borderId="0" xfId="7" applyFont="1" applyFill="1" applyBorder="1" applyAlignment="1" applyProtection="1">
      <alignment horizontal="center" vertical="center"/>
    </xf>
    <xf numFmtId="0" fontId="26" fillId="6" borderId="0" xfId="0" applyFont="1" applyFill="1" applyAlignment="1">
      <alignment horizontal="left" wrapText="1"/>
    </xf>
    <xf numFmtId="0" fontId="26" fillId="6" borderId="0" xfId="0" applyFont="1" applyFill="1" applyBorder="1" applyAlignment="1">
      <alignment horizontal="justify" wrapText="1"/>
    </xf>
    <xf numFmtId="0" fontId="26" fillId="6" borderId="0" xfId="0" applyFont="1" applyFill="1" applyBorder="1" applyAlignment="1">
      <alignment horizontal="left" wrapText="1"/>
    </xf>
    <xf numFmtId="0" fontId="3" fillId="15" borderId="0" xfId="7" applyNumberFormat="1" applyFont="1" applyFill="1" applyBorder="1" applyAlignment="1" applyProtection="1">
      <alignment vertical="center"/>
    </xf>
    <xf numFmtId="0" fontId="3" fillId="15" borderId="0" xfId="7" applyNumberFormat="1" applyFont="1" applyFill="1" applyBorder="1" applyAlignment="1">
      <alignment vertical="center"/>
    </xf>
    <xf numFmtId="0" fontId="8" fillId="6" borderId="0" xfId="0" applyFont="1" applyFill="1"/>
    <xf numFmtId="0" fontId="4" fillId="14" borderId="0" xfId="7" applyFont="1" applyFill="1" applyBorder="1" applyAlignment="1">
      <alignment horizontal="left" vertical="top"/>
    </xf>
    <xf numFmtId="49" fontId="4" fillId="14" borderId="0" xfId="7" applyNumberFormat="1" applyFont="1" applyFill="1" applyBorder="1" applyAlignment="1" applyProtection="1">
      <alignment horizontal="left"/>
    </xf>
    <xf numFmtId="49" fontId="4" fillId="2" borderId="0" xfId="7" applyNumberFormat="1" applyFont="1" applyFill="1" applyBorder="1" applyProtection="1"/>
    <xf numFmtId="49" fontId="3" fillId="2" borderId="0" xfId="7" applyNumberFormat="1" applyFont="1" applyFill="1" applyBorder="1" applyProtection="1"/>
    <xf numFmtId="49" fontId="4" fillId="2" borderId="0" xfId="7" applyNumberFormat="1" applyFont="1" applyFill="1" applyBorder="1" applyAlignment="1" applyProtection="1"/>
    <xf numFmtId="49" fontId="4" fillId="0" borderId="0" xfId="7" applyNumberFormat="1" applyFont="1" applyFill="1" applyBorder="1" applyProtection="1"/>
    <xf numFmtId="0" fontId="8" fillId="6" borderId="0" xfId="0" applyFont="1" applyFill="1" applyBorder="1"/>
    <xf numFmtId="0" fontId="40" fillId="6" borderId="0" xfId="0" applyFont="1" applyFill="1" applyBorder="1"/>
    <xf numFmtId="0" fontId="40" fillId="6" borderId="0" xfId="0" applyFont="1" applyFill="1" applyBorder="1" applyAlignment="1">
      <alignment horizontal="center" vertical="center"/>
    </xf>
    <xf numFmtId="0" fontId="22" fillId="6" borderId="0" xfId="0" applyFont="1" applyFill="1"/>
    <xf numFmtId="0" fontId="4" fillId="14" borderId="0" xfId="7" applyFont="1" applyFill="1" applyBorder="1" applyAlignment="1" applyProtection="1"/>
    <xf numFmtId="0" fontId="17" fillId="6" borderId="0" xfId="0" applyFont="1" applyFill="1" applyAlignment="1"/>
    <xf numFmtId="0" fontId="17" fillId="6" borderId="0" xfId="0" applyFont="1" applyFill="1" applyBorder="1" applyAlignment="1"/>
    <xf numFmtId="0" fontId="17" fillId="14" borderId="0" xfId="0" applyFont="1" applyFill="1" applyBorder="1"/>
    <xf numFmtId="0" fontId="17" fillId="14" borderId="0" xfId="0" applyFont="1" applyFill="1" applyBorder="1" applyAlignment="1">
      <alignment vertical="center"/>
    </xf>
    <xf numFmtId="0" fontId="17" fillId="6" borderId="0" xfId="0" applyFont="1" applyFill="1" applyAlignment="1">
      <alignment horizontal="left"/>
    </xf>
    <xf numFmtId="0" fontId="3" fillId="6" borderId="0" xfId="0" applyFont="1" applyFill="1" applyBorder="1" applyAlignment="1">
      <alignment horizontal="center"/>
    </xf>
    <xf numFmtId="0" fontId="26" fillId="6" borderId="0" xfId="0" applyFont="1" applyFill="1" applyBorder="1" applyAlignment="1" applyProtection="1"/>
    <xf numFmtId="0" fontId="26" fillId="6" borderId="0" xfId="0" applyFont="1" applyFill="1" applyBorder="1" applyProtection="1"/>
    <xf numFmtId="0" fontId="4" fillId="2" borderId="0" xfId="7" applyNumberFormat="1" applyFont="1" applyFill="1" applyBorder="1" applyAlignment="1" applyProtection="1">
      <alignment vertical="center"/>
    </xf>
    <xf numFmtId="0" fontId="4" fillId="2" borderId="0" xfId="7" applyNumberFormat="1" applyFont="1" applyFill="1" applyBorder="1" applyAlignment="1" applyProtection="1">
      <alignment horizontal="center" vertical="center"/>
    </xf>
    <xf numFmtId="0" fontId="12" fillId="6" borderId="0" xfId="16" applyFont="1" applyFill="1" applyBorder="1" applyAlignment="1" applyProtection="1">
      <alignment horizontal="center" wrapText="1"/>
    </xf>
    <xf numFmtId="169" fontId="12" fillId="6" borderId="0" xfId="16" applyNumberFormat="1" applyFont="1" applyFill="1" applyBorder="1" applyAlignment="1" applyProtection="1">
      <alignment horizontal="center" wrapText="1"/>
    </xf>
    <xf numFmtId="9" fontId="12" fillId="6" borderId="0" xfId="16" applyNumberFormat="1" applyFont="1" applyFill="1" applyBorder="1" applyAlignment="1" applyProtection="1">
      <alignment horizontal="center" wrapText="1"/>
    </xf>
    <xf numFmtId="0" fontId="12" fillId="6" borderId="0" xfId="0" applyFont="1" applyFill="1" applyBorder="1" applyAlignment="1" applyProtection="1">
      <alignment horizontal="center"/>
    </xf>
    <xf numFmtId="169" fontId="12" fillId="6" borderId="0" xfId="0" applyNumberFormat="1" applyFont="1" applyFill="1" applyBorder="1" applyAlignment="1" applyProtection="1">
      <alignment horizontal="center"/>
    </xf>
    <xf numFmtId="169" fontId="12" fillId="6" borderId="0" xfId="0" applyNumberFormat="1" applyFont="1" applyFill="1" applyBorder="1" applyAlignment="1" applyProtection="1">
      <alignment horizontal="center" wrapText="1"/>
    </xf>
    <xf numFmtId="0" fontId="26" fillId="6" borderId="0" xfId="0" applyFont="1" applyFill="1" applyBorder="1" applyAlignment="1">
      <alignment horizontal="left" wrapText="1"/>
    </xf>
    <xf numFmtId="0" fontId="26" fillId="6" borderId="0" xfId="0" applyFont="1" applyFill="1" applyBorder="1" applyAlignment="1">
      <alignment horizontal="left"/>
    </xf>
    <xf numFmtId="0" fontId="17" fillId="6" borderId="20" xfId="0" applyFont="1" applyFill="1" applyBorder="1" applyAlignment="1"/>
    <xf numFmtId="0" fontId="17" fillId="6" borderId="21" xfId="0" applyFont="1" applyFill="1" applyBorder="1" applyAlignment="1"/>
    <xf numFmtId="0" fontId="17" fillId="6" borderId="17" xfId="0" applyFont="1" applyFill="1" applyBorder="1" applyAlignment="1"/>
    <xf numFmtId="0" fontId="17" fillId="6" borderId="18" xfId="0" applyFont="1" applyFill="1" applyBorder="1" applyAlignment="1"/>
    <xf numFmtId="0" fontId="17" fillId="6" borderId="12" xfId="0" applyFont="1" applyFill="1" applyBorder="1" applyAlignment="1"/>
    <xf numFmtId="0" fontId="26" fillId="6" borderId="14" xfId="0" applyFont="1" applyFill="1" applyBorder="1" applyAlignment="1"/>
    <xf numFmtId="0" fontId="26" fillId="6" borderId="15" xfId="0" applyFont="1" applyFill="1" applyBorder="1" applyAlignment="1"/>
    <xf numFmtId="0" fontId="26" fillId="6" borderId="15" xfId="0" applyFont="1" applyFill="1" applyBorder="1"/>
    <xf numFmtId="0" fontId="26" fillId="6" borderId="16" xfId="0" applyFont="1" applyFill="1" applyBorder="1"/>
    <xf numFmtId="0" fontId="26" fillId="6" borderId="20" xfId="0" applyFont="1" applyFill="1" applyBorder="1" applyAlignment="1"/>
    <xf numFmtId="0" fontId="26" fillId="6" borderId="21" xfId="0" applyFont="1" applyFill="1" applyBorder="1"/>
    <xf numFmtId="0" fontId="26" fillId="6" borderId="20" xfId="0" applyFont="1" applyFill="1" applyBorder="1"/>
    <xf numFmtId="0" fontId="26" fillId="6" borderId="16" xfId="0" applyFont="1" applyFill="1" applyBorder="1" applyAlignment="1"/>
    <xf numFmtId="0" fontId="26" fillId="6" borderId="21" xfId="0" applyFont="1" applyFill="1" applyBorder="1" applyAlignment="1">
      <alignment horizontal="left" wrapText="1"/>
    </xf>
    <xf numFmtId="0" fontId="26" fillId="6" borderId="17" xfId="0" applyFont="1" applyFill="1" applyBorder="1"/>
    <xf numFmtId="0" fontId="26" fillId="6" borderId="18" xfId="0" applyFont="1" applyFill="1" applyBorder="1" applyAlignment="1">
      <alignment horizontal="left" wrapText="1"/>
    </xf>
    <xf numFmtId="0" fontId="26" fillId="6" borderId="14" xfId="0" applyFont="1" applyFill="1" applyBorder="1"/>
    <xf numFmtId="0" fontId="26" fillId="6" borderId="15" xfId="0" applyFont="1" applyFill="1" applyBorder="1" applyAlignment="1">
      <alignment horizontal="left" wrapText="1"/>
    </xf>
    <xf numFmtId="0" fontId="26" fillId="6" borderId="16" xfId="0" applyFont="1" applyFill="1" applyBorder="1" applyAlignment="1">
      <alignment horizontal="left" wrapText="1"/>
    </xf>
    <xf numFmtId="0" fontId="26" fillId="6" borderId="12" xfId="0" applyFont="1" applyFill="1" applyBorder="1"/>
    <xf numFmtId="0" fontId="26" fillId="6" borderId="18" xfId="0" applyFont="1" applyFill="1" applyBorder="1"/>
    <xf numFmtId="0" fontId="8" fillId="6" borderId="14" xfId="0" applyFont="1" applyFill="1" applyBorder="1"/>
    <xf numFmtId="0" fontId="8" fillId="6" borderId="16" xfId="0" applyFont="1" applyFill="1" applyBorder="1"/>
    <xf numFmtId="0" fontId="8" fillId="6" borderId="20" xfId="0" applyFont="1" applyFill="1" applyBorder="1"/>
    <xf numFmtId="0" fontId="8" fillId="6" borderId="21" xfId="0" applyFont="1" applyFill="1" applyBorder="1"/>
    <xf numFmtId="0" fontId="8" fillId="6" borderId="17" xfId="0" applyFont="1" applyFill="1" applyBorder="1"/>
    <xf numFmtId="0" fontId="8" fillId="6" borderId="12" xfId="0" applyFont="1" applyFill="1" applyBorder="1"/>
    <xf numFmtId="0" fontId="40" fillId="6" borderId="12" xfId="0" applyFont="1" applyFill="1" applyBorder="1"/>
    <xf numFmtId="0" fontId="8" fillId="6" borderId="18" xfId="0" applyFont="1" applyFill="1" applyBorder="1"/>
    <xf numFmtId="0" fontId="4" fillId="6" borderId="0" xfId="0" applyFont="1" applyFill="1" applyBorder="1" applyAlignment="1">
      <alignment wrapText="1"/>
    </xf>
    <xf numFmtId="0" fontId="8" fillId="6" borderId="15" xfId="0" applyFont="1" applyFill="1" applyBorder="1"/>
    <xf numFmtId="0" fontId="40" fillId="6" borderId="15" xfId="0" applyFont="1" applyFill="1" applyBorder="1"/>
    <xf numFmtId="0" fontId="17" fillId="6" borderId="14" xfId="0" applyFont="1" applyFill="1" applyBorder="1" applyAlignment="1" applyProtection="1">
      <alignment horizontal="right"/>
    </xf>
    <xf numFmtId="0" fontId="17" fillId="6" borderId="15" xfId="0" applyFont="1" applyFill="1" applyBorder="1" applyProtection="1"/>
    <xf numFmtId="14" fontId="17" fillId="6" borderId="15" xfId="0" applyNumberFormat="1" applyFont="1" applyFill="1" applyBorder="1" applyAlignment="1" applyProtection="1">
      <alignment horizontal="center"/>
    </xf>
    <xf numFmtId="0" fontId="18" fillId="6" borderId="15" xfId="0" applyFont="1" applyFill="1" applyBorder="1" applyAlignment="1" applyProtection="1">
      <alignment horizontal="center"/>
      <protection locked="0"/>
    </xf>
    <xf numFmtId="0" fontId="17" fillId="6" borderId="20" xfId="0" applyFont="1" applyFill="1" applyBorder="1" applyAlignment="1" applyProtection="1">
      <alignment horizontal="right"/>
    </xf>
    <xf numFmtId="0" fontId="18" fillId="6" borderId="20" xfId="0" applyFont="1" applyFill="1" applyBorder="1" applyProtection="1"/>
    <xf numFmtId="0" fontId="17" fillId="6" borderId="20" xfId="0" applyFont="1" applyFill="1" applyBorder="1" applyProtection="1"/>
    <xf numFmtId="14" fontId="17" fillId="6" borderId="21" xfId="0" applyNumberFormat="1" applyFont="1" applyFill="1" applyBorder="1" applyProtection="1">
      <protection locked="0"/>
    </xf>
    <xf numFmtId="0" fontId="17" fillId="6" borderId="21" xfId="0" applyFont="1" applyFill="1" applyBorder="1" applyProtection="1"/>
    <xf numFmtId="0" fontId="17" fillId="6" borderId="12" xfId="0" applyFont="1" applyFill="1" applyBorder="1" applyAlignment="1" applyProtection="1">
      <alignment horizontal="center"/>
    </xf>
    <xf numFmtId="0" fontId="12" fillId="6" borderId="12" xfId="0" applyFont="1" applyFill="1" applyBorder="1" applyAlignment="1" applyProtection="1">
      <alignment horizontal="center"/>
    </xf>
    <xf numFmtId="0" fontId="20" fillId="6" borderId="12" xfId="0" applyFont="1" applyFill="1" applyBorder="1" applyAlignment="1" applyProtection="1">
      <alignment horizontal="center"/>
    </xf>
    <xf numFmtId="0" fontId="24" fillId="6" borderId="18" xfId="0" applyFont="1" applyFill="1" applyBorder="1" applyAlignment="1" applyProtection="1">
      <alignment horizontal="center"/>
    </xf>
    <xf numFmtId="0" fontId="12" fillId="17" borderId="14" xfId="0" applyFont="1" applyFill="1" applyBorder="1" applyAlignment="1" applyProtection="1">
      <alignment horizontal="center"/>
      <protection locked="0"/>
    </xf>
    <xf numFmtId="14" fontId="17" fillId="17" borderId="15" xfId="0" applyNumberFormat="1" applyFont="1" applyFill="1" applyBorder="1" applyAlignment="1" applyProtection="1">
      <alignment horizontal="center"/>
      <protection locked="0"/>
    </xf>
    <xf numFmtId="173" fontId="17" fillId="17" borderId="15" xfId="2" applyNumberFormat="1" applyFont="1" applyFill="1" applyBorder="1" applyAlignment="1" applyProtection="1">
      <alignment horizontal="center"/>
      <protection locked="0"/>
    </xf>
    <xf numFmtId="173" fontId="17" fillId="6" borderId="15" xfId="2" applyNumberFormat="1" applyFont="1" applyFill="1" applyBorder="1" applyAlignment="1" applyProtection="1">
      <alignment horizontal="center"/>
    </xf>
    <xf numFmtId="0" fontId="17" fillId="6" borderId="15" xfId="0" applyFont="1" applyFill="1" applyBorder="1" applyAlignment="1" applyProtection="1">
      <alignment horizontal="center"/>
    </xf>
    <xf numFmtId="14" fontId="4" fillId="17" borderId="16" xfId="0" applyNumberFormat="1" applyFont="1" applyFill="1" applyBorder="1" applyAlignment="1" applyProtection="1">
      <alignment horizontal="center"/>
      <protection locked="0"/>
    </xf>
    <xf numFmtId="0" fontId="4" fillId="6" borderId="20" xfId="0" applyFont="1" applyFill="1" applyBorder="1" applyAlignment="1" applyProtection="1">
      <alignment horizontal="center"/>
    </xf>
    <xf numFmtId="14" fontId="17" fillId="6" borderId="21" xfId="0" applyNumberFormat="1" applyFont="1" applyFill="1" applyBorder="1" applyAlignment="1" applyProtection="1">
      <alignment horizontal="center"/>
    </xf>
    <xf numFmtId="0" fontId="17" fillId="6" borderId="20" xfId="0" applyFont="1" applyFill="1" applyBorder="1" applyAlignment="1" applyProtection="1">
      <alignment horizontal="center"/>
    </xf>
    <xf numFmtId="0" fontId="17" fillId="6" borderId="17" xfId="0" applyFont="1" applyFill="1" applyBorder="1" applyAlignment="1" applyProtection="1">
      <alignment horizontal="center"/>
    </xf>
    <xf numFmtId="14" fontId="17" fillId="6" borderId="12" xfId="0" applyNumberFormat="1" applyFont="1" applyFill="1" applyBorder="1" applyAlignment="1" applyProtection="1">
      <alignment horizontal="center"/>
    </xf>
    <xf numFmtId="14" fontId="17" fillId="6" borderId="18" xfId="0" applyNumberFormat="1" applyFont="1" applyFill="1" applyBorder="1" applyAlignment="1" applyProtection="1">
      <alignment horizontal="center"/>
    </xf>
    <xf numFmtId="0" fontId="17" fillId="6" borderId="14" xfId="0" applyFont="1" applyFill="1" applyBorder="1" applyAlignment="1" applyProtection="1">
      <alignment horizontal="center"/>
    </xf>
    <xf numFmtId="14" fontId="17" fillId="6" borderId="16" xfId="0" applyNumberFormat="1" applyFont="1" applyFill="1" applyBorder="1" applyAlignment="1" applyProtection="1">
      <alignment horizontal="center"/>
    </xf>
    <xf numFmtId="0" fontId="17" fillId="11" borderId="17" xfId="0" applyFont="1" applyFill="1" applyBorder="1" applyAlignment="1" applyProtection="1">
      <alignment horizontal="center"/>
    </xf>
    <xf numFmtId="0" fontId="17" fillId="11" borderId="12" xfId="0" applyFont="1" applyFill="1" applyBorder="1" applyAlignment="1" applyProtection="1">
      <alignment horizontal="center"/>
    </xf>
    <xf numFmtId="0" fontId="17" fillId="11" borderId="18" xfId="0" applyFont="1" applyFill="1" applyBorder="1" applyProtection="1"/>
    <xf numFmtId="0" fontId="17" fillId="11" borderId="15" xfId="0" applyFont="1" applyFill="1" applyBorder="1" applyProtection="1"/>
    <xf numFmtId="0" fontId="17" fillId="11" borderId="16" xfId="0" applyFont="1" applyFill="1" applyBorder="1" applyProtection="1"/>
    <xf numFmtId="0" fontId="4" fillId="6" borderId="20" xfId="0" applyFont="1" applyFill="1" applyBorder="1" applyAlignment="1" applyProtection="1">
      <alignment horizontal="left" vertical="center" wrapText="1"/>
    </xf>
    <xf numFmtId="0" fontId="17" fillId="6" borderId="21" xfId="0" applyFont="1" applyFill="1" applyBorder="1" applyAlignment="1" applyProtection="1">
      <alignment horizontal="left" vertical="center" indent="1"/>
    </xf>
    <xf numFmtId="0" fontId="4" fillId="6" borderId="17" xfId="0" applyFont="1" applyFill="1" applyBorder="1" applyAlignment="1" applyProtection="1">
      <alignment horizontal="left" vertical="center" wrapText="1"/>
    </xf>
    <xf numFmtId="0" fontId="17" fillId="6" borderId="18" xfId="0" applyFont="1" applyFill="1" applyBorder="1" applyAlignment="1" applyProtection="1">
      <alignment horizontal="left" vertical="center" indent="1"/>
    </xf>
    <xf numFmtId="0" fontId="4" fillId="0" borderId="13" xfId="0" applyFont="1" applyBorder="1" applyAlignment="1" applyProtection="1">
      <alignment horizontal="left" vertical="center" wrapText="1"/>
    </xf>
    <xf numFmtId="0" fontId="12" fillId="0" borderId="19" xfId="0" applyFont="1" applyBorder="1" applyAlignment="1" applyProtection="1">
      <alignment horizontal="left" vertical="center"/>
    </xf>
    <xf numFmtId="0" fontId="17" fillId="0" borderId="1" xfId="0" applyFont="1" applyFill="1" applyBorder="1" applyAlignment="1" applyProtection="1">
      <alignment horizontal="left" indent="1"/>
    </xf>
    <xf numFmtId="0" fontId="4" fillId="6" borderId="14" xfId="0" applyFont="1" applyFill="1" applyBorder="1" applyAlignment="1" applyProtection="1">
      <alignment horizontal="left" vertical="center" wrapText="1"/>
    </xf>
    <xf numFmtId="0" fontId="17" fillId="6" borderId="16" xfId="0" applyFont="1" applyFill="1" applyBorder="1" applyAlignment="1" applyProtection="1">
      <alignment horizontal="left" indent="1"/>
    </xf>
    <xf numFmtId="0" fontId="4" fillId="6" borderId="20" xfId="0" applyFont="1" applyFill="1" applyBorder="1" applyAlignment="1" applyProtection="1">
      <alignment horizontal="left" vertical="center"/>
    </xf>
    <xf numFmtId="0" fontId="17" fillId="6" borderId="21" xfId="0" applyFont="1" applyFill="1" applyBorder="1" applyAlignment="1" applyProtection="1">
      <alignment horizontal="left" indent="1"/>
    </xf>
    <xf numFmtId="0" fontId="17" fillId="6" borderId="18" xfId="0" applyFont="1" applyFill="1" applyBorder="1" applyAlignment="1" applyProtection="1">
      <alignment horizontal="left" indent="1"/>
    </xf>
    <xf numFmtId="165" fontId="16" fillId="0" borderId="19" xfId="2" applyFont="1" applyFill="1" applyBorder="1" applyAlignment="1" applyProtection="1">
      <alignment horizontal="center" vertical="center" wrapText="1"/>
    </xf>
    <xf numFmtId="0" fontId="3" fillId="11" borderId="13" xfId="0" applyFont="1" applyFill="1" applyBorder="1" applyAlignment="1" applyProtection="1">
      <alignment horizontal="left" vertical="center" wrapText="1"/>
    </xf>
    <xf numFmtId="0" fontId="12" fillId="11" borderId="19" xfId="0" applyFont="1" applyFill="1" applyBorder="1" applyAlignment="1" applyProtection="1">
      <alignment horizontal="left" vertical="center"/>
    </xf>
    <xf numFmtId="165" fontId="16" fillId="11" borderId="19" xfId="2" applyFont="1" applyFill="1" applyBorder="1" applyAlignment="1" applyProtection="1">
      <alignment horizontal="center" vertical="center" wrapText="1"/>
    </xf>
    <xf numFmtId="0" fontId="17" fillId="11" borderId="1" xfId="0" applyFont="1" applyFill="1" applyBorder="1" applyAlignment="1" applyProtection="1">
      <alignment horizontal="left" indent="1"/>
    </xf>
    <xf numFmtId="0" fontId="4" fillId="0" borderId="14" xfId="0" applyFont="1" applyBorder="1" applyAlignment="1" applyProtection="1">
      <alignment horizontal="left" vertical="center" indent="2"/>
    </xf>
    <xf numFmtId="0" fontId="17" fillId="0" borderId="20" xfId="0" applyFont="1" applyFill="1" applyBorder="1" applyAlignment="1" applyProtection="1"/>
    <xf numFmtId="0" fontId="17" fillId="6" borderId="21" xfId="0" applyFont="1" applyFill="1" applyBorder="1" applyAlignment="1" applyProtection="1">
      <alignment horizontal="left" vertical="center" indent="1"/>
      <protection locked="0"/>
    </xf>
    <xf numFmtId="0" fontId="4" fillId="0" borderId="20" xfId="0" applyFont="1" applyFill="1" applyBorder="1" applyAlignment="1" applyProtection="1">
      <alignment horizontal="left"/>
    </xf>
    <xf numFmtId="0" fontId="17" fillId="6" borderId="21" xfId="0" applyFont="1" applyFill="1" applyBorder="1" applyAlignment="1" applyProtection="1">
      <alignment horizontal="left" indent="1"/>
      <protection locked="0"/>
    </xf>
    <xf numFmtId="0" fontId="4" fillId="0" borderId="17" xfId="0" applyFont="1" applyBorder="1" applyAlignment="1" applyProtection="1">
      <alignment horizontal="left" vertical="center"/>
    </xf>
    <xf numFmtId="0" fontId="19" fillId="6" borderId="12" xfId="0" applyFont="1" applyFill="1" applyBorder="1" applyAlignment="1" applyProtection="1">
      <alignment horizontal="left" vertical="center" indent="5"/>
    </xf>
    <xf numFmtId="0" fontId="17" fillId="6" borderId="18" xfId="0" applyFont="1" applyFill="1" applyBorder="1" applyAlignment="1" applyProtection="1">
      <alignment horizontal="left" indent="1"/>
      <protection locked="0"/>
    </xf>
    <xf numFmtId="0" fontId="3" fillId="11" borderId="14" xfId="0" applyFont="1" applyFill="1" applyBorder="1" applyAlignment="1" applyProtection="1">
      <alignment horizontal="left" vertical="center" wrapText="1"/>
    </xf>
    <xf numFmtId="0" fontId="12" fillId="11" borderId="15" xfId="0" applyFont="1" applyFill="1" applyBorder="1" applyAlignment="1" applyProtection="1">
      <alignment horizontal="left" vertical="center"/>
    </xf>
    <xf numFmtId="165" fontId="16" fillId="11" borderId="15" xfId="2" applyFont="1" applyFill="1" applyBorder="1" applyAlignment="1" applyProtection="1">
      <alignment horizontal="center" vertical="center" wrapText="1"/>
    </xf>
    <xf numFmtId="0" fontId="17" fillId="11" borderId="16" xfId="0" applyFont="1" applyFill="1" applyBorder="1" applyAlignment="1" applyProtection="1">
      <alignment horizontal="left" indent="1"/>
    </xf>
    <xf numFmtId="0" fontId="4" fillId="0" borderId="20" xfId="0" applyFont="1" applyFill="1" applyBorder="1" applyAlignment="1" applyProtection="1">
      <alignment horizontal="left" vertical="center"/>
    </xf>
    <xf numFmtId="0" fontId="17" fillId="0" borderId="21" xfId="0" applyFont="1" applyFill="1" applyBorder="1" applyAlignment="1" applyProtection="1">
      <alignment horizontal="left" indent="1"/>
    </xf>
    <xf numFmtId="0" fontId="17" fillId="0" borderId="21" xfId="0" applyFont="1" applyFill="1" applyBorder="1" applyProtection="1"/>
    <xf numFmtId="0" fontId="17" fillId="0" borderId="21" xfId="0" applyFont="1" applyFill="1" applyBorder="1" applyAlignment="1" applyProtection="1">
      <alignment horizontal="left" indent="1"/>
      <protection locked="0"/>
    </xf>
    <xf numFmtId="0" fontId="17" fillId="0" borderId="21" xfId="0" applyFont="1" applyFill="1" applyBorder="1" applyProtection="1">
      <protection locked="0"/>
    </xf>
    <xf numFmtId="0" fontId="17" fillId="0" borderId="21" xfId="0" applyFont="1" applyFill="1" applyBorder="1" applyAlignment="1" applyProtection="1">
      <alignment wrapText="1"/>
      <protection locked="0"/>
    </xf>
    <xf numFmtId="0" fontId="17" fillId="0" borderId="21" xfId="0" applyFont="1" applyBorder="1" applyProtection="1">
      <protection locked="0"/>
    </xf>
    <xf numFmtId="14" fontId="17" fillId="0" borderId="20" xfId="0" applyNumberFormat="1" applyFont="1" applyBorder="1" applyAlignment="1" applyProtection="1">
      <alignment horizontal="left"/>
    </xf>
    <xf numFmtId="14" fontId="17" fillId="0" borderId="20" xfId="0" applyNumberFormat="1" applyFont="1" applyFill="1" applyBorder="1" applyAlignment="1" applyProtection="1">
      <alignment horizontal="right" vertical="center" wrapText="1"/>
    </xf>
    <xf numFmtId="0" fontId="17" fillId="0" borderId="18" xfId="0" applyFont="1" applyBorder="1" applyAlignment="1" applyProtection="1">
      <alignment horizontal="left" vertical="top" wrapText="1"/>
    </xf>
    <xf numFmtId="0" fontId="4" fillId="0" borderId="20" xfId="0" applyFont="1" applyFill="1" applyBorder="1" applyAlignment="1" applyProtection="1">
      <alignment vertical="center" wrapText="1"/>
    </xf>
    <xf numFmtId="14" fontId="17" fillId="0" borderId="20" xfId="0" applyNumberFormat="1" applyFont="1" applyFill="1" applyBorder="1" applyAlignment="1" applyProtection="1">
      <alignment horizontal="left"/>
    </xf>
    <xf numFmtId="0" fontId="17" fillId="0" borderId="21" xfId="0" applyFont="1" applyBorder="1" applyProtection="1"/>
    <xf numFmtId="0" fontId="17" fillId="0" borderId="20" xfId="0" applyFont="1" applyFill="1" applyBorder="1" applyProtection="1"/>
    <xf numFmtId="0" fontId="17" fillId="0" borderId="21" xfId="0" applyFont="1" applyBorder="1" applyAlignment="1" applyProtection="1">
      <alignment horizontal="left" indent="1"/>
    </xf>
    <xf numFmtId="0" fontId="4" fillId="0" borderId="17" xfId="0" applyFont="1" applyFill="1" applyBorder="1" applyAlignment="1" applyProtection="1">
      <alignment horizontal="left" vertical="center"/>
    </xf>
    <xf numFmtId="0" fontId="12" fillId="0" borderId="12" xfId="0" applyFont="1" applyFill="1" applyBorder="1" applyAlignment="1" applyProtection="1">
      <alignment horizontal="left" vertical="center"/>
    </xf>
    <xf numFmtId="166" fontId="17" fillId="0" borderId="12" xfId="2" applyNumberFormat="1" applyFont="1" applyFill="1" applyBorder="1" applyAlignment="1" applyProtection="1">
      <alignment horizontal="center"/>
    </xf>
    <xf numFmtId="0" fontId="17" fillId="0" borderId="18" xfId="0" applyFont="1" applyBorder="1" applyProtection="1"/>
    <xf numFmtId="0" fontId="17" fillId="6" borderId="0" xfId="0" applyFont="1" applyFill="1" applyBorder="1" applyAlignment="1" applyProtection="1">
      <alignment horizontal="left" vertical="center" indent="1"/>
    </xf>
    <xf numFmtId="0" fontId="17" fillId="6" borderId="0" xfId="0" applyFont="1" applyFill="1" applyBorder="1" applyAlignment="1" applyProtection="1">
      <alignment horizontal="left" indent="1"/>
    </xf>
    <xf numFmtId="0" fontId="17" fillId="6" borderId="0" xfId="0" applyFont="1" applyFill="1" applyBorder="1" applyAlignment="1" applyProtection="1">
      <alignment horizontal="left" indent="1"/>
      <protection locked="0"/>
    </xf>
    <xf numFmtId="0" fontId="17" fillId="6" borderId="0" xfId="0" applyFont="1" applyFill="1" applyBorder="1" applyAlignment="1" applyProtection="1">
      <alignment horizontal="left" vertical="center" indent="1"/>
      <protection locked="0"/>
    </xf>
    <xf numFmtId="0" fontId="18" fillId="6" borderId="0" xfId="0" applyFont="1" applyFill="1" applyAlignment="1" applyProtection="1">
      <alignment horizontal="center"/>
    </xf>
    <xf numFmtId="0" fontId="20" fillId="6" borderId="0" xfId="0" applyFont="1" applyFill="1" applyAlignment="1" applyProtection="1">
      <alignment horizontal="center"/>
    </xf>
    <xf numFmtId="0" fontId="32" fillId="6" borderId="0" xfId="0" applyFont="1" applyFill="1" applyBorder="1" applyAlignment="1" applyProtection="1">
      <alignment horizontal="center" vertical="center" wrapText="1"/>
      <protection locked="0"/>
    </xf>
    <xf numFmtId="0" fontId="17" fillId="6" borderId="0" xfId="0" applyFont="1" applyFill="1" applyBorder="1" applyProtection="1">
      <protection locked="0"/>
    </xf>
    <xf numFmtId="0" fontId="17" fillId="6" borderId="0" xfId="0" applyFont="1" applyFill="1" applyBorder="1" applyAlignment="1" applyProtection="1">
      <alignment wrapText="1"/>
      <protection locked="0"/>
    </xf>
    <xf numFmtId="0" fontId="17" fillId="6" borderId="0" xfId="0" applyFont="1" applyFill="1" applyBorder="1" applyAlignment="1" applyProtection="1">
      <alignment horizontal="left" vertical="top" wrapText="1"/>
    </xf>
    <xf numFmtId="0" fontId="4" fillId="6" borderId="0" xfId="0" applyFont="1" applyFill="1" applyBorder="1" applyAlignment="1" applyProtection="1">
      <alignment horizontal="center" vertical="center" wrapText="1"/>
    </xf>
    <xf numFmtId="0" fontId="17" fillId="6" borderId="55" xfId="0" applyFont="1" applyFill="1" applyBorder="1"/>
    <xf numFmtId="0" fontId="17" fillId="6" borderId="56" xfId="0" applyFont="1" applyFill="1" applyBorder="1"/>
    <xf numFmtId="0" fontId="17" fillId="6" borderId="57" xfId="0" applyFont="1" applyFill="1" applyBorder="1"/>
    <xf numFmtId="0" fontId="26" fillId="6" borderId="20" xfId="0" applyFont="1" applyFill="1" applyBorder="1" applyAlignment="1">
      <alignment vertical="center"/>
    </xf>
    <xf numFmtId="0" fontId="26" fillId="6" borderId="21"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0" xfId="0" applyFont="1" applyFill="1" applyAlignment="1">
      <alignment vertical="center"/>
    </xf>
    <xf numFmtId="0" fontId="26" fillId="6" borderId="0" xfId="0" applyFont="1" applyFill="1" applyAlignment="1">
      <alignment horizontal="left" vertical="center" wrapText="1"/>
    </xf>
    <xf numFmtId="0" fontId="26" fillId="17" borderId="20" xfId="0" applyFont="1" applyFill="1" applyBorder="1" applyAlignment="1" applyProtection="1">
      <alignment horizontal="center" vertical="center"/>
      <protection locked="0"/>
    </xf>
    <xf numFmtId="0" fontId="26" fillId="6" borderId="21" xfId="0" applyFont="1" applyFill="1" applyBorder="1" applyAlignment="1"/>
    <xf numFmtId="0" fontId="46" fillId="6" borderId="0" xfId="0" applyFont="1" applyFill="1" applyAlignment="1">
      <alignment vertical="top"/>
    </xf>
    <xf numFmtId="0" fontId="17" fillId="17" borderId="32" xfId="0" applyFont="1" applyFill="1" applyBorder="1" applyProtection="1">
      <protection locked="0"/>
    </xf>
    <xf numFmtId="0" fontId="17" fillId="17" borderId="2" xfId="0" applyFont="1" applyFill="1" applyBorder="1" applyProtection="1">
      <protection locked="0"/>
    </xf>
    <xf numFmtId="0" fontId="12" fillId="6" borderId="0" xfId="0" applyFont="1" applyFill="1" applyBorder="1" applyAlignment="1">
      <alignment horizontal="center"/>
    </xf>
    <xf numFmtId="0" fontId="17" fillId="6" borderId="0" xfId="0" applyFont="1" applyFill="1" applyBorder="1" applyAlignment="1">
      <alignment horizontal="center"/>
    </xf>
    <xf numFmtId="0" fontId="4" fillId="15" borderId="0" xfId="7" applyNumberFormat="1" applyFont="1" applyFill="1" applyBorder="1" applyAlignment="1" applyProtection="1">
      <alignment horizontal="center"/>
    </xf>
    <xf numFmtId="0" fontId="4" fillId="14" borderId="0" xfId="7" applyNumberFormat="1" applyFont="1" applyFill="1" applyBorder="1" applyAlignment="1" applyProtection="1">
      <alignment horizontal="center"/>
    </xf>
    <xf numFmtId="0" fontId="17" fillId="6" borderId="8" xfId="0" applyFont="1" applyFill="1" applyBorder="1"/>
    <xf numFmtId="49" fontId="4" fillId="14" borderId="7" xfId="7" applyNumberFormat="1" applyFont="1" applyFill="1" applyBorder="1" applyProtection="1"/>
    <xf numFmtId="0" fontId="4" fillId="14" borderId="7" xfId="7" applyNumberFormat="1" applyFont="1" applyFill="1" applyBorder="1" applyAlignment="1" applyProtection="1">
      <alignment horizontal="center"/>
    </xf>
    <xf numFmtId="0" fontId="4" fillId="15" borderId="7" xfId="7" applyNumberFormat="1" applyFont="1" applyFill="1" applyBorder="1" applyAlignment="1" applyProtection="1">
      <alignment horizontal="center"/>
    </xf>
    <xf numFmtId="49" fontId="4" fillId="15" borderId="7" xfId="7" applyNumberFormat="1" applyFont="1" applyFill="1" applyBorder="1" applyProtection="1"/>
    <xf numFmtId="0" fontId="17" fillId="21" borderId="0" xfId="0" applyFont="1" applyFill="1" applyBorder="1"/>
    <xf numFmtId="0" fontId="4" fillId="14" borderId="0" xfId="0" applyFont="1" applyFill="1" applyBorder="1"/>
    <xf numFmtId="0" fontId="4" fillId="6" borderId="0" xfId="0" applyFont="1" applyFill="1" applyBorder="1"/>
    <xf numFmtId="0" fontId="17" fillId="14" borderId="0" xfId="0" applyFont="1" applyFill="1" applyBorder="1" applyAlignment="1">
      <alignment horizontal="center"/>
    </xf>
    <xf numFmtId="0" fontId="42" fillId="14" borderId="0" xfId="17" applyFont="1" applyFill="1" applyBorder="1"/>
    <xf numFmtId="0" fontId="4" fillId="14" borderId="0" xfId="17" applyFont="1" applyFill="1" applyBorder="1"/>
    <xf numFmtId="0" fontId="17" fillId="6" borderId="10" xfId="0" applyFont="1" applyFill="1" applyBorder="1"/>
    <xf numFmtId="0" fontId="17" fillId="14" borderId="10" xfId="0" applyFont="1" applyFill="1" applyBorder="1"/>
    <xf numFmtId="0" fontId="17" fillId="6" borderId="11" xfId="0" applyFont="1" applyFill="1" applyBorder="1"/>
    <xf numFmtId="0" fontId="17" fillId="6" borderId="4" xfId="0" applyFont="1" applyFill="1" applyBorder="1"/>
    <xf numFmtId="0" fontId="17" fillId="6" borderId="5" xfId="0" applyFont="1" applyFill="1" applyBorder="1"/>
    <xf numFmtId="0" fontId="4" fillId="6" borderId="5" xfId="7" applyFont="1" applyFill="1" applyBorder="1" applyAlignment="1" applyProtection="1"/>
    <xf numFmtId="0" fontId="17" fillId="6" borderId="6" xfId="0" applyFont="1" applyFill="1" applyBorder="1"/>
    <xf numFmtId="0" fontId="3" fillId="14" borderId="0" xfId="0" applyFont="1" applyFill="1" applyBorder="1"/>
    <xf numFmtId="0" fontId="24" fillId="6" borderId="7" xfId="0" applyFont="1" applyFill="1" applyBorder="1" applyProtection="1"/>
    <xf numFmtId="1" fontId="17" fillId="6" borderId="0" xfId="0" applyNumberFormat="1" applyFont="1" applyFill="1" applyBorder="1"/>
    <xf numFmtId="2" fontId="17" fillId="6" borderId="0" xfId="0" applyNumberFormat="1" applyFont="1" applyFill="1" applyBorder="1"/>
    <xf numFmtId="169" fontId="12" fillId="6" borderId="7" xfId="16" applyNumberFormat="1" applyFont="1" applyFill="1" applyBorder="1" applyAlignment="1" applyProtection="1">
      <alignment horizontal="center" wrapText="1"/>
    </xf>
    <xf numFmtId="14" fontId="17" fillId="6" borderId="0" xfId="0" applyNumberFormat="1" applyFont="1" applyFill="1" applyBorder="1" applyAlignment="1" applyProtection="1">
      <alignment horizontal="right"/>
      <protection locked="0"/>
    </xf>
    <xf numFmtId="0" fontId="12" fillId="6" borderId="7" xfId="16" applyFont="1" applyFill="1" applyBorder="1" applyAlignment="1" applyProtection="1">
      <alignment horizontal="center" wrapText="1"/>
    </xf>
    <xf numFmtId="169" fontId="12" fillId="6" borderId="7" xfId="0" applyNumberFormat="1" applyFont="1" applyFill="1" applyBorder="1" applyAlignment="1" applyProtection="1">
      <alignment horizontal="center" wrapText="1"/>
    </xf>
    <xf numFmtId="14" fontId="17" fillId="6" borderId="7" xfId="0" applyNumberFormat="1" applyFont="1" applyFill="1" applyBorder="1" applyProtection="1">
      <protection locked="0"/>
    </xf>
    <xf numFmtId="169" fontId="12" fillId="6" borderId="7" xfId="0" applyNumberFormat="1" applyFont="1" applyFill="1" applyBorder="1" applyAlignment="1" applyProtection="1">
      <alignment horizontal="center"/>
    </xf>
    <xf numFmtId="0" fontId="17" fillId="6" borderId="7" xfId="0" applyFont="1" applyFill="1" applyBorder="1" applyProtection="1"/>
    <xf numFmtId="14" fontId="17" fillId="6" borderId="0" xfId="0" applyNumberFormat="1" applyFont="1" applyFill="1" applyBorder="1"/>
    <xf numFmtId="0" fontId="12" fillId="6" borderId="7" xfId="0" applyFont="1" applyFill="1" applyBorder="1" applyAlignment="1" applyProtection="1">
      <alignment horizontal="center"/>
    </xf>
    <xf numFmtId="9" fontId="12" fillId="6" borderId="7" xfId="16" applyNumberFormat="1" applyFont="1" applyFill="1" applyBorder="1" applyAlignment="1" applyProtection="1">
      <alignment horizontal="center" wrapText="1"/>
    </xf>
    <xf numFmtId="0" fontId="24" fillId="6" borderId="7" xfId="0" applyFont="1" applyFill="1" applyBorder="1" applyAlignment="1" applyProtection="1">
      <alignment horizontal="center"/>
    </xf>
    <xf numFmtId="0" fontId="22" fillId="16" borderId="7" xfId="0" applyFont="1" applyFill="1" applyBorder="1" applyAlignment="1" applyProtection="1">
      <alignment horizontal="center"/>
    </xf>
    <xf numFmtId="14" fontId="17" fillId="6" borderId="7" xfId="0" applyNumberFormat="1" applyFont="1" applyFill="1" applyBorder="1" applyAlignment="1" applyProtection="1">
      <alignment horizontal="center"/>
    </xf>
    <xf numFmtId="14" fontId="4" fillId="6" borderId="7" xfId="0" applyNumberFormat="1" applyFont="1" applyFill="1" applyBorder="1" applyAlignment="1" applyProtection="1">
      <alignment horizontal="center"/>
      <protection locked="0"/>
    </xf>
    <xf numFmtId="0" fontId="17" fillId="6" borderId="7" xfId="0" applyNumberFormat="1" applyFont="1" applyFill="1" applyBorder="1" applyAlignment="1" applyProtection="1">
      <alignment horizontal="center"/>
    </xf>
    <xf numFmtId="173" fontId="17" fillId="6" borderId="0" xfId="0" applyNumberFormat="1" applyFont="1" applyFill="1" applyBorder="1"/>
    <xf numFmtId="0" fontId="17" fillId="6" borderId="0" xfId="0" quotePrefix="1" applyFont="1" applyFill="1" applyBorder="1"/>
    <xf numFmtId="14" fontId="17" fillId="6" borderId="9" xfId="0" applyNumberFormat="1" applyFont="1" applyFill="1" applyBorder="1" applyAlignment="1" applyProtection="1">
      <alignment horizontal="center"/>
    </xf>
    <xf numFmtId="0" fontId="17" fillId="6" borderId="10" xfId="0" applyFont="1" applyFill="1" applyBorder="1" applyAlignment="1">
      <alignment horizontal="center"/>
    </xf>
    <xf numFmtId="14" fontId="17" fillId="6" borderId="10" xfId="0" applyNumberFormat="1" applyFont="1" applyFill="1" applyBorder="1"/>
    <xf numFmtId="14" fontId="17" fillId="6" borderId="61" xfId="0" applyNumberFormat="1" applyFont="1" applyFill="1" applyBorder="1" applyAlignment="1">
      <alignment horizontal="right"/>
    </xf>
    <xf numFmtId="1" fontId="17" fillId="6" borderId="10" xfId="0" applyNumberFormat="1" applyFont="1" applyFill="1" applyBorder="1"/>
    <xf numFmtId="14" fontId="17" fillId="6" borderId="53" xfId="0" applyNumberFormat="1" applyFont="1" applyFill="1" applyBorder="1" applyAlignment="1">
      <alignment horizontal="right"/>
    </xf>
    <xf numFmtId="2" fontId="17" fillId="6" borderId="10" xfId="0" applyNumberFormat="1" applyFont="1" applyFill="1" applyBorder="1"/>
    <xf numFmtId="0" fontId="26" fillId="6" borderId="7" xfId="0" applyFont="1" applyFill="1" applyBorder="1"/>
    <xf numFmtId="0" fontId="26" fillId="6" borderId="8" xfId="0" applyFont="1" applyFill="1" applyBorder="1"/>
    <xf numFmtId="0" fontId="26" fillId="14" borderId="7" xfId="0" applyFont="1" applyFill="1" applyBorder="1"/>
    <xf numFmtId="0" fontId="26" fillId="6" borderId="9" xfId="0" applyFont="1" applyFill="1" applyBorder="1"/>
    <xf numFmtId="0" fontId="26" fillId="6" borderId="10" xfId="0" applyFont="1" applyFill="1" applyBorder="1"/>
    <xf numFmtId="0" fontId="26" fillId="6" borderId="11" xfId="0" applyFont="1" applyFill="1" applyBorder="1"/>
    <xf numFmtId="0" fontId="26" fillId="14" borderId="0" xfId="0" applyFont="1" applyFill="1" applyBorder="1"/>
    <xf numFmtId="0" fontId="26" fillId="14" borderId="7" xfId="0" applyFont="1" applyFill="1" applyBorder="1" applyAlignment="1">
      <alignment vertical="center"/>
    </xf>
    <xf numFmtId="0" fontId="26" fillId="6" borderId="0" xfId="0" applyFont="1" applyFill="1" applyBorder="1" applyAlignment="1">
      <alignment vertical="center"/>
    </xf>
    <xf numFmtId="0" fontId="26" fillId="14" borderId="8" xfId="0" applyFont="1" applyFill="1" applyBorder="1"/>
    <xf numFmtId="0" fontId="26" fillId="21" borderId="7" xfId="0" applyFont="1" applyFill="1" applyBorder="1"/>
    <xf numFmtId="0" fontId="26" fillId="6" borderId="7" xfId="0" applyFont="1" applyFill="1" applyBorder="1" applyAlignment="1">
      <alignment vertical="center"/>
    </xf>
    <xf numFmtId="0" fontId="8" fillId="6" borderId="7" xfId="0" applyFont="1" applyFill="1" applyBorder="1"/>
    <xf numFmtId="0" fontId="8" fillId="6" borderId="8" xfId="0" applyFont="1" applyFill="1" applyBorder="1"/>
    <xf numFmtId="0" fontId="8" fillId="14" borderId="7" xfId="0" applyFont="1" applyFill="1" applyBorder="1"/>
    <xf numFmtId="0" fontId="8" fillId="6" borderId="9" xfId="0" applyFont="1" applyFill="1" applyBorder="1"/>
    <xf numFmtId="0" fontId="8" fillId="6" borderId="10" xfId="0" applyFont="1" applyFill="1" applyBorder="1"/>
    <xf numFmtId="0" fontId="8" fillId="6" borderId="11" xfId="0" applyFont="1" applyFill="1" applyBorder="1"/>
    <xf numFmtId="0" fontId="26" fillId="6" borderId="0" xfId="0" applyFont="1" applyFill="1" applyBorder="1" applyAlignment="1" applyProtection="1">
      <alignment wrapText="1"/>
      <protection locked="0"/>
    </xf>
    <xf numFmtId="0" fontId="26" fillId="6" borderId="0" xfId="0" applyFont="1" applyFill="1" applyBorder="1" applyAlignment="1" applyProtection="1">
      <protection locked="0"/>
    </xf>
    <xf numFmtId="0" fontId="26" fillId="6" borderId="0" xfId="0" applyFont="1" applyFill="1" applyBorder="1" applyProtection="1">
      <protection locked="0"/>
    </xf>
    <xf numFmtId="0" fontId="26" fillId="6" borderId="21" xfId="0" applyFont="1" applyFill="1" applyBorder="1" applyAlignment="1" applyProtection="1">
      <alignment horizontal="justify"/>
      <protection locked="0"/>
    </xf>
    <xf numFmtId="0" fontId="26" fillId="6" borderId="21" xfId="0" applyFont="1" applyFill="1" applyBorder="1" applyAlignment="1" applyProtection="1">
      <alignment horizontal="justify" wrapText="1"/>
      <protection locked="0"/>
    </xf>
    <xf numFmtId="0" fontId="26" fillId="6" borderId="21" xfId="0" applyFont="1" applyFill="1" applyBorder="1" applyAlignment="1" applyProtection="1">
      <alignment horizontal="left" wrapText="1"/>
      <protection locked="0"/>
    </xf>
    <xf numFmtId="0" fontId="26" fillId="6" borderId="12" xfId="0" applyFont="1" applyFill="1" applyBorder="1" applyAlignment="1" applyProtection="1">
      <alignment wrapText="1"/>
      <protection locked="0"/>
    </xf>
    <xf numFmtId="0" fontId="26" fillId="6" borderId="18" xfId="0" applyFont="1" applyFill="1" applyBorder="1" applyAlignment="1" applyProtection="1">
      <alignment horizontal="left" wrapText="1"/>
      <protection locked="0"/>
    </xf>
    <xf numFmtId="0" fontId="40" fillId="6" borderId="0" xfId="0" applyFont="1" applyFill="1" applyBorder="1" applyAlignment="1" applyProtection="1">
      <alignment horizontal="justify" wrapText="1"/>
      <protection locked="0"/>
    </xf>
    <xf numFmtId="0" fontId="40" fillId="6" borderId="0" xfId="0" applyFont="1" applyFill="1" applyBorder="1" applyProtection="1">
      <protection locked="0"/>
    </xf>
    <xf numFmtId="0" fontId="44" fillId="0" borderId="0" xfId="0" applyFont="1" applyBorder="1" applyAlignment="1" applyProtection="1">
      <alignment vertical="center"/>
      <protection locked="0"/>
    </xf>
    <xf numFmtId="0" fontId="4" fillId="6" borderId="0" xfId="0" applyFont="1" applyFill="1" applyBorder="1" applyAlignment="1" applyProtection="1">
      <alignment vertical="center" wrapText="1"/>
      <protection locked="0"/>
    </xf>
    <xf numFmtId="0" fontId="17" fillId="14" borderId="0" xfId="0" applyFont="1" applyFill="1"/>
    <xf numFmtId="0" fontId="26" fillId="17" borderId="0" xfId="0" applyFont="1" applyFill="1" applyBorder="1" applyAlignment="1" applyProtection="1">
      <alignment horizontal="center" vertical="center" wrapText="1"/>
      <protection locked="0"/>
    </xf>
    <xf numFmtId="1" fontId="4" fillId="6" borderId="0" xfId="0" applyNumberFormat="1" applyFont="1" applyFill="1" applyBorder="1" applyAlignment="1" applyProtection="1">
      <alignment horizontal="center"/>
    </xf>
    <xf numFmtId="0" fontId="4" fillId="6" borderId="0" xfId="0" applyFont="1" applyFill="1" applyBorder="1" applyAlignment="1" applyProtection="1">
      <alignment horizontal="center"/>
    </xf>
    <xf numFmtId="0" fontId="4" fillId="6" borderId="20" xfId="0" applyFont="1" applyFill="1" applyBorder="1" applyAlignment="1" applyProtection="1">
      <alignment horizontal="right"/>
    </xf>
    <xf numFmtId="0" fontId="17" fillId="6" borderId="0" xfId="0" applyFont="1" applyFill="1" applyBorder="1" applyAlignment="1">
      <alignment horizontal="center"/>
    </xf>
    <xf numFmtId="0" fontId="4" fillId="2" borderId="0" xfId="7" applyNumberFormat="1" applyFont="1" applyFill="1" applyBorder="1" applyAlignment="1" applyProtection="1">
      <alignment horizontal="center" vertical="center"/>
    </xf>
    <xf numFmtId="0" fontId="37" fillId="6" borderId="0" xfId="0" applyFont="1" applyFill="1" applyBorder="1" applyAlignment="1"/>
    <xf numFmtId="0" fontId="21" fillId="6" borderId="20" xfId="7" applyFont="1" applyFill="1" applyBorder="1" applyAlignment="1" applyProtection="1">
      <alignment horizontal="center" vertical="center"/>
    </xf>
    <xf numFmtId="0" fontId="21" fillId="6" borderId="21" xfId="7" applyFont="1" applyFill="1" applyBorder="1" applyAlignment="1" applyProtection="1">
      <alignment horizontal="center" vertical="center"/>
    </xf>
    <xf numFmtId="0" fontId="4" fillId="6" borderId="0" xfId="7" applyFont="1" applyFill="1" applyBorder="1" applyAlignment="1" applyProtection="1">
      <alignment vertical="justify" wrapText="1"/>
    </xf>
    <xf numFmtId="0" fontId="34" fillId="6" borderId="0" xfId="0" applyNumberFormat="1" applyFont="1" applyFill="1" applyBorder="1" applyAlignment="1" applyProtection="1">
      <alignment horizontal="center" vertical="center"/>
    </xf>
    <xf numFmtId="0" fontId="17" fillId="6" borderId="0" xfId="0" applyFont="1" applyFill="1" applyBorder="1" applyAlignment="1">
      <alignment horizontal="right"/>
    </xf>
    <xf numFmtId="0" fontId="36" fillId="6" borderId="0" xfId="0" applyFont="1" applyFill="1" applyBorder="1" applyAlignment="1">
      <alignment vertical="center"/>
    </xf>
    <xf numFmtId="0" fontId="40" fillId="6" borderId="0" xfId="0" applyFont="1" applyFill="1" applyBorder="1" applyAlignment="1">
      <alignment wrapText="1"/>
    </xf>
    <xf numFmtId="0" fontId="40" fillId="6" borderId="0" xfId="0" applyFont="1" applyFill="1" applyBorder="1" applyAlignment="1"/>
    <xf numFmtId="0" fontId="26" fillId="6" borderId="0" xfId="0" applyFont="1" applyFill="1" applyBorder="1" applyAlignment="1">
      <alignment horizontal="center"/>
    </xf>
    <xf numFmtId="0" fontId="26" fillId="6" borderId="0" xfId="0" applyFont="1" applyFill="1" applyBorder="1" applyAlignment="1">
      <alignment horizontal="left"/>
    </xf>
    <xf numFmtId="0" fontId="40" fillId="6" borderId="0" xfId="0" applyFont="1" applyFill="1" applyBorder="1" applyAlignment="1" applyProtection="1">
      <alignment wrapText="1"/>
      <protection locked="0"/>
    </xf>
    <xf numFmtId="0" fontId="40"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wrapText="1"/>
      <protection locked="0"/>
    </xf>
    <xf numFmtId="0" fontId="24" fillId="6" borderId="20" xfId="0" applyFont="1" applyFill="1" applyBorder="1" applyProtection="1"/>
    <xf numFmtId="14" fontId="24" fillId="6" borderId="0" xfId="0" applyNumberFormat="1" applyFont="1" applyFill="1" applyBorder="1" applyProtection="1"/>
    <xf numFmtId="0" fontId="26" fillId="23" borderId="0" xfId="0" applyFont="1" applyFill="1"/>
    <xf numFmtId="49" fontId="40" fillId="0" borderId="0" xfId="7" applyNumberFormat="1" applyFont="1" applyFill="1" applyBorder="1" applyProtection="1"/>
    <xf numFmtId="49" fontId="40" fillId="2" borderId="0" xfId="7" applyNumberFormat="1" applyFont="1" applyFill="1" applyBorder="1" applyAlignment="1" applyProtection="1">
      <alignment vertical="center"/>
    </xf>
    <xf numFmtId="49" fontId="40" fillId="2" borderId="0" xfId="7" applyNumberFormat="1" applyFont="1" applyFill="1" applyBorder="1" applyAlignment="1" applyProtection="1">
      <alignment horizontal="left" vertical="center"/>
    </xf>
    <xf numFmtId="0" fontId="26" fillId="0" borderId="0" xfId="0" applyFont="1"/>
    <xf numFmtId="0" fontId="40" fillId="2" borderId="0" xfId="7" applyFont="1" applyFill="1" applyBorder="1" applyAlignment="1" applyProtection="1">
      <alignment vertical="center"/>
    </xf>
    <xf numFmtId="49" fontId="40" fillId="6" borderId="0" xfId="7" applyNumberFormat="1" applyFont="1" applyFill="1" applyBorder="1" applyProtection="1"/>
    <xf numFmtId="49" fontId="40" fillId="2" borderId="0" xfId="7" applyNumberFormat="1" applyFont="1" applyFill="1" applyBorder="1" applyAlignment="1" applyProtection="1">
      <alignment horizontal="center" vertical="center"/>
    </xf>
    <xf numFmtId="0" fontId="40" fillId="2" borderId="0" xfId="7" applyFont="1" applyFill="1" applyBorder="1" applyAlignment="1" applyProtection="1">
      <alignment horizontal="left" vertical="center"/>
    </xf>
    <xf numFmtId="0" fontId="40" fillId="2" borderId="0" xfId="7" applyFont="1" applyFill="1" applyBorder="1" applyAlignment="1" applyProtection="1">
      <alignment horizontal="center" vertical="center"/>
    </xf>
    <xf numFmtId="49" fontId="40" fillId="2" borderId="0" xfId="7" applyNumberFormat="1" applyFont="1" applyFill="1" applyBorder="1" applyProtection="1"/>
    <xf numFmtId="49" fontId="40" fillId="2" borderId="7" xfId="7" applyNumberFormat="1" applyFont="1" applyFill="1" applyBorder="1" applyProtection="1"/>
    <xf numFmtId="49" fontId="40" fillId="0" borderId="0" xfId="7" applyNumberFormat="1" applyFont="1" applyFill="1" applyBorder="1" applyAlignment="1" applyProtection="1"/>
    <xf numFmtId="0" fontId="53" fillId="0" borderId="0" xfId="7" applyNumberFormat="1" applyFont="1" applyFill="1" applyBorder="1" applyProtection="1"/>
    <xf numFmtId="49" fontId="40" fillId="0" borderId="8" xfId="7" applyNumberFormat="1" applyFont="1" applyFill="1" applyBorder="1" applyProtection="1"/>
    <xf numFmtId="49" fontId="40" fillId="15" borderId="0" xfId="7" applyNumberFormat="1" applyFont="1" applyFill="1" applyBorder="1" applyProtection="1"/>
    <xf numFmtId="0" fontId="40" fillId="2" borderId="0" xfId="7" applyFont="1" applyFill="1" applyBorder="1" applyAlignment="1" applyProtection="1"/>
    <xf numFmtId="0" fontId="40" fillId="2" borderId="0" xfId="7" applyFont="1" applyFill="1" applyBorder="1" applyAlignment="1" applyProtection="1">
      <alignment horizontal="left"/>
    </xf>
    <xf numFmtId="49" fontId="40" fillId="2" borderId="0" xfId="7" applyNumberFormat="1" applyFont="1" applyFill="1" applyBorder="1" applyAlignment="1" applyProtection="1">
      <alignment horizontal="left"/>
    </xf>
    <xf numFmtId="49" fontId="40" fillId="14" borderId="0" xfId="7" applyNumberFormat="1" applyFont="1" applyFill="1" applyBorder="1" applyProtection="1"/>
    <xf numFmtId="49" fontId="49" fillId="0" borderId="0" xfId="7" applyNumberFormat="1" applyFont="1" applyFill="1" applyBorder="1" applyAlignment="1" applyProtection="1"/>
    <xf numFmtId="49" fontId="49" fillId="0" borderId="0" xfId="7" applyNumberFormat="1" applyFont="1" applyFill="1" applyBorder="1" applyProtection="1"/>
    <xf numFmtId="0" fontId="49" fillId="2" borderId="0" xfId="7" applyFont="1" applyFill="1" applyBorder="1" applyAlignment="1" applyProtection="1">
      <alignment vertical="center" wrapText="1"/>
    </xf>
    <xf numFmtId="49" fontId="49" fillId="6" borderId="0" xfId="7" applyNumberFormat="1" applyFont="1" applyFill="1" applyBorder="1" applyAlignment="1" applyProtection="1">
      <alignment vertical="center"/>
    </xf>
    <xf numFmtId="0" fontId="40" fillId="0" borderId="0" xfId="7" applyNumberFormat="1" applyFont="1" applyFill="1" applyBorder="1" applyAlignment="1" applyProtection="1"/>
    <xf numFmtId="0" fontId="49" fillId="14" borderId="0" xfId="7" applyNumberFormat="1" applyFont="1" applyFill="1" applyBorder="1" applyAlignment="1" applyProtection="1"/>
    <xf numFmtId="0" fontId="40" fillId="0" borderId="0" xfId="7" applyNumberFormat="1" applyFont="1" applyFill="1" applyBorder="1" applyProtection="1"/>
    <xf numFmtId="0" fontId="40" fillId="14" borderId="0" xfId="7" applyNumberFormat="1" applyFont="1" applyFill="1" applyBorder="1" applyAlignment="1" applyProtection="1">
      <alignment horizontal="center"/>
    </xf>
    <xf numFmtId="0" fontId="49" fillId="14" borderId="0" xfId="7" applyNumberFormat="1" applyFont="1" applyFill="1" applyBorder="1" applyAlignment="1" applyProtection="1">
      <alignment vertical="center"/>
    </xf>
    <xf numFmtId="0" fontId="40" fillId="2" borderId="0" xfId="7" applyFont="1" applyFill="1" applyBorder="1" applyAlignment="1" applyProtection="1">
      <alignment horizontal="center" wrapText="1"/>
    </xf>
    <xf numFmtId="0" fontId="40" fillId="2" borderId="0" xfId="7" applyFont="1" applyFill="1" applyBorder="1" applyAlignment="1" applyProtection="1">
      <alignment horizontal="left" wrapText="1"/>
    </xf>
    <xf numFmtId="49" fontId="40" fillId="6" borderId="0" xfId="7" applyNumberFormat="1" applyFont="1" applyFill="1" applyBorder="1" applyAlignment="1" applyProtection="1"/>
    <xf numFmtId="0" fontId="40" fillId="15" borderId="0" xfId="7" applyNumberFormat="1" applyFont="1" applyFill="1" applyBorder="1" applyAlignment="1" applyProtection="1">
      <alignment horizontal="center"/>
    </xf>
    <xf numFmtId="0" fontId="49" fillId="15" borderId="0" xfId="7" applyNumberFormat="1" applyFont="1" applyFill="1" applyBorder="1" applyAlignment="1" applyProtection="1">
      <alignment vertical="center"/>
    </xf>
    <xf numFmtId="49" fontId="40" fillId="15" borderId="0" xfId="7" applyNumberFormat="1" applyFont="1" applyFill="1" applyBorder="1" applyAlignment="1" applyProtection="1"/>
    <xf numFmtId="0" fontId="49" fillId="15" borderId="0" xfId="7" applyNumberFormat="1" applyFont="1" applyFill="1" applyBorder="1" applyAlignment="1">
      <alignment vertical="center"/>
    </xf>
    <xf numFmtId="0" fontId="49" fillId="2" borderId="0" xfId="7" applyNumberFormat="1" applyFont="1" applyFill="1" applyBorder="1" applyAlignment="1" applyProtection="1">
      <alignment horizontal="left" vertical="center"/>
    </xf>
    <xf numFmtId="49" fontId="40" fillId="0" borderId="0" xfId="7" applyNumberFormat="1" applyFont="1" applyFill="1" applyBorder="1" applyAlignment="1" applyProtection="1">
      <alignment vertical="top"/>
    </xf>
    <xf numFmtId="0" fontId="40" fillId="0" borderId="0" xfId="7" applyFont="1" applyFill="1" applyBorder="1" applyAlignment="1" applyProtection="1">
      <alignment vertical="top"/>
    </xf>
    <xf numFmtId="0" fontId="40" fillId="15" borderId="0" xfId="7" applyFont="1" applyFill="1" applyBorder="1" applyAlignment="1" applyProtection="1"/>
    <xf numFmtId="0" fontId="40" fillId="0" borderId="0" xfId="7" applyFont="1" applyBorder="1" applyAlignment="1" applyProtection="1"/>
    <xf numFmtId="49" fontId="40" fillId="2" borderId="0" xfId="7" applyNumberFormat="1" applyFont="1" applyFill="1" applyBorder="1" applyAlignment="1" applyProtection="1"/>
    <xf numFmtId="49" fontId="49" fillId="2" borderId="0" xfId="7" applyNumberFormat="1" applyFont="1" applyFill="1" applyBorder="1" applyProtection="1"/>
    <xf numFmtId="0" fontId="49" fillId="2" borderId="0" xfId="7" applyFont="1" applyFill="1" applyBorder="1" applyAlignment="1" applyProtection="1">
      <alignment vertical="top" wrapText="1"/>
    </xf>
    <xf numFmtId="49" fontId="40" fillId="0" borderId="0" xfId="7" applyNumberFormat="1" applyFont="1" applyFill="1" applyProtection="1"/>
    <xf numFmtId="49" fontId="40" fillId="6" borderId="0" xfId="7" applyNumberFormat="1" applyFont="1" applyFill="1" applyProtection="1"/>
    <xf numFmtId="49" fontId="49" fillId="2" borderId="0" xfId="7" applyNumberFormat="1" applyFont="1" applyFill="1" applyBorder="1" applyAlignment="1" applyProtection="1">
      <alignment horizontal="justify" vertical="top" wrapText="1"/>
    </xf>
    <xf numFmtId="0" fontId="49" fillId="2" borderId="0" xfId="7" applyFont="1" applyFill="1" applyBorder="1" applyAlignment="1" applyProtection="1">
      <alignment horizontal="justify" vertical="top" wrapText="1"/>
    </xf>
    <xf numFmtId="0" fontId="40" fillId="2" borderId="0" xfId="7" applyFont="1" applyFill="1" applyBorder="1" applyProtection="1"/>
    <xf numFmtId="0" fontId="40" fillId="2" borderId="7" xfId="7" applyFont="1" applyFill="1" applyBorder="1" applyProtection="1"/>
    <xf numFmtId="0" fontId="40" fillId="0" borderId="0" xfId="7" applyFont="1" applyBorder="1" applyProtection="1"/>
    <xf numFmtId="0" fontId="40" fillId="0" borderId="8" xfId="7" applyFont="1" applyBorder="1" applyProtection="1"/>
    <xf numFmtId="0" fontId="40" fillId="0" borderId="0" xfId="7" applyFont="1" applyProtection="1"/>
    <xf numFmtId="0" fontId="40" fillId="6" borderId="0" xfId="7" applyFont="1" applyFill="1" applyProtection="1"/>
    <xf numFmtId="0" fontId="52" fillId="2" borderId="20" xfId="7" applyFont="1" applyFill="1" applyBorder="1" applyAlignment="1" applyProtection="1">
      <alignment horizontal="center" vertical="center"/>
    </xf>
    <xf numFmtId="0" fontId="52" fillId="2" borderId="0" xfId="7" applyFont="1" applyFill="1" applyBorder="1" applyAlignment="1" applyProtection="1">
      <alignment horizontal="center" vertical="center"/>
    </xf>
    <xf numFmtId="0" fontId="52" fillId="2" borderId="21" xfId="7" applyFont="1" applyFill="1" applyBorder="1" applyAlignment="1" applyProtection="1">
      <alignment horizontal="center" vertical="center"/>
    </xf>
    <xf numFmtId="49" fontId="40" fillId="2" borderId="20" xfId="7" applyNumberFormat="1" applyFont="1" applyFill="1" applyBorder="1" applyProtection="1"/>
    <xf numFmtId="49" fontId="40" fillId="2" borderId="21" xfId="7" applyNumberFormat="1" applyFont="1" applyFill="1" applyBorder="1" applyProtection="1"/>
    <xf numFmtId="49" fontId="40" fillId="0" borderId="7" xfId="7" applyNumberFormat="1" applyFont="1" applyFill="1" applyBorder="1" applyProtection="1"/>
    <xf numFmtId="0" fontId="49" fillId="2" borderId="0" xfId="7" applyNumberFormat="1" applyFont="1" applyFill="1" applyBorder="1" applyAlignment="1" applyProtection="1">
      <alignment vertical="center"/>
    </xf>
    <xf numFmtId="0" fontId="40" fillId="0" borderId="0" xfId="7" applyNumberFormat="1" applyFont="1" applyBorder="1" applyAlignment="1" applyProtection="1"/>
    <xf numFmtId="0" fontId="49" fillId="2" borderId="0" xfId="7" applyNumberFormat="1" applyFont="1" applyFill="1" applyBorder="1" applyAlignment="1" applyProtection="1">
      <alignment horizontal="center" vertical="center"/>
    </xf>
    <xf numFmtId="49" fontId="40" fillId="2" borderId="17" xfId="7" applyNumberFormat="1" applyFont="1" applyFill="1" applyBorder="1" applyProtection="1"/>
    <xf numFmtId="49" fontId="40" fillId="2" borderId="12" xfId="7" applyNumberFormat="1" applyFont="1" applyFill="1" applyBorder="1" applyProtection="1"/>
    <xf numFmtId="0" fontId="49" fillId="2" borderId="12" xfId="7" applyNumberFormat="1" applyFont="1" applyFill="1" applyBorder="1" applyAlignment="1" applyProtection="1">
      <alignment vertical="center"/>
    </xf>
    <xf numFmtId="49" fontId="40" fillId="2" borderId="12" xfId="7" applyNumberFormat="1" applyFont="1" applyFill="1" applyBorder="1" applyAlignment="1" applyProtection="1"/>
    <xf numFmtId="49" fontId="40" fillId="2" borderId="18" xfId="7" applyNumberFormat="1" applyFont="1" applyFill="1" applyBorder="1" applyProtection="1"/>
    <xf numFmtId="0" fontId="40" fillId="0" borderId="0" xfId="7" applyNumberFormat="1" applyFont="1" applyBorder="1" applyProtection="1"/>
    <xf numFmtId="3" fontId="49" fillId="2" borderId="0" xfId="7" applyNumberFormat="1" applyFont="1" applyFill="1" applyBorder="1" applyAlignment="1" applyProtection="1"/>
    <xf numFmtId="4" fontId="40" fillId="2" borderId="0" xfId="7" applyNumberFormat="1" applyFont="1" applyFill="1" applyBorder="1" applyAlignment="1" applyProtection="1"/>
    <xf numFmtId="4" fontId="40" fillId="6" borderId="0" xfId="7" applyNumberFormat="1" applyFont="1" applyFill="1" applyBorder="1" applyAlignment="1" applyProtection="1"/>
    <xf numFmtId="3" fontId="49" fillId="6" borderId="0" xfId="7" applyNumberFormat="1" applyFont="1" applyFill="1" applyBorder="1" applyAlignment="1" applyProtection="1"/>
    <xf numFmtId="0" fontId="40" fillId="2" borderId="14" xfId="7" applyFont="1" applyFill="1" applyBorder="1" applyProtection="1"/>
    <xf numFmtId="0" fontId="40" fillId="2" borderId="15" xfId="7" applyFont="1" applyFill="1" applyBorder="1" applyProtection="1"/>
    <xf numFmtId="0" fontId="52" fillId="2" borderId="15" xfId="7" applyFont="1" applyFill="1" applyBorder="1" applyAlignment="1" applyProtection="1">
      <alignment horizontal="center" vertical="center"/>
    </xf>
    <xf numFmtId="0" fontId="52" fillId="2" borderId="16" xfId="7" applyFont="1" applyFill="1" applyBorder="1" applyAlignment="1" applyProtection="1">
      <alignment horizontal="center" vertical="center"/>
    </xf>
    <xf numFmtId="3" fontId="40" fillId="6" borderId="0" xfId="7" applyNumberFormat="1" applyFont="1" applyFill="1" applyBorder="1" applyAlignment="1" applyProtection="1"/>
    <xf numFmtId="0" fontId="40" fillId="6" borderId="0" xfId="7" applyFont="1" applyFill="1" applyBorder="1" applyAlignment="1" applyProtection="1"/>
    <xf numFmtId="0" fontId="40" fillId="2" borderId="20" xfId="7" applyFont="1" applyFill="1" applyBorder="1" applyProtection="1"/>
    <xf numFmtId="0" fontId="49" fillId="2" borderId="0" xfId="7" applyFont="1" applyFill="1" applyBorder="1" applyProtection="1"/>
    <xf numFmtId="0" fontId="40" fillId="2" borderId="21" xfId="7" applyFont="1" applyFill="1" applyBorder="1" applyProtection="1"/>
    <xf numFmtId="49" fontId="40" fillId="0" borderId="4" xfId="7" applyNumberFormat="1" applyFont="1" applyFill="1" applyBorder="1" applyProtection="1"/>
    <xf numFmtId="49" fontId="40" fillId="0" borderId="5" xfId="7" applyNumberFormat="1" applyFont="1" applyFill="1" applyBorder="1" applyProtection="1"/>
    <xf numFmtId="0" fontId="40" fillId="0" borderId="5" xfId="7" applyNumberFormat="1" applyFont="1" applyFill="1" applyBorder="1" applyProtection="1"/>
    <xf numFmtId="0" fontId="40" fillId="14" borderId="0" xfId="7" applyNumberFormat="1" applyFont="1" applyFill="1" applyBorder="1" applyProtection="1"/>
    <xf numFmtId="0" fontId="40" fillId="6" borderId="0" xfId="7" applyNumberFormat="1" applyFont="1" applyFill="1" applyBorder="1" applyProtection="1"/>
    <xf numFmtId="49" fontId="40" fillId="0" borderId="0" xfId="7" applyNumberFormat="1" applyFont="1" applyFill="1" applyBorder="1" applyAlignment="1" applyProtection="1">
      <alignment horizontal="left"/>
    </xf>
    <xf numFmtId="49" fontId="40" fillId="6" borderId="0" xfId="7" applyNumberFormat="1" applyFont="1" applyFill="1" applyBorder="1" applyAlignment="1" applyProtection="1">
      <alignment horizontal="left"/>
    </xf>
    <xf numFmtId="0" fontId="49" fillId="6" borderId="0" xfId="7" applyNumberFormat="1" applyFont="1" applyFill="1" applyBorder="1" applyAlignment="1" applyProtection="1">
      <alignment horizontal="left" vertical="center"/>
    </xf>
    <xf numFmtId="0" fontId="40" fillId="15" borderId="0" xfId="7" applyNumberFormat="1" applyFont="1" applyFill="1" applyBorder="1" applyProtection="1"/>
    <xf numFmtId="0" fontId="40" fillId="0" borderId="21" xfId="7" applyFont="1" applyFill="1" applyBorder="1" applyProtection="1"/>
    <xf numFmtId="169" fontId="40" fillId="2" borderId="0" xfId="7" applyNumberFormat="1" applyFont="1" applyFill="1" applyBorder="1" applyAlignment="1" applyProtection="1"/>
    <xf numFmtId="49" fontId="40" fillId="14" borderId="0" xfId="7" applyNumberFormat="1" applyFont="1" applyFill="1" applyBorder="1" applyAlignment="1" applyProtection="1">
      <alignment horizontal="right"/>
    </xf>
    <xf numFmtId="0" fontId="41" fillId="2" borderId="0" xfId="7" applyFont="1" applyFill="1" applyBorder="1" applyAlignment="1" applyProtection="1">
      <alignment wrapText="1"/>
    </xf>
    <xf numFmtId="0" fontId="41" fillId="2" borderId="21" xfId="7" applyFont="1" applyFill="1" applyBorder="1" applyAlignment="1" applyProtection="1">
      <alignment wrapText="1"/>
    </xf>
    <xf numFmtId="0" fontId="49" fillId="17" borderId="0" xfId="7" applyFont="1" applyFill="1" applyBorder="1" applyProtection="1">
      <protection locked="0"/>
    </xf>
    <xf numFmtId="0" fontId="41" fillId="2" borderId="0" xfId="7" applyFont="1" applyFill="1" applyBorder="1" applyAlignment="1" applyProtection="1">
      <alignment horizontal="center" wrapText="1"/>
    </xf>
    <xf numFmtId="0" fontId="41" fillId="2" borderId="21" xfId="7" applyFont="1" applyFill="1" applyBorder="1" applyAlignment="1" applyProtection="1">
      <alignment horizontal="center" wrapText="1"/>
    </xf>
    <xf numFmtId="0" fontId="40" fillId="15" borderId="0" xfId="7" applyNumberFormat="1" applyFont="1" applyFill="1" applyBorder="1" applyAlignment="1" applyProtection="1"/>
    <xf numFmtId="0" fontId="40" fillId="15" borderId="8" xfId="7" applyNumberFormat="1" applyFont="1" applyFill="1" applyBorder="1" applyAlignment="1" applyProtection="1"/>
    <xf numFmtId="0" fontId="41" fillId="0" borderId="0" xfId="7" applyNumberFormat="1" applyFont="1" applyFill="1" applyBorder="1" applyAlignment="1" applyProtection="1">
      <alignment vertical="center"/>
    </xf>
    <xf numFmtId="0" fontId="40" fillId="0" borderId="0" xfId="7" applyFont="1" applyFill="1" applyBorder="1" applyAlignment="1" applyProtection="1">
      <alignment vertical="center"/>
    </xf>
    <xf numFmtId="49" fontId="40" fillId="0" borderId="0" xfId="7" applyNumberFormat="1" applyFont="1" applyFill="1" applyBorder="1" applyAlignment="1" applyProtection="1">
      <alignment vertical="center"/>
    </xf>
    <xf numFmtId="0" fontId="41" fillId="0" borderId="0" xfId="7" applyNumberFormat="1" applyFont="1" applyFill="1" applyBorder="1" applyAlignment="1" applyProtection="1">
      <alignment vertical="center" wrapText="1"/>
    </xf>
    <xf numFmtId="3" fontId="49" fillId="2" borderId="0" xfId="7" applyNumberFormat="1" applyFont="1" applyFill="1" applyBorder="1" applyAlignment="1" applyProtection="1">
      <alignment horizontal="right" vertical="center"/>
    </xf>
    <xf numFmtId="3" fontId="49" fillId="2" borderId="0" xfId="7" applyNumberFormat="1" applyFont="1" applyFill="1" applyBorder="1" applyAlignment="1" applyProtection="1">
      <alignment horizontal="left" vertical="center"/>
    </xf>
    <xf numFmtId="49" fontId="49" fillId="2" borderId="0" xfId="7" applyNumberFormat="1" applyFont="1" applyFill="1" applyBorder="1" applyAlignment="1" applyProtection="1">
      <alignment vertical="top" wrapText="1"/>
    </xf>
    <xf numFmtId="49" fontId="49" fillId="6" borderId="0" xfId="7" applyNumberFormat="1" applyFont="1" applyFill="1" applyBorder="1" applyAlignment="1" applyProtection="1">
      <alignment vertical="top" wrapText="1"/>
    </xf>
    <xf numFmtId="0" fontId="40" fillId="6" borderId="0" xfId="7" applyFont="1" applyFill="1" applyBorder="1" applyAlignment="1" applyProtection="1">
      <alignment vertical="top" wrapText="1"/>
    </xf>
    <xf numFmtId="3" fontId="49" fillId="2" borderId="0" xfId="7" applyNumberFormat="1" applyFont="1" applyFill="1" applyBorder="1" applyAlignment="1" applyProtection="1">
      <alignment vertical="center"/>
    </xf>
    <xf numFmtId="0" fontId="40" fillId="6" borderId="0" xfId="7" applyFont="1" applyFill="1" applyBorder="1" applyProtection="1"/>
    <xf numFmtId="0" fontId="40" fillId="4" borderId="0" xfId="7" applyNumberFormat="1" applyFont="1" applyFill="1" applyBorder="1" applyProtection="1"/>
    <xf numFmtId="2" fontId="40" fillId="4" borderId="0" xfId="2" applyNumberFormat="1" applyFont="1" applyFill="1" applyBorder="1" applyProtection="1"/>
    <xf numFmtId="0" fontId="40" fillId="2" borderId="0" xfId="7" applyFont="1" applyFill="1" applyBorder="1" applyAlignment="1" applyProtection="1">
      <alignment vertical="top" wrapText="1"/>
    </xf>
    <xf numFmtId="10" fontId="49" fillId="2" borderId="0" xfId="7" applyNumberFormat="1" applyFont="1" applyFill="1" applyBorder="1" applyAlignment="1" applyProtection="1">
      <alignment vertical="top" wrapText="1"/>
    </xf>
    <xf numFmtId="0" fontId="49" fillId="6" borderId="0" xfId="7" applyFont="1" applyFill="1" applyBorder="1" applyAlignment="1" applyProtection="1">
      <alignment vertical="top" wrapText="1"/>
    </xf>
    <xf numFmtId="0" fontId="49" fillId="0" borderId="0" xfId="7" applyFont="1" applyFill="1" applyBorder="1" applyProtection="1"/>
    <xf numFmtId="0" fontId="40" fillId="0" borderId="0" xfId="7" applyFont="1" applyFill="1" applyBorder="1" applyProtection="1"/>
    <xf numFmtId="3" fontId="40" fillId="0" borderId="0" xfId="7" applyNumberFormat="1" applyFont="1" applyFill="1" applyBorder="1" applyProtection="1"/>
    <xf numFmtId="0" fontId="49" fillId="2" borderId="0" xfId="7" applyNumberFormat="1" applyFont="1" applyFill="1" applyBorder="1" applyAlignment="1" applyProtection="1">
      <alignment horizontal="right" vertical="center"/>
    </xf>
    <xf numFmtId="49" fontId="40" fillId="0" borderId="9" xfId="7" applyNumberFormat="1" applyFont="1" applyFill="1" applyBorder="1" applyProtection="1"/>
    <xf numFmtId="49" fontId="40" fillId="6" borderId="10" xfId="7" applyNumberFormat="1" applyFont="1" applyFill="1" applyBorder="1" applyProtection="1"/>
    <xf numFmtId="0" fontId="40" fillId="6" borderId="10" xfId="7" applyFont="1" applyFill="1" applyBorder="1" applyProtection="1"/>
    <xf numFmtId="0" fontId="40" fillId="6" borderId="10" xfId="7" applyNumberFormat="1" applyFont="1" applyFill="1" applyBorder="1" applyProtection="1"/>
    <xf numFmtId="0" fontId="40" fillId="15" borderId="10" xfId="7" applyNumberFormat="1" applyFont="1" applyFill="1" applyBorder="1" applyAlignment="1" applyProtection="1"/>
    <xf numFmtId="0" fontId="40" fillId="15" borderId="11" xfId="7" applyNumberFormat="1" applyFont="1" applyFill="1" applyBorder="1" applyAlignment="1" applyProtection="1"/>
    <xf numFmtId="10" fontId="49" fillId="6" borderId="0" xfId="7" applyNumberFormat="1" applyFont="1" applyFill="1" applyBorder="1" applyAlignment="1" applyProtection="1">
      <alignment horizontal="center" vertical="center"/>
    </xf>
    <xf numFmtId="0" fontId="49" fillId="0" borderId="0" xfId="7" applyNumberFormat="1" applyFont="1" applyFill="1" applyBorder="1" applyAlignment="1" applyProtection="1">
      <alignment vertical="top" wrapText="1"/>
    </xf>
    <xf numFmtId="0" fontId="40" fillId="6" borderId="0" xfId="7" applyFont="1" applyFill="1" applyBorder="1"/>
    <xf numFmtId="0" fontId="49" fillId="0" borderId="0" xfId="7" applyNumberFormat="1" applyFont="1" applyFill="1" applyBorder="1" applyProtection="1"/>
    <xf numFmtId="0" fontId="49" fillId="2" borderId="0" xfId="7" applyFont="1" applyFill="1" applyBorder="1" applyAlignment="1" applyProtection="1"/>
    <xf numFmtId="0" fontId="49" fillId="6" borderId="0" xfId="7" applyNumberFormat="1" applyFont="1" applyFill="1" applyBorder="1" applyProtection="1"/>
    <xf numFmtId="0" fontId="40" fillId="0" borderId="0" xfId="7" applyFont="1" applyFill="1" applyBorder="1" applyAlignment="1" applyProtection="1">
      <alignment horizontal="left"/>
    </xf>
    <xf numFmtId="0" fontId="41" fillId="0" borderId="0" xfId="7" applyNumberFormat="1" applyFont="1" applyFill="1" applyBorder="1" applyProtection="1"/>
    <xf numFmtId="49" fontId="40" fillId="14" borderId="0" xfId="7" applyNumberFormat="1" applyFont="1" applyFill="1" applyBorder="1"/>
    <xf numFmtId="49" fontId="40" fillId="0" borderId="20" xfId="7" applyNumberFormat="1" applyFont="1" applyFill="1" applyBorder="1" applyProtection="1"/>
    <xf numFmtId="169" fontId="40" fillId="6" borderId="0" xfId="7" applyNumberFormat="1" applyFont="1" applyFill="1" applyBorder="1" applyAlignment="1" applyProtection="1"/>
    <xf numFmtId="169" fontId="40" fillId="6" borderId="0" xfId="7" applyNumberFormat="1" applyFont="1" applyFill="1" applyBorder="1" applyAlignment="1" applyProtection="1">
      <alignment vertical="center"/>
    </xf>
    <xf numFmtId="0" fontId="40" fillId="2" borderId="21" xfId="7" applyFont="1" applyFill="1" applyBorder="1" applyAlignment="1" applyProtection="1">
      <alignment horizontal="left" vertical="center"/>
    </xf>
    <xf numFmtId="0" fontId="41" fillId="2" borderId="0" xfId="7" applyFont="1" applyFill="1" applyBorder="1" applyAlignment="1" applyProtection="1">
      <alignment vertical="center"/>
    </xf>
    <xf numFmtId="0" fontId="40" fillId="14" borderId="0" xfId="7" applyNumberFormat="1" applyFont="1" applyFill="1" applyBorder="1" applyAlignment="1" applyProtection="1">
      <alignment horizontal="center" vertical="center"/>
    </xf>
    <xf numFmtId="49" fontId="40" fillId="6" borderId="0" xfId="7" applyNumberFormat="1" applyFont="1" applyFill="1" applyBorder="1" applyAlignment="1" applyProtection="1">
      <alignment vertical="center"/>
    </xf>
    <xf numFmtId="10" fontId="40" fillId="14" borderId="0" xfId="9" applyNumberFormat="1" applyFont="1" applyFill="1" applyBorder="1" applyAlignment="1" applyProtection="1">
      <alignment horizontal="center" vertical="center"/>
    </xf>
    <xf numFmtId="0" fontId="40" fillId="0" borderId="8" xfId="7" applyNumberFormat="1" applyFont="1" applyFill="1" applyBorder="1" applyAlignment="1" applyProtection="1">
      <alignment horizontal="center" vertical="center"/>
    </xf>
    <xf numFmtId="0" fontId="49" fillId="6" borderId="0" xfId="7" applyNumberFormat="1" applyFont="1" applyFill="1" applyBorder="1" applyAlignment="1" applyProtection="1">
      <alignment horizontal="right" vertical="center"/>
    </xf>
    <xf numFmtId="0" fontId="40" fillId="6" borderId="0" xfId="7" applyNumberFormat="1" applyFont="1" applyFill="1" applyBorder="1" applyAlignment="1" applyProtection="1">
      <alignment vertical="center"/>
    </xf>
    <xf numFmtId="0" fontId="50" fillId="2" borderId="0" xfId="7" applyFont="1" applyFill="1" applyBorder="1" applyProtection="1"/>
    <xf numFmtId="49" fontId="50" fillId="0" borderId="0" xfId="7" applyNumberFormat="1" applyFont="1" applyFill="1" applyBorder="1" applyProtection="1"/>
    <xf numFmtId="169" fontId="50" fillId="6" borderId="0" xfId="7" applyNumberFormat="1" applyFont="1" applyFill="1" applyBorder="1" applyAlignment="1" applyProtection="1"/>
    <xf numFmtId="49" fontId="50" fillId="6" borderId="0" xfId="7" applyNumberFormat="1" applyFont="1" applyFill="1" applyBorder="1" applyProtection="1"/>
    <xf numFmtId="49" fontId="50" fillId="6" borderId="0" xfId="7" applyNumberFormat="1" applyFont="1" applyFill="1" applyBorder="1" applyAlignment="1" applyProtection="1"/>
    <xf numFmtId="0" fontId="50" fillId="6" borderId="0" xfId="7" applyFont="1" applyFill="1" applyBorder="1" applyProtection="1"/>
    <xf numFmtId="0" fontId="50" fillId="0" borderId="0" xfId="7" applyFont="1" applyBorder="1" applyProtection="1"/>
    <xf numFmtId="1" fontId="40" fillId="6" borderId="0" xfId="7" applyNumberFormat="1" applyFont="1" applyFill="1" applyBorder="1" applyProtection="1"/>
    <xf numFmtId="169" fontId="41" fillId="6" borderId="0" xfId="7" applyNumberFormat="1" applyFont="1" applyFill="1" applyBorder="1" applyAlignment="1" applyProtection="1">
      <alignment horizontal="center"/>
    </xf>
    <xf numFmtId="0" fontId="40" fillId="2" borderId="20" xfId="0" applyNumberFormat="1" applyFont="1" applyFill="1" applyBorder="1" applyAlignment="1" applyProtection="1"/>
    <xf numFmtId="0" fontId="40" fillId="2" borderId="0" xfId="0" applyNumberFormat="1" applyFont="1" applyFill="1" applyBorder="1" applyAlignment="1" applyProtection="1"/>
    <xf numFmtId="14" fontId="40" fillId="6" borderId="0" xfId="7" applyNumberFormat="1" applyFont="1" applyFill="1" applyBorder="1" applyProtection="1"/>
    <xf numFmtId="0" fontId="40" fillId="2" borderId="17" xfId="7" applyFont="1" applyFill="1" applyBorder="1" applyProtection="1"/>
    <xf numFmtId="0" fontId="40" fillId="2" borderId="12" xfId="7" applyFont="1" applyFill="1" applyBorder="1" applyProtection="1"/>
    <xf numFmtId="0" fontId="40" fillId="2" borderId="18" xfId="7" applyFont="1" applyFill="1" applyBorder="1" applyProtection="1"/>
    <xf numFmtId="0" fontId="40" fillId="6" borderId="14" xfId="7" applyNumberFormat="1" applyFont="1" applyFill="1" applyBorder="1" applyAlignment="1" applyProtection="1">
      <alignment wrapText="1"/>
    </xf>
    <xf numFmtId="0" fontId="40" fillId="6" borderId="15" xfId="7" applyNumberFormat="1" applyFont="1" applyFill="1" applyBorder="1" applyAlignment="1" applyProtection="1">
      <alignment wrapText="1"/>
    </xf>
    <xf numFmtId="0" fontId="40" fillId="6" borderId="16" xfId="7" applyNumberFormat="1" applyFont="1" applyFill="1" applyBorder="1" applyAlignment="1" applyProtection="1">
      <alignment wrapText="1"/>
    </xf>
    <xf numFmtId="49" fontId="40" fillId="2" borderId="0" xfId="7" applyNumberFormat="1" applyFont="1" applyFill="1" applyBorder="1" applyAlignment="1" applyProtection="1">
      <alignment horizontal="center"/>
    </xf>
    <xf numFmtId="49" fontId="52" fillId="6" borderId="0" xfId="7" applyNumberFormat="1" applyFont="1" applyFill="1" applyBorder="1" applyAlignment="1" applyProtection="1">
      <alignment horizontal="center" vertical="center" wrapText="1"/>
    </xf>
    <xf numFmtId="49" fontId="52" fillId="6" borderId="7" xfId="7" applyNumberFormat="1" applyFont="1" applyFill="1" applyBorder="1" applyAlignment="1" applyProtection="1">
      <alignment horizontal="center" vertical="center" wrapText="1"/>
    </xf>
    <xf numFmtId="0" fontId="40" fillId="15" borderId="0" xfId="7" applyNumberFormat="1" applyFont="1" applyFill="1" applyBorder="1" applyAlignment="1" applyProtection="1">
      <alignment horizontal="center" vertical="center"/>
    </xf>
    <xf numFmtId="10" fontId="40" fillId="15" borderId="0" xfId="9" applyNumberFormat="1" applyFont="1" applyFill="1" applyBorder="1" applyAlignment="1" applyProtection="1">
      <alignment horizontal="center" vertical="center"/>
    </xf>
    <xf numFmtId="49" fontId="40" fillId="2" borderId="0" xfId="7" applyNumberFormat="1" applyFont="1" applyFill="1" applyBorder="1" applyAlignment="1" applyProtection="1">
      <alignment horizontal="left"/>
    </xf>
    <xf numFmtId="49" fontId="40" fillId="6" borderId="7" xfId="7" applyNumberFormat="1" applyFont="1" applyFill="1" applyBorder="1" applyProtection="1"/>
    <xf numFmtId="0" fontId="40" fillId="6" borderId="0" xfId="7" applyNumberFormat="1" applyFont="1" applyFill="1" applyBorder="1" applyAlignment="1" applyProtection="1">
      <alignment horizontal="left" vertical="top" wrapText="1"/>
    </xf>
    <xf numFmtId="0" fontId="40" fillId="6" borderId="7" xfId="7" applyNumberFormat="1" applyFont="1" applyFill="1" applyBorder="1" applyAlignment="1" applyProtection="1">
      <alignment horizontal="left" vertical="top" wrapText="1"/>
    </xf>
    <xf numFmtId="166" fontId="40" fillId="2" borderId="0" xfId="2" applyNumberFormat="1" applyFont="1" applyFill="1" applyBorder="1" applyAlignment="1" applyProtection="1">
      <alignment horizontal="right"/>
    </xf>
    <xf numFmtId="0" fontId="40" fillId="6" borderId="7" xfId="7" applyFont="1" applyFill="1" applyBorder="1" applyAlignment="1" applyProtection="1"/>
    <xf numFmtId="49" fontId="40" fillId="2" borderId="21" xfId="7" applyNumberFormat="1" applyFont="1" applyFill="1" applyBorder="1" applyAlignment="1" applyProtection="1"/>
    <xf numFmtId="49" fontId="40" fillId="2" borderId="17" xfId="7" applyNumberFormat="1" applyFont="1" applyFill="1" applyBorder="1" applyAlignment="1" applyProtection="1"/>
    <xf numFmtId="49" fontId="40" fillId="2" borderId="18" xfId="7" applyNumberFormat="1" applyFont="1" applyFill="1" applyBorder="1" applyAlignment="1" applyProtection="1"/>
    <xf numFmtId="49" fontId="40" fillId="2" borderId="14" xfId="7" applyNumberFormat="1" applyFont="1" applyFill="1" applyBorder="1" applyProtection="1"/>
    <xf numFmtId="49" fontId="40" fillId="2" borderId="15" xfId="7" applyNumberFormat="1" applyFont="1" applyFill="1" applyBorder="1" applyProtection="1"/>
    <xf numFmtId="49" fontId="40" fillId="2" borderId="15" xfId="7" applyNumberFormat="1" applyFont="1" applyFill="1" applyBorder="1" applyAlignment="1" applyProtection="1">
      <alignment wrapText="1"/>
    </xf>
    <xf numFmtId="0" fontId="40" fillId="2" borderId="15" xfId="7" applyFont="1" applyFill="1" applyBorder="1" applyAlignment="1" applyProtection="1">
      <alignment wrapText="1"/>
    </xf>
    <xf numFmtId="49" fontId="40" fillId="2" borderId="16" xfId="7" applyNumberFormat="1" applyFont="1" applyFill="1" applyBorder="1" applyProtection="1"/>
    <xf numFmtId="49" fontId="49" fillId="2" borderId="0" xfId="0" applyNumberFormat="1" applyFont="1" applyFill="1" applyBorder="1" applyProtection="1"/>
    <xf numFmtId="49" fontId="40" fillId="2" borderId="0" xfId="0" applyNumberFormat="1" applyFont="1" applyFill="1" applyBorder="1" applyProtection="1"/>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center" vertical="center"/>
    </xf>
    <xf numFmtId="49" fontId="40" fillId="2" borderId="0" xfId="0" applyNumberFormat="1" applyFont="1" applyFill="1" applyBorder="1" applyAlignment="1" applyProtection="1">
      <alignment horizontal="right" vertical="center"/>
    </xf>
    <xf numFmtId="49" fontId="40" fillId="0" borderId="0" xfId="0" applyNumberFormat="1" applyFont="1" applyFill="1" applyBorder="1" applyProtection="1"/>
    <xf numFmtId="49" fontId="40" fillId="2" borderId="0" xfId="0" applyNumberFormat="1" applyFont="1" applyFill="1" applyBorder="1" applyAlignment="1" applyProtection="1"/>
    <xf numFmtId="173" fontId="40" fillId="6" borderId="0" xfId="2" applyNumberFormat="1" applyFont="1" applyFill="1" applyBorder="1" applyAlignment="1" applyProtection="1"/>
    <xf numFmtId="173" fontId="49" fillId="6" borderId="0" xfId="2" applyNumberFormat="1" applyFont="1" applyFill="1" applyBorder="1" applyAlignment="1" applyProtection="1"/>
    <xf numFmtId="173" fontId="40" fillId="6" borderId="0" xfId="2" applyNumberFormat="1" applyFont="1" applyFill="1" applyBorder="1" applyProtection="1"/>
    <xf numFmtId="173" fontId="49" fillId="6" borderId="0" xfId="2" applyNumberFormat="1" applyFont="1" applyFill="1" applyBorder="1" applyAlignment="1" applyProtection="1">
      <alignment horizontal="right" vertical="center"/>
    </xf>
    <xf numFmtId="173" fontId="40" fillId="6" borderId="0" xfId="2" applyNumberFormat="1" applyFont="1" applyFill="1" applyBorder="1" applyAlignment="1" applyProtection="1">
      <alignment vertical="center"/>
    </xf>
    <xf numFmtId="49" fontId="40" fillId="6" borderId="0" xfId="0" applyNumberFormat="1" applyFont="1" applyFill="1" applyBorder="1" applyProtection="1"/>
    <xf numFmtId="173" fontId="49" fillId="6" borderId="0" xfId="2" applyNumberFormat="1" applyFont="1" applyFill="1" applyBorder="1" applyAlignment="1" applyProtection="1">
      <alignment vertical="center"/>
    </xf>
    <xf numFmtId="173" fontId="26" fillId="6" borderId="0" xfId="2" applyNumberFormat="1" applyFont="1" applyFill="1" applyBorder="1" applyAlignment="1" applyProtection="1">
      <alignment vertical="center"/>
    </xf>
    <xf numFmtId="2" fontId="40" fillId="6" borderId="0" xfId="2" applyNumberFormat="1" applyFont="1" applyFill="1" applyBorder="1" applyAlignment="1" applyProtection="1">
      <alignment vertical="center"/>
    </xf>
    <xf numFmtId="173" fontId="40" fillId="6" borderId="0" xfId="2" applyNumberFormat="1" applyFont="1" applyFill="1" applyBorder="1" applyAlignment="1" applyProtection="1">
      <alignment horizontal="right" vertical="center"/>
    </xf>
    <xf numFmtId="173" fontId="26" fillId="6" borderId="0" xfId="2" applyNumberFormat="1" applyFont="1" applyFill="1" applyBorder="1" applyAlignment="1" applyProtection="1">
      <alignment horizontal="right" vertical="center"/>
    </xf>
    <xf numFmtId="173" fontId="40" fillId="6" borderId="0" xfId="2" applyNumberFormat="1" applyFont="1" applyFill="1" applyBorder="1" applyAlignment="1" applyProtection="1">
      <alignment horizontal="center"/>
    </xf>
    <xf numFmtId="0" fontId="40" fillId="14" borderId="0" xfId="7" applyFont="1" applyFill="1" applyBorder="1" applyProtection="1"/>
    <xf numFmtId="49" fontId="40" fillId="2" borderId="20" xfId="7" applyNumberFormat="1" applyFont="1" applyFill="1" applyBorder="1" applyAlignment="1" applyProtection="1"/>
    <xf numFmtId="10" fontId="40" fillId="6" borderId="0" xfId="7" applyNumberFormat="1" applyFont="1" applyFill="1" applyBorder="1" applyProtection="1"/>
    <xf numFmtId="0" fontId="52" fillId="2" borderId="7" xfId="7" applyFont="1" applyFill="1" applyBorder="1" applyAlignment="1" applyProtection="1">
      <alignment horizontal="center" vertical="center"/>
    </xf>
    <xf numFmtId="0" fontId="40" fillId="0" borderId="8" xfId="7" applyFont="1" applyFill="1" applyBorder="1" applyProtection="1"/>
    <xf numFmtId="0" fontId="40" fillId="0" borderId="0" xfId="7" applyFont="1" applyFill="1" applyProtection="1"/>
    <xf numFmtId="0" fontId="40" fillId="14" borderId="0" xfId="7" applyFont="1" applyFill="1" applyBorder="1" applyAlignment="1" applyProtection="1">
      <alignment horizontal="center" wrapText="1"/>
    </xf>
    <xf numFmtId="0" fontId="49" fillId="14" borderId="0" xfId="7" applyFont="1" applyFill="1" applyBorder="1" applyProtection="1"/>
    <xf numFmtId="0" fontId="40" fillId="14" borderId="0" xfId="7" applyFont="1" applyFill="1" applyBorder="1" applyAlignment="1" applyProtection="1">
      <alignment vertical="center"/>
    </xf>
    <xf numFmtId="0" fontId="40" fillId="6" borderId="0" xfId="7" applyFont="1" applyFill="1" applyAlignment="1" applyProtection="1">
      <alignment horizontal="center"/>
    </xf>
    <xf numFmtId="0" fontId="40" fillId="14" borderId="0" xfId="7" applyFont="1" applyFill="1" applyBorder="1" applyAlignment="1" applyProtection="1">
      <alignment horizontal="center"/>
    </xf>
    <xf numFmtId="0" fontId="40" fillId="6" borderId="0" xfId="7" applyFont="1" applyFill="1" applyBorder="1" applyAlignment="1" applyProtection="1">
      <alignment horizontal="center"/>
    </xf>
    <xf numFmtId="173" fontId="40" fillId="6" borderId="0" xfId="2" applyNumberFormat="1" applyFont="1" applyFill="1" applyBorder="1" applyAlignment="1" applyProtection="1">
      <alignment horizontal="left" wrapText="1"/>
    </xf>
    <xf numFmtId="173" fontId="40" fillId="6" borderId="0" xfId="2" applyNumberFormat="1" applyFont="1" applyFill="1" applyBorder="1" applyAlignment="1" applyProtection="1">
      <alignment wrapText="1"/>
    </xf>
    <xf numFmtId="2" fontId="49" fillId="6" borderId="0" xfId="2" applyNumberFormat="1" applyFont="1" applyFill="1" applyBorder="1" applyAlignment="1" applyProtection="1">
      <alignment vertical="center"/>
    </xf>
    <xf numFmtId="0" fontId="40" fillId="14" borderId="0" xfId="7" applyFont="1" applyFill="1" applyAlignment="1" applyProtection="1">
      <alignment horizontal="center"/>
    </xf>
    <xf numFmtId="173" fontId="49" fillId="6" borderId="0" xfId="2" applyNumberFormat="1" applyFont="1" applyFill="1" applyBorder="1" applyAlignment="1" applyProtection="1">
      <alignment horizontal="left"/>
    </xf>
    <xf numFmtId="167" fontId="49" fillId="6" borderId="0" xfId="7" applyNumberFormat="1" applyFont="1" applyFill="1" applyBorder="1" applyAlignment="1" applyProtection="1"/>
    <xf numFmtId="167" fontId="40" fillId="6" borderId="0" xfId="7" applyNumberFormat="1" applyFont="1" applyFill="1" applyBorder="1" applyAlignment="1" applyProtection="1"/>
    <xf numFmtId="49" fontId="49" fillId="6" borderId="0" xfId="7" applyNumberFormat="1" applyFont="1" applyFill="1" applyBorder="1" applyAlignment="1" applyProtection="1"/>
    <xf numFmtId="0" fontId="49" fillId="6" borderId="0" xfId="7" applyFont="1" applyFill="1" applyBorder="1" applyAlignment="1" applyProtection="1"/>
    <xf numFmtId="0" fontId="40" fillId="15" borderId="0" xfId="7" applyFont="1" applyFill="1" applyBorder="1" applyProtection="1"/>
    <xf numFmtId="49" fontId="49" fillId="6" borderId="0" xfId="7" applyNumberFormat="1" applyFont="1" applyFill="1" applyBorder="1" applyAlignment="1" applyProtection="1">
      <alignment vertical="center" wrapText="1"/>
    </xf>
    <xf numFmtId="3" fontId="49" fillId="6" borderId="0" xfId="3" applyNumberFormat="1" applyFont="1" applyFill="1" applyBorder="1" applyAlignment="1" applyProtection="1">
      <alignment horizontal="right" vertical="center"/>
    </xf>
    <xf numFmtId="167" fontId="40" fillId="6" borderId="0" xfId="3" applyNumberFormat="1" applyFont="1" applyFill="1" applyBorder="1" applyAlignment="1" applyProtection="1"/>
    <xf numFmtId="0" fontId="49" fillId="6" borderId="0" xfId="3" applyNumberFormat="1" applyFont="1" applyFill="1" applyBorder="1" applyAlignment="1" applyProtection="1">
      <alignment horizontal="center" vertical="center"/>
    </xf>
    <xf numFmtId="0" fontId="49" fillId="2" borderId="0" xfId="7" applyNumberFormat="1" applyFont="1" applyFill="1" applyBorder="1" applyAlignment="1" applyProtection="1"/>
    <xf numFmtId="3" fontId="40" fillId="2" borderId="0" xfId="7" applyNumberFormat="1" applyFont="1" applyFill="1" applyBorder="1" applyAlignment="1" applyProtection="1"/>
    <xf numFmtId="0" fontId="40" fillId="2" borderId="0" xfId="7" applyNumberFormat="1" applyFont="1" applyFill="1" applyBorder="1" applyProtection="1"/>
    <xf numFmtId="0" fontId="40" fillId="2" borderId="12" xfId="7" applyFont="1" applyFill="1" applyBorder="1" applyAlignment="1" applyProtection="1"/>
    <xf numFmtId="3" fontId="49" fillId="2" borderId="12" xfId="7" applyNumberFormat="1" applyFont="1" applyFill="1" applyBorder="1" applyAlignment="1" applyProtection="1"/>
    <xf numFmtId="3" fontId="40" fillId="2" borderId="12" xfId="7" applyNumberFormat="1" applyFont="1" applyFill="1" applyBorder="1" applyAlignment="1" applyProtection="1"/>
    <xf numFmtId="4" fontId="40" fillId="2" borderId="12" xfId="7" applyNumberFormat="1" applyFont="1" applyFill="1" applyBorder="1" applyAlignment="1" applyProtection="1"/>
    <xf numFmtId="0" fontId="49" fillId="2" borderId="12" xfId="7" applyNumberFormat="1" applyFont="1" applyFill="1" applyBorder="1" applyAlignment="1" applyProtection="1"/>
    <xf numFmtId="0" fontId="40" fillId="2" borderId="12" xfId="7" applyNumberFormat="1" applyFont="1" applyFill="1" applyBorder="1" applyProtection="1"/>
    <xf numFmtId="0" fontId="49" fillId="0" borderId="0" xfId="7" applyFont="1" applyFill="1" applyBorder="1" applyAlignment="1" applyProtection="1"/>
    <xf numFmtId="0" fontId="40" fillId="14" borderId="0" xfId="7" applyFont="1" applyFill="1" applyBorder="1" applyAlignment="1" applyProtection="1">
      <alignment horizontal="center" vertical="center" wrapText="1"/>
    </xf>
    <xf numFmtId="0" fontId="40" fillId="6" borderId="0" xfId="7" applyFont="1" applyFill="1" applyBorder="1" applyAlignment="1" applyProtection="1">
      <alignment horizontal="center" wrapText="1"/>
    </xf>
    <xf numFmtId="49" fontId="49" fillId="14" borderId="0" xfId="7" applyNumberFormat="1" applyFont="1" applyFill="1" applyBorder="1" applyProtection="1"/>
    <xf numFmtId="49" fontId="40" fillId="2" borderId="14" xfId="7" applyNumberFormat="1" applyFont="1" applyFill="1" applyBorder="1" applyAlignment="1" applyProtection="1"/>
    <xf numFmtId="49" fontId="40" fillId="2" borderId="15" xfId="7" applyNumberFormat="1" applyFont="1" applyFill="1" applyBorder="1" applyAlignment="1" applyProtection="1"/>
    <xf numFmtId="0" fontId="40" fillId="6" borderId="0" xfId="7" applyFont="1" applyFill="1" applyAlignment="1" applyProtection="1">
      <alignment horizontal="center" vertical="center"/>
    </xf>
    <xf numFmtId="49" fontId="49" fillId="2" borderId="0" xfId="7" applyNumberFormat="1" applyFont="1" applyFill="1" applyBorder="1" applyAlignment="1" applyProtection="1"/>
    <xf numFmtId="49" fontId="40" fillId="2" borderId="0" xfId="7" applyNumberFormat="1" applyFont="1" applyFill="1" applyBorder="1" applyAlignment="1" applyProtection="1">
      <alignment horizontal="center" vertical="center"/>
    </xf>
    <xf numFmtId="49" fontId="26" fillId="2" borderId="0" xfId="7" applyNumberFormat="1" applyFont="1" applyFill="1" applyBorder="1" applyAlignment="1" applyProtection="1"/>
    <xf numFmtId="49" fontId="26" fillId="0" borderId="0" xfId="7" applyNumberFormat="1" applyFont="1" applyFill="1" applyBorder="1" applyAlignment="1" applyProtection="1"/>
    <xf numFmtId="49" fontId="26" fillId="6" borderId="0" xfId="7" applyNumberFormat="1" applyFont="1" applyFill="1" applyBorder="1" applyAlignment="1" applyProtection="1"/>
    <xf numFmtId="3" fontId="49" fillId="6" borderId="0" xfId="7" applyNumberFormat="1" applyFont="1" applyFill="1" applyBorder="1" applyAlignment="1" applyProtection="1">
      <alignment vertical="center"/>
    </xf>
    <xf numFmtId="0" fontId="40" fillId="6" borderId="0" xfId="7" applyNumberFormat="1" applyFont="1" applyFill="1" applyBorder="1" applyAlignment="1" applyProtection="1">
      <alignment horizontal="right" vertical="center"/>
    </xf>
    <xf numFmtId="0" fontId="40" fillId="6" borderId="0" xfId="7" applyNumberFormat="1" applyFont="1" applyFill="1" applyBorder="1" applyAlignment="1" applyProtection="1"/>
    <xf numFmtId="167" fontId="49" fillId="6" borderId="0" xfId="7" applyNumberFormat="1" applyFont="1" applyFill="1" applyBorder="1" applyAlignment="1" applyProtection="1">
      <alignment vertical="center" wrapText="1"/>
    </xf>
    <xf numFmtId="167" fontId="40" fillId="6" borderId="0" xfId="7" applyNumberFormat="1" applyFont="1" applyFill="1" applyBorder="1" applyAlignment="1" applyProtection="1">
      <alignment vertical="center" wrapText="1"/>
    </xf>
    <xf numFmtId="0" fontId="40" fillId="6" borderId="0" xfId="7" applyNumberFormat="1" applyFont="1" applyFill="1" applyBorder="1" applyAlignment="1" applyProtection="1">
      <alignment horizontal="right"/>
    </xf>
    <xf numFmtId="0" fontId="40" fillId="6" borderId="0" xfId="7" applyFont="1" applyFill="1" applyBorder="1" applyAlignment="1" applyProtection="1">
      <alignment horizontal="center" vertical="center"/>
    </xf>
    <xf numFmtId="0" fontId="41" fillId="6" borderId="0" xfId="7" applyNumberFormat="1" applyFont="1" applyFill="1" applyBorder="1" applyAlignment="1" applyProtection="1"/>
    <xf numFmtId="0" fontId="49" fillId="6" borderId="0" xfId="7" applyNumberFormat="1" applyFont="1" applyFill="1" applyBorder="1" applyAlignment="1" applyProtection="1">
      <alignment vertical="center"/>
    </xf>
    <xf numFmtId="0" fontId="40" fillId="14" borderId="0" xfId="7" applyFont="1" applyFill="1" applyProtection="1"/>
    <xf numFmtId="0" fontId="50" fillId="14" borderId="0" xfId="7" applyNumberFormat="1" applyFont="1" applyFill="1" applyBorder="1" applyProtection="1"/>
    <xf numFmtId="167" fontId="40" fillId="6" borderId="0" xfId="7" applyNumberFormat="1" applyFont="1" applyFill="1" applyBorder="1" applyAlignment="1" applyProtection="1">
      <alignment wrapText="1"/>
    </xf>
    <xf numFmtId="167" fontId="49" fillId="6" borderId="0" xfId="7" applyNumberFormat="1" applyFont="1" applyFill="1" applyBorder="1" applyAlignment="1" applyProtection="1">
      <alignment horizontal="right" vertical="center" wrapText="1"/>
    </xf>
    <xf numFmtId="2" fontId="49" fillId="6" borderId="0" xfId="7" applyNumberFormat="1" applyFont="1" applyFill="1" applyBorder="1" applyAlignment="1" applyProtection="1">
      <alignment horizontal="right" vertical="center" wrapText="1"/>
    </xf>
    <xf numFmtId="3" fontId="49" fillId="6" borderId="0" xfId="7" applyNumberFormat="1" applyFont="1" applyFill="1" applyBorder="1" applyAlignment="1" applyProtection="1">
      <alignment horizontal="right" vertical="center" wrapText="1"/>
    </xf>
    <xf numFmtId="0" fontId="40" fillId="0" borderId="0" xfId="7" applyFont="1" applyBorder="1" applyAlignment="1" applyProtection="1">
      <alignment horizontal="left" vertical="center"/>
    </xf>
    <xf numFmtId="0" fontId="40" fillId="0" borderId="8" xfId="7" applyFont="1" applyBorder="1" applyAlignment="1" applyProtection="1">
      <alignment horizontal="left" vertical="center"/>
    </xf>
    <xf numFmtId="0" fontId="40" fillId="0" borderId="0" xfId="7" applyFont="1" applyAlignment="1" applyProtection="1">
      <alignment horizontal="left" vertical="center"/>
    </xf>
    <xf numFmtId="0" fontId="40" fillId="6" borderId="0" xfId="7" applyFont="1" applyFill="1" applyAlignment="1" applyProtection="1">
      <alignment horizontal="left" vertical="center"/>
    </xf>
    <xf numFmtId="49" fontId="40" fillId="6" borderId="20" xfId="7" applyNumberFormat="1" applyFont="1" applyFill="1" applyBorder="1" applyAlignment="1" applyProtection="1"/>
    <xf numFmtId="49" fontId="40" fillId="6" borderId="21" xfId="7" applyNumberFormat="1" applyFont="1" applyFill="1" applyBorder="1" applyProtection="1"/>
    <xf numFmtId="49" fontId="49" fillId="2" borderId="14" xfId="7" applyNumberFormat="1" applyFont="1" applyFill="1" applyBorder="1" applyAlignment="1" applyProtection="1">
      <alignment horizontal="center" vertical="center"/>
    </xf>
    <xf numFmtId="49" fontId="49" fillId="2" borderId="15" xfId="7" applyNumberFormat="1" applyFont="1" applyFill="1" applyBorder="1" applyAlignment="1" applyProtection="1">
      <alignment horizontal="center" vertical="center"/>
    </xf>
    <xf numFmtId="49" fontId="40" fillId="0" borderId="15" xfId="7" applyNumberFormat="1" applyFont="1" applyFill="1" applyBorder="1" applyProtection="1"/>
    <xf numFmtId="49" fontId="40" fillId="2" borderId="15" xfId="7" applyNumberFormat="1" applyFont="1" applyFill="1" applyBorder="1" applyAlignment="1" applyProtection="1">
      <alignment horizontal="justify" vertical="top" wrapText="1"/>
    </xf>
    <xf numFmtId="49" fontId="49" fillId="2" borderId="20" xfId="7" applyNumberFormat="1" applyFont="1" applyFill="1" applyBorder="1" applyAlignment="1" applyProtection="1">
      <alignment horizontal="center" vertical="center"/>
    </xf>
    <xf numFmtId="49" fontId="49" fillId="2" borderId="0" xfId="7" applyNumberFormat="1" applyFont="1" applyFill="1" applyBorder="1" applyAlignment="1" applyProtection="1">
      <alignment horizontal="center" vertical="center"/>
    </xf>
    <xf numFmtId="0" fontId="40" fillId="2" borderId="0" xfId="7" applyFont="1" applyFill="1" applyBorder="1" applyAlignment="1" applyProtection="1">
      <alignment wrapText="1"/>
    </xf>
    <xf numFmtId="49" fontId="40" fillId="2" borderId="0" xfId="7" applyNumberFormat="1" applyFont="1" applyFill="1" applyBorder="1" applyAlignment="1" applyProtection="1">
      <alignment horizontal="justify" vertical="top" wrapText="1"/>
    </xf>
    <xf numFmtId="0" fontId="40" fillId="2" borderId="0" xfId="7" applyFont="1" applyFill="1" applyBorder="1" applyAlignment="1" applyProtection="1">
      <alignment vertical="center" wrapText="1"/>
    </xf>
    <xf numFmtId="49" fontId="49" fillId="2" borderId="0" xfId="7" applyNumberFormat="1" applyFont="1" applyFill="1" applyBorder="1" applyAlignment="1" applyProtection="1">
      <alignment vertical="center"/>
    </xf>
    <xf numFmtId="49" fontId="49" fillId="2" borderId="0" xfId="7" applyNumberFormat="1" applyFont="1" applyFill="1" applyBorder="1" applyAlignment="1" applyProtection="1">
      <alignment horizontal="left" vertical="center" wrapText="1"/>
    </xf>
    <xf numFmtId="49" fontId="40" fillId="2" borderId="0" xfId="7" applyNumberFormat="1" applyFont="1" applyFill="1" applyBorder="1" applyAlignment="1" applyProtection="1">
      <alignment horizontal="left" vertical="center" wrapText="1"/>
    </xf>
    <xf numFmtId="49" fontId="49" fillId="0" borderId="0" xfId="7" applyNumberFormat="1" applyFont="1" applyFill="1" applyBorder="1" applyAlignment="1" applyProtection="1">
      <alignment vertical="center" wrapText="1"/>
      <protection locked="0"/>
    </xf>
    <xf numFmtId="0" fontId="41" fillId="2" borderId="0" xfId="7" applyNumberFormat="1" applyFont="1" applyFill="1" applyBorder="1" applyProtection="1"/>
    <xf numFmtId="0" fontId="40" fillId="0" borderId="0" xfId="7" applyFont="1" applyBorder="1" applyAlignment="1" applyProtection="1">
      <alignment horizontal="left" vertical="center" wrapText="1"/>
    </xf>
    <xf numFmtId="0" fontId="49" fillId="2" borderId="0" xfId="7" applyNumberFormat="1" applyFont="1" applyFill="1" applyBorder="1" applyAlignment="1" applyProtection="1">
      <alignment horizontal="left" vertical="center" wrapText="1"/>
    </xf>
    <xf numFmtId="169" fontId="49" fillId="2" borderId="0" xfId="7" applyNumberFormat="1" applyFont="1" applyFill="1" applyBorder="1" applyAlignment="1" applyProtection="1">
      <alignment vertical="center"/>
    </xf>
    <xf numFmtId="0" fontId="50" fillId="19" borderId="14" xfId="0" applyFont="1" applyFill="1" applyBorder="1" applyAlignment="1" applyProtection="1">
      <alignment vertical="center"/>
    </xf>
    <xf numFmtId="0" fontId="40" fillId="2" borderId="0" xfId="0" applyNumberFormat="1" applyFont="1" applyFill="1" applyBorder="1" applyAlignment="1" applyProtection="1">
      <alignment horizontal="justify" vertical="top"/>
    </xf>
    <xf numFmtId="49" fontId="40" fillId="2" borderId="0" xfId="7" applyNumberFormat="1" applyFont="1" applyFill="1" applyBorder="1" applyAlignment="1" applyProtection="1">
      <alignment wrapText="1"/>
    </xf>
    <xf numFmtId="49" fontId="40" fillId="2" borderId="7" xfId="7" applyNumberFormat="1" applyFont="1" applyFill="1" applyBorder="1" applyAlignment="1" applyProtection="1">
      <alignment wrapText="1"/>
    </xf>
    <xf numFmtId="0" fontId="40" fillId="0" borderId="0" xfId="7" applyFont="1" applyBorder="1" applyAlignment="1" applyProtection="1">
      <alignment wrapText="1"/>
    </xf>
    <xf numFmtId="0" fontId="40" fillId="0" borderId="8" xfId="7" applyFont="1" applyBorder="1" applyAlignment="1" applyProtection="1">
      <alignment wrapText="1"/>
    </xf>
    <xf numFmtId="0" fontId="40" fillId="0" borderId="0" xfId="7" applyFont="1" applyAlignment="1" applyProtection="1">
      <alignment wrapText="1"/>
    </xf>
    <xf numFmtId="0" fontId="40" fillId="6" borderId="0" xfId="7" applyFont="1" applyFill="1" applyAlignment="1" applyProtection="1">
      <alignment wrapText="1"/>
    </xf>
    <xf numFmtId="14" fontId="49" fillId="2" borderId="0" xfId="7" applyNumberFormat="1" applyFont="1" applyFill="1" applyBorder="1" applyAlignment="1" applyProtection="1">
      <alignment horizontal="center" vertical="center"/>
    </xf>
    <xf numFmtId="0" fontId="40" fillId="2" borderId="0" xfId="7" applyNumberFormat="1" applyFont="1" applyFill="1" applyBorder="1" applyAlignment="1" applyProtection="1"/>
    <xf numFmtId="49" fontId="40" fillId="0" borderId="0" xfId="7" applyNumberFormat="1" applyFont="1" applyFill="1" applyBorder="1" applyAlignment="1" applyProtection="1">
      <alignment horizontal="center"/>
    </xf>
    <xf numFmtId="169" fontId="49" fillId="2" borderId="12" xfId="7" applyNumberFormat="1" applyFont="1" applyFill="1" applyBorder="1" applyAlignment="1" applyProtection="1">
      <alignment vertical="center"/>
    </xf>
    <xf numFmtId="49" fontId="40" fillId="0" borderId="12" xfId="7" applyNumberFormat="1" applyFont="1" applyFill="1" applyBorder="1" applyProtection="1"/>
    <xf numFmtId="14" fontId="49" fillId="2" borderId="12" xfId="7" applyNumberFormat="1" applyFont="1" applyFill="1" applyBorder="1" applyAlignment="1" applyProtection="1">
      <alignment horizontal="center" vertical="center"/>
    </xf>
    <xf numFmtId="0" fontId="49" fillId="2" borderId="12" xfId="7" applyNumberFormat="1" applyFont="1" applyFill="1" applyBorder="1" applyAlignment="1" applyProtection="1">
      <alignment horizontal="center" vertical="center"/>
    </xf>
    <xf numFmtId="49" fontId="40" fillId="2" borderId="12" xfId="7" applyNumberFormat="1" applyFont="1" applyFill="1" applyBorder="1" applyAlignment="1" applyProtection="1">
      <alignment horizontal="center"/>
    </xf>
    <xf numFmtId="49" fontId="40" fillId="2" borderId="12" xfId="7" applyNumberFormat="1" applyFont="1" applyFill="1" applyBorder="1" applyAlignment="1" applyProtection="1">
      <alignment horizontal="left"/>
    </xf>
    <xf numFmtId="0" fontId="40" fillId="0" borderId="7" xfId="7" applyFont="1" applyFill="1" applyBorder="1" applyProtection="1"/>
    <xf numFmtId="0" fontId="40" fillId="6" borderId="14" xfId="7" applyFont="1" applyFill="1" applyBorder="1" applyProtection="1">
      <protection locked="0"/>
    </xf>
    <xf numFmtId="0" fontId="40" fillId="6" borderId="15" xfId="7" applyFont="1" applyFill="1" applyBorder="1" applyProtection="1">
      <protection locked="0"/>
    </xf>
    <xf numFmtId="0" fontId="40" fillId="6" borderId="16" xfId="7" applyFont="1" applyFill="1" applyBorder="1" applyProtection="1">
      <protection locked="0"/>
    </xf>
    <xf numFmtId="0" fontId="40" fillId="6" borderId="20" xfId="7" applyFont="1" applyFill="1" applyBorder="1" applyProtection="1">
      <protection locked="0"/>
    </xf>
    <xf numFmtId="0" fontId="40" fillId="6" borderId="0" xfId="7" applyFont="1" applyFill="1" applyBorder="1" applyProtection="1">
      <protection locked="0"/>
    </xf>
    <xf numFmtId="0" fontId="40" fillId="6" borderId="21" xfId="7" applyFont="1" applyFill="1" applyBorder="1" applyProtection="1">
      <protection locked="0"/>
    </xf>
    <xf numFmtId="0" fontId="40" fillId="2" borderId="20" xfId="7" applyFont="1" applyFill="1" applyBorder="1" applyProtection="1">
      <protection locked="0"/>
    </xf>
    <xf numFmtId="0" fontId="40" fillId="2" borderId="0" xfId="7" applyFont="1" applyFill="1" applyBorder="1" applyProtection="1">
      <protection locked="0"/>
    </xf>
    <xf numFmtId="0" fontId="40" fillId="0" borderId="0" xfId="7" applyFont="1" applyFill="1" applyBorder="1" applyProtection="1">
      <protection locked="0"/>
    </xf>
    <xf numFmtId="0" fontId="40" fillId="2" borderId="21" xfId="7" applyFont="1" applyFill="1" applyBorder="1" applyProtection="1">
      <protection locked="0"/>
    </xf>
    <xf numFmtId="0" fontId="40" fillId="0" borderId="0" xfId="7" applyFont="1" applyFill="1" applyBorder="1" applyAlignment="1" applyProtection="1">
      <protection locked="0"/>
    </xf>
    <xf numFmtId="0" fontId="25" fillId="0" borderId="0" xfId="6" applyFont="1" applyFill="1" applyBorder="1" applyProtection="1">
      <protection locked="0"/>
    </xf>
    <xf numFmtId="0" fontId="40" fillId="6" borderId="0" xfId="7" applyFont="1" applyFill="1" applyBorder="1" applyAlignment="1" applyProtection="1">
      <alignment horizontal="left" vertical="center" wrapText="1"/>
      <protection locked="0"/>
    </xf>
    <xf numFmtId="10" fontId="49" fillId="0" borderId="0" xfId="10" applyNumberFormat="1" applyFont="1" applyFill="1" applyBorder="1" applyAlignment="1" applyProtection="1">
      <alignment horizontal="center" vertical="center"/>
      <protection locked="0"/>
    </xf>
    <xf numFmtId="0" fontId="40" fillId="0" borderId="0" xfId="7" applyFont="1" applyFill="1" applyBorder="1" applyAlignment="1" applyProtection="1">
      <alignment horizontal="left" vertical="center" wrapText="1"/>
      <protection locked="0"/>
    </xf>
    <xf numFmtId="0" fontId="40" fillId="0" borderId="0" xfId="7" applyFont="1" applyFill="1" applyBorder="1" applyAlignment="1" applyProtection="1">
      <alignment vertical="top"/>
      <protection locked="0"/>
    </xf>
    <xf numFmtId="0" fontId="40" fillId="6" borderId="0" xfId="7" applyFont="1" applyFill="1" applyBorder="1" applyAlignment="1" applyProtection="1">
      <protection locked="0"/>
    </xf>
    <xf numFmtId="0" fontId="40" fillId="6" borderId="20" xfId="7" applyFont="1" applyFill="1" applyBorder="1" applyAlignment="1" applyProtection="1">
      <alignment horizontal="center"/>
      <protection locked="0"/>
    </xf>
    <xf numFmtId="0" fontId="40" fillId="6" borderId="0" xfId="7" applyFont="1" applyFill="1" applyBorder="1" applyAlignment="1" applyProtection="1">
      <alignment horizontal="center"/>
      <protection locked="0"/>
    </xf>
    <xf numFmtId="0" fontId="40" fillId="2" borderId="9" xfId="7" applyFont="1" applyFill="1" applyBorder="1" applyProtection="1"/>
    <xf numFmtId="0" fontId="40" fillId="0" borderId="10" xfId="7" applyFont="1" applyBorder="1" applyProtection="1"/>
    <xf numFmtId="0" fontId="40" fillId="0" borderId="11" xfId="7" applyFont="1" applyBorder="1" applyProtection="1"/>
    <xf numFmtId="0" fontId="40" fillId="0" borderId="0" xfId="7" applyFont="1" applyBorder="1" applyProtection="1">
      <protection locked="0"/>
    </xf>
    <xf numFmtId="0" fontId="40" fillId="14" borderId="0" xfId="7" applyFont="1" applyFill="1" applyBorder="1" applyProtection="1">
      <protection locked="0"/>
    </xf>
    <xf numFmtId="0" fontId="40" fillId="0" borderId="8" xfId="7" applyFont="1" applyBorder="1" applyProtection="1">
      <protection locked="0"/>
    </xf>
    <xf numFmtId="0" fontId="41" fillId="14" borderId="0" xfId="7" applyFont="1" applyFill="1" applyBorder="1" applyProtection="1">
      <protection locked="0"/>
    </xf>
    <xf numFmtId="0" fontId="40" fillId="2" borderId="7" xfId="7" applyFont="1" applyFill="1" applyBorder="1" applyAlignment="1" applyProtection="1">
      <alignment horizontal="center"/>
    </xf>
    <xf numFmtId="0" fontId="55" fillId="0" borderId="0" xfId="7" applyFont="1" applyFill="1" applyBorder="1" applyProtection="1">
      <protection locked="0"/>
    </xf>
    <xf numFmtId="0" fontId="49" fillId="0" borderId="0" xfId="7" applyFont="1" applyFill="1" applyBorder="1" applyProtection="1">
      <protection locked="0"/>
    </xf>
    <xf numFmtId="0" fontId="49" fillId="0" borderId="0" xfId="7" applyFont="1" applyFill="1" applyBorder="1" applyAlignment="1" applyProtection="1">
      <alignment horizontal="left" vertical="top" wrapText="1"/>
      <protection locked="0"/>
    </xf>
    <xf numFmtId="0" fontId="40" fillId="0" borderId="0" xfId="7" applyFont="1" applyFill="1" applyBorder="1" applyAlignment="1" applyProtection="1">
      <alignment horizontal="left" vertical="top" wrapText="1"/>
      <protection locked="0"/>
    </xf>
    <xf numFmtId="0" fontId="40" fillId="0" borderId="0" xfId="7" applyFont="1" applyFill="1" applyBorder="1" applyAlignment="1" applyProtection="1">
      <alignment vertical="top" wrapText="1"/>
      <protection locked="0"/>
    </xf>
    <xf numFmtId="168" fontId="40" fillId="6" borderId="0" xfId="7" applyNumberFormat="1" applyFont="1" applyFill="1" applyBorder="1" applyAlignment="1" applyProtection="1">
      <alignment horizontal="center" vertical="center"/>
      <protection locked="0"/>
    </xf>
    <xf numFmtId="0" fontId="49" fillId="0" borderId="0" xfId="7" applyFont="1" applyFill="1" applyBorder="1" applyAlignment="1" applyProtection="1">
      <alignment horizontal="center" vertical="top"/>
      <protection locked="0"/>
    </xf>
    <xf numFmtId="0" fontId="40" fillId="0" borderId="0" xfId="7" applyFont="1" applyFill="1" applyBorder="1" applyAlignment="1" applyProtection="1">
      <alignment horizontal="center" vertical="top"/>
      <protection locked="0"/>
    </xf>
    <xf numFmtId="0" fontId="40" fillId="2" borderId="0" xfId="7" applyFont="1" applyFill="1" applyBorder="1" applyAlignment="1" applyProtection="1">
      <alignment vertical="top"/>
      <protection locked="0"/>
    </xf>
    <xf numFmtId="0" fontId="40" fillId="14" borderId="0" xfId="7" applyFont="1" applyFill="1" applyBorder="1" applyAlignment="1" applyProtection="1">
      <alignment horizontal="right"/>
      <protection locked="0"/>
    </xf>
    <xf numFmtId="0" fontId="49" fillId="2" borderId="0" xfId="7" applyFont="1" applyFill="1" applyBorder="1" applyAlignment="1" applyProtection="1">
      <alignment horizontal="center" vertical="top" wrapText="1"/>
      <protection locked="0"/>
    </xf>
    <xf numFmtId="0" fontId="40" fillId="2" borderId="0" xfId="7" applyFont="1" applyFill="1" applyBorder="1" applyAlignment="1" applyProtection="1">
      <protection locked="0"/>
    </xf>
    <xf numFmtId="0" fontId="40" fillId="2" borderId="0" xfId="7" applyFont="1" applyFill="1" applyBorder="1" applyAlignment="1" applyProtection="1">
      <alignment horizontal="center"/>
      <protection locked="0"/>
    </xf>
    <xf numFmtId="0" fontId="49" fillId="2" borderId="0" xfId="7" applyFont="1" applyFill="1" applyBorder="1" applyAlignment="1" applyProtection="1">
      <alignment horizontal="center" vertical="top"/>
      <protection locked="0"/>
    </xf>
    <xf numFmtId="0" fontId="54" fillId="2" borderId="0" xfId="7" applyFont="1" applyFill="1" applyBorder="1" applyAlignment="1" applyProtection="1">
      <alignment horizontal="left" vertical="top"/>
      <protection locked="0"/>
    </xf>
    <xf numFmtId="0" fontId="49" fillId="6" borderId="0" xfId="7" applyFont="1" applyFill="1" applyBorder="1" applyAlignment="1" applyProtection="1">
      <alignment horizontal="center" vertical="top"/>
    </xf>
    <xf numFmtId="0" fontId="49" fillId="6" borderId="0" xfId="7" applyFont="1" applyFill="1" applyBorder="1" applyAlignment="1" applyProtection="1">
      <alignment horizontal="center" vertical="top" wrapText="1"/>
    </xf>
    <xf numFmtId="0" fontId="25" fillId="6" borderId="0" xfId="6" applyFont="1" applyFill="1" applyBorder="1" applyAlignment="1" applyProtection="1">
      <alignment vertical="center"/>
    </xf>
    <xf numFmtId="0" fontId="25" fillId="6" borderId="0" xfId="6" applyFont="1" applyFill="1" applyBorder="1" applyAlignment="1" applyProtection="1">
      <alignment vertical="center"/>
      <protection locked="0"/>
    </xf>
    <xf numFmtId="0" fontId="25" fillId="6" borderId="0" xfId="6" applyFont="1" applyFill="1" applyBorder="1" applyAlignment="1" applyProtection="1">
      <alignment horizontal="center" vertical="center"/>
      <protection locked="0"/>
    </xf>
    <xf numFmtId="0" fontId="25" fillId="2" borderId="0" xfId="6" applyFont="1" applyFill="1" applyBorder="1" applyAlignment="1" applyProtection="1">
      <alignment horizontal="center" vertical="center"/>
    </xf>
    <xf numFmtId="0" fontId="40" fillId="6" borderId="20" xfId="7" applyFont="1" applyFill="1" applyBorder="1" applyProtection="1"/>
    <xf numFmtId="4" fontId="49" fillId="6" borderId="0" xfId="7" applyNumberFormat="1" applyFont="1" applyFill="1" applyBorder="1" applyAlignment="1" applyProtection="1">
      <alignment vertical="center" wrapText="1"/>
    </xf>
    <xf numFmtId="0" fontId="40" fillId="6" borderId="0" xfId="7" applyFont="1" applyFill="1" applyBorder="1" applyAlignment="1" applyProtection="1">
      <alignment vertical="top"/>
    </xf>
    <xf numFmtId="0" fontId="25" fillId="6" borderId="0" xfId="6" applyFont="1" applyFill="1" applyBorder="1" applyAlignment="1" applyProtection="1">
      <alignment horizontal="center" vertical="center"/>
    </xf>
    <xf numFmtId="0" fontId="40" fillId="2" borderId="0" xfId="7" applyFont="1" applyFill="1" applyBorder="1" applyAlignment="1" applyProtection="1">
      <alignment vertical="top"/>
    </xf>
    <xf numFmtId="0" fontId="6" fillId="0" borderId="0" xfId="6" applyFont="1" applyBorder="1" applyProtection="1"/>
    <xf numFmtId="0" fontId="40" fillId="2" borderId="12" xfId="7" applyFont="1" applyFill="1" applyBorder="1" applyAlignment="1" applyProtection="1">
      <alignment vertical="top"/>
    </xf>
    <xf numFmtId="0" fontId="40" fillId="6" borderId="7" xfId="7" applyFont="1" applyFill="1" applyBorder="1" applyProtection="1"/>
    <xf numFmtId="0" fontId="40" fillId="6" borderId="8" xfId="7" applyFont="1" applyFill="1" applyBorder="1" applyProtection="1">
      <protection locked="0"/>
    </xf>
    <xf numFmtId="9" fontId="40" fillId="14" borderId="3" xfId="7" applyNumberFormat="1" applyFont="1" applyFill="1" applyBorder="1" applyProtection="1">
      <protection locked="0"/>
    </xf>
    <xf numFmtId="0" fontId="40" fillId="14" borderId="26" xfId="7" applyFont="1" applyFill="1" applyBorder="1" applyProtection="1">
      <protection locked="0"/>
    </xf>
    <xf numFmtId="9" fontId="40" fillId="14" borderId="2" xfId="7" applyNumberFormat="1" applyFont="1" applyFill="1" applyBorder="1" applyProtection="1">
      <protection locked="0"/>
    </xf>
    <xf numFmtId="0" fontId="6" fillId="14" borderId="0" xfId="6" applyFont="1" applyFill="1" applyBorder="1" applyProtection="1"/>
    <xf numFmtId="0" fontId="6" fillId="14" borderId="0" xfId="6" applyFont="1" applyFill="1" applyProtection="1"/>
    <xf numFmtId="0" fontId="40" fillId="0" borderId="20" xfId="7" applyFont="1" applyFill="1" applyBorder="1" applyProtection="1"/>
    <xf numFmtId="0" fontId="40" fillId="0" borderId="0" xfId="7" applyFont="1" applyFill="1" applyBorder="1" applyAlignment="1" applyProtection="1">
      <alignment horizontal="justify" vertical="justify"/>
    </xf>
    <xf numFmtId="0" fontId="40" fillId="22" borderId="0" xfId="7" applyFont="1" applyFill="1" applyBorder="1" applyAlignment="1" applyProtection="1">
      <alignment horizontal="right"/>
      <protection locked="0"/>
    </xf>
    <xf numFmtId="169" fontId="40" fillId="0" borderId="0" xfId="7" applyNumberFormat="1" applyFont="1" applyFill="1" applyBorder="1" applyAlignment="1" applyProtection="1"/>
    <xf numFmtId="49" fontId="40" fillId="0" borderId="21" xfId="7" applyNumberFormat="1" applyFont="1" applyFill="1" applyBorder="1" applyProtection="1"/>
    <xf numFmtId="0" fontId="40" fillId="2" borderId="0" xfId="7" applyFont="1" applyFill="1" applyProtection="1"/>
    <xf numFmtId="49" fontId="40" fillId="0" borderId="0" xfId="7" applyNumberFormat="1" applyFont="1" applyFill="1" applyBorder="1" applyAlignment="1" applyProtection="1">
      <alignment horizontal="center" vertical="center"/>
    </xf>
    <xf numFmtId="49" fontId="40" fillId="0" borderId="17" xfId="7" applyNumberFormat="1" applyFont="1" applyFill="1" applyBorder="1" applyProtection="1"/>
    <xf numFmtId="49" fontId="40" fillId="0" borderId="12" xfId="7" applyNumberFormat="1" applyFont="1" applyFill="1" applyBorder="1" applyAlignment="1" applyProtection="1">
      <alignment horizontal="center" vertical="center"/>
    </xf>
    <xf numFmtId="49" fontId="40" fillId="0" borderId="18" xfId="7" applyNumberFormat="1" applyFont="1" applyFill="1" applyBorder="1" applyProtection="1"/>
    <xf numFmtId="0" fontId="40" fillId="0" borderId="10" xfId="7" applyFont="1" applyFill="1" applyBorder="1" applyProtection="1"/>
    <xf numFmtId="14" fontId="50" fillId="6" borderId="10" xfId="7" applyNumberFormat="1" applyFont="1" applyFill="1" applyBorder="1" applyProtection="1"/>
    <xf numFmtId="0" fontId="50" fillId="6" borderId="10" xfId="7" applyFont="1" applyFill="1" applyBorder="1" applyProtection="1"/>
    <xf numFmtId="0" fontId="40" fillId="14" borderId="10" xfId="7" applyFont="1" applyFill="1" applyBorder="1" applyProtection="1"/>
    <xf numFmtId="0" fontId="40" fillId="14" borderId="25" xfId="7" applyFont="1" applyFill="1" applyBorder="1" applyProtection="1"/>
    <xf numFmtId="0" fontId="50" fillId="6" borderId="0" xfId="7" applyFont="1" applyFill="1" applyProtection="1"/>
    <xf numFmtId="0" fontId="26" fillId="0" borderId="0" xfId="0" applyFont="1" applyFill="1" applyBorder="1" applyProtection="1"/>
    <xf numFmtId="0" fontId="26" fillId="0" borderId="0" xfId="0" applyFont="1" applyFill="1" applyProtection="1"/>
    <xf numFmtId="0" fontId="53" fillId="19" borderId="13" xfId="0" applyFont="1" applyFill="1" applyBorder="1" applyAlignment="1" applyProtection="1">
      <alignment horizontal="center"/>
    </xf>
    <xf numFmtId="0" fontId="53" fillId="19" borderId="19" xfId="0" applyFont="1" applyFill="1" applyBorder="1" applyAlignment="1" applyProtection="1">
      <alignment horizontal="center"/>
    </xf>
    <xf numFmtId="0" fontId="53" fillId="19" borderId="19" xfId="0" applyFont="1" applyFill="1" applyBorder="1" applyAlignment="1" applyProtection="1"/>
    <xf numFmtId="0" fontId="53" fillId="19" borderId="1" xfId="0" applyFont="1" applyFill="1" applyBorder="1" applyAlignment="1" applyProtection="1">
      <alignment horizontal="center"/>
    </xf>
    <xf numFmtId="0" fontId="26" fillId="6" borderId="20" xfId="0" applyFont="1" applyFill="1" applyBorder="1" applyAlignment="1">
      <alignment horizontal="left"/>
    </xf>
    <xf numFmtId="49" fontId="50" fillId="2" borderId="0" xfId="7" applyNumberFormat="1" applyFont="1" applyFill="1" applyBorder="1" applyProtection="1"/>
    <xf numFmtId="49" fontId="53" fillId="2" borderId="0" xfId="7" applyNumberFormat="1" applyFont="1" applyFill="1" applyBorder="1" applyProtection="1"/>
    <xf numFmtId="49" fontId="50" fillId="2" borderId="0" xfId="7" applyNumberFormat="1" applyFont="1" applyFill="1" applyBorder="1" applyAlignment="1" applyProtection="1"/>
    <xf numFmtId="0" fontId="57" fillId="6" borderId="0" xfId="0" applyFont="1" applyFill="1" applyBorder="1" applyAlignment="1">
      <alignment vertical="center"/>
    </xf>
    <xf numFmtId="0" fontId="49" fillId="6" borderId="0" xfId="7" applyFont="1" applyFill="1" applyBorder="1" applyAlignment="1" applyProtection="1">
      <alignment vertical="center"/>
    </xf>
    <xf numFmtId="3" fontId="40" fillId="2" borderId="0" xfId="7" applyNumberFormat="1" applyFont="1" applyFill="1" applyBorder="1" applyAlignment="1" applyProtection="1">
      <alignment horizontal="left" vertical="center"/>
    </xf>
    <xf numFmtId="49" fontId="40" fillId="0" borderId="0" xfId="7" applyNumberFormat="1" applyFont="1" applyFill="1" applyBorder="1" applyAlignment="1" applyProtection="1">
      <alignment horizontal="right"/>
    </xf>
    <xf numFmtId="49" fontId="40" fillId="6" borderId="0" xfId="0" applyNumberFormat="1" applyFont="1" applyFill="1" applyBorder="1" applyAlignment="1" applyProtection="1">
      <alignment horizontal="center"/>
    </xf>
    <xf numFmtId="49" fontId="40" fillId="6" borderId="0" xfId="0" applyNumberFormat="1" applyFont="1" applyFill="1" applyBorder="1" applyAlignment="1" applyProtection="1">
      <alignment vertical="center"/>
      <protection locked="0"/>
    </xf>
    <xf numFmtId="49" fontId="40" fillId="2" borderId="0" xfId="7" applyNumberFormat="1" applyFont="1" applyFill="1" applyBorder="1" applyAlignment="1" applyProtection="1">
      <alignment horizontal="center"/>
      <protection locked="0"/>
    </xf>
    <xf numFmtId="0" fontId="17" fillId="6" borderId="0" xfId="0" applyFont="1" applyFill="1" applyBorder="1" applyAlignment="1" applyProtection="1">
      <alignment horizontal="center"/>
    </xf>
    <xf numFmtId="166" fontId="17" fillId="0" borderId="20" xfId="2" applyNumberFormat="1" applyFont="1" applyBorder="1" applyProtection="1"/>
    <xf numFmtId="166" fontId="17" fillId="0" borderId="20" xfId="2" applyNumberFormat="1" applyFont="1" applyBorder="1" applyAlignment="1" applyProtection="1">
      <alignment wrapText="1"/>
    </xf>
    <xf numFmtId="166" fontId="17" fillId="0" borderId="20" xfId="2" applyNumberFormat="1" applyFont="1" applyBorder="1" applyAlignment="1" applyProtection="1">
      <alignment horizontal="center" vertical="center" wrapText="1"/>
    </xf>
    <xf numFmtId="166" fontId="17" fillId="6" borderId="20" xfId="2" applyNumberFormat="1" applyFont="1" applyFill="1" applyBorder="1" applyProtection="1"/>
    <xf numFmtId="166" fontId="17" fillId="0" borderId="20" xfId="2" applyNumberFormat="1" applyFont="1" applyFill="1" applyBorder="1" applyProtection="1"/>
    <xf numFmtId="166" fontId="30" fillId="0" borderId="17" xfId="2" applyNumberFormat="1" applyFont="1" applyBorder="1" applyProtection="1"/>
    <xf numFmtId="0" fontId="30" fillId="0" borderId="12" xfId="0" applyFont="1" applyBorder="1" applyProtection="1"/>
    <xf numFmtId="0" fontId="30" fillId="0" borderId="18" xfId="0" applyFont="1" applyBorder="1" applyProtection="1"/>
    <xf numFmtId="166" fontId="17" fillId="7" borderId="14" xfId="2" applyNumberFormat="1" applyFont="1" applyFill="1" applyBorder="1" applyAlignment="1" applyProtection="1">
      <alignment vertical="top" wrapText="1"/>
    </xf>
    <xf numFmtId="0" fontId="17" fillId="7" borderId="15" xfId="0" applyFont="1" applyFill="1" applyBorder="1" applyAlignment="1" applyProtection="1">
      <alignment vertical="top" wrapText="1"/>
    </xf>
    <xf numFmtId="0" fontId="17" fillId="0" borderId="16" xfId="0" applyFont="1" applyBorder="1" applyProtection="1"/>
    <xf numFmtId="166" fontId="17" fillId="0" borderId="0" xfId="2" applyNumberFormat="1" applyFont="1" applyBorder="1" applyProtection="1"/>
    <xf numFmtId="0" fontId="17" fillId="15" borderId="20" xfId="0" applyFont="1" applyFill="1" applyBorder="1" applyAlignment="1" applyProtection="1">
      <alignment vertical="top" wrapText="1"/>
    </xf>
    <xf numFmtId="0" fontId="17" fillId="15" borderId="0" xfId="0" applyFont="1" applyFill="1" applyBorder="1" applyAlignment="1" applyProtection="1">
      <alignment wrapText="1"/>
    </xf>
    <xf numFmtId="0" fontId="17" fillId="15" borderId="0" xfId="0" applyFont="1" applyFill="1" applyBorder="1" applyAlignment="1" applyProtection="1">
      <alignment vertical="top" wrapText="1"/>
    </xf>
    <xf numFmtId="0" fontId="17" fillId="0" borderId="21" xfId="0" applyFont="1" applyBorder="1" applyAlignment="1" applyProtection="1">
      <alignment vertical="top" wrapText="1"/>
    </xf>
    <xf numFmtId="166" fontId="18" fillId="0" borderId="0" xfId="2" applyNumberFormat="1" applyFont="1" applyBorder="1" applyProtection="1"/>
    <xf numFmtId="166" fontId="17" fillId="0" borderId="61" xfId="2" applyNumberFormat="1" applyFont="1" applyBorder="1" applyProtection="1"/>
    <xf numFmtId="166" fontId="18" fillId="0" borderId="20" xfId="2" applyNumberFormat="1" applyFont="1" applyBorder="1" applyProtection="1"/>
    <xf numFmtId="166" fontId="17" fillId="0" borderId="0" xfId="0" applyNumberFormat="1" applyFont="1" applyBorder="1" applyProtection="1"/>
    <xf numFmtId="9" fontId="17" fillId="0" borderId="0" xfId="9" applyFont="1" applyBorder="1" applyProtection="1"/>
    <xf numFmtId="166" fontId="17" fillId="0" borderId="17" xfId="2" applyNumberFormat="1" applyFont="1" applyBorder="1" applyProtection="1"/>
    <xf numFmtId="0" fontId="17" fillId="0" borderId="12" xfId="0" applyFont="1" applyBorder="1" applyProtection="1"/>
    <xf numFmtId="0" fontId="26" fillId="14" borderId="7" xfId="0" applyFont="1" applyFill="1" applyBorder="1" applyAlignment="1"/>
    <xf numFmtId="0" fontId="26" fillId="14" borderId="0" xfId="0" applyFont="1" applyFill="1" applyBorder="1" applyAlignment="1"/>
    <xf numFmtId="0" fontId="17" fillId="6" borderId="20" xfId="0" applyFont="1" applyFill="1" applyBorder="1" applyAlignment="1" applyProtection="1">
      <alignment horizontal="left"/>
    </xf>
    <xf numFmtId="49" fontId="40" fillId="2" borderId="20" xfId="0" applyNumberFormat="1" applyFont="1" applyFill="1" applyBorder="1" applyProtection="1"/>
    <xf numFmtId="9" fontId="12" fillId="6" borderId="0" xfId="16" applyNumberFormat="1" applyFont="1" applyFill="1" applyBorder="1" applyAlignment="1" applyProtection="1">
      <alignment horizontal="center" wrapText="1"/>
    </xf>
    <xf numFmtId="165" fontId="17" fillId="6" borderId="0" xfId="2" applyFont="1" applyFill="1" applyBorder="1" applyAlignment="1" applyProtection="1">
      <alignment horizontal="center" vertical="center" wrapText="1"/>
      <protection locked="0"/>
    </xf>
    <xf numFmtId="0" fontId="12" fillId="10" borderId="12" xfId="0" applyFont="1" applyFill="1" applyBorder="1" applyAlignment="1" applyProtection="1">
      <alignment horizontal="left" vertical="center"/>
    </xf>
    <xf numFmtId="165" fontId="16" fillId="10" borderId="12" xfId="2" applyFont="1" applyFill="1" applyBorder="1" applyAlignment="1" applyProtection="1">
      <alignment horizontal="center" vertical="center" wrapText="1"/>
      <protection locked="0"/>
    </xf>
    <xf numFmtId="0" fontId="17" fillId="10" borderId="18" xfId="0" applyFont="1" applyFill="1" applyBorder="1" applyAlignment="1" applyProtection="1">
      <alignment horizontal="left" indent="1"/>
    </xf>
    <xf numFmtId="0" fontId="3" fillId="10" borderId="17" xfId="0" applyFont="1" applyFill="1" applyBorder="1" applyAlignment="1" applyProtection="1">
      <alignment horizontal="left" vertical="center" wrapText="1"/>
    </xf>
    <xf numFmtId="0" fontId="17" fillId="6" borderId="16" xfId="0" applyFont="1" applyFill="1" applyBorder="1" applyAlignment="1" applyProtection="1">
      <alignment horizontal="left" vertical="center" indent="1"/>
    </xf>
    <xf numFmtId="165" fontId="17" fillId="6" borderId="12" xfId="2" applyFont="1" applyFill="1" applyBorder="1" applyAlignment="1" applyProtection="1">
      <alignment horizontal="center" vertical="center" wrapText="1"/>
      <protection locked="0"/>
    </xf>
    <xf numFmtId="165" fontId="24" fillId="6" borderId="0" xfId="0" applyNumberFormat="1" applyFont="1" applyFill="1" applyBorder="1" applyProtection="1"/>
    <xf numFmtId="173" fontId="24" fillId="6" borderId="21" xfId="2" applyNumberFormat="1" applyFont="1" applyFill="1" applyBorder="1" applyProtection="1"/>
    <xf numFmtId="173" fontId="17" fillId="6" borderId="0" xfId="0" applyNumberFormat="1" applyFont="1" applyFill="1" applyBorder="1" applyProtection="1"/>
    <xf numFmtId="165" fontId="17" fillId="17" borderId="2" xfId="2" applyFont="1" applyFill="1" applyBorder="1" applyAlignment="1" applyProtection="1">
      <alignment horizontal="center" vertical="center" wrapText="1"/>
      <protection locked="0"/>
    </xf>
    <xf numFmtId="165" fontId="17" fillId="17" borderId="3" xfId="2" applyFont="1" applyFill="1" applyBorder="1" applyAlignment="1" applyProtection="1">
      <alignment horizontal="center" vertical="center" wrapText="1"/>
      <protection locked="0"/>
    </xf>
    <xf numFmtId="0" fontId="41" fillId="0" borderId="0" xfId="7" applyNumberFormat="1" applyFont="1" applyFill="1" applyBorder="1" applyAlignment="1" applyProtection="1">
      <alignment horizontal="center" wrapText="1"/>
    </xf>
    <xf numFmtId="169" fontId="40" fillId="6" borderId="0" xfId="7" applyNumberFormat="1" applyFont="1" applyFill="1" applyBorder="1" applyAlignment="1" applyProtection="1">
      <alignment horizontal="center" vertical="center" wrapText="1"/>
    </xf>
    <xf numFmtId="0" fontId="40" fillId="6" borderId="0" xfId="7" applyFont="1" applyFill="1" applyBorder="1" applyAlignment="1" applyProtection="1">
      <alignment horizontal="center" vertical="center"/>
    </xf>
    <xf numFmtId="0" fontId="49" fillId="6" borderId="0" xfId="7" applyNumberFormat="1" applyFont="1" applyFill="1" applyBorder="1" applyAlignment="1" applyProtection="1">
      <alignment horizontal="center" vertical="center"/>
    </xf>
    <xf numFmtId="0" fontId="40" fillId="2" borderId="0" xfId="7" applyFont="1" applyFill="1" applyBorder="1" applyAlignment="1" applyProtection="1">
      <alignment horizontal="left" vertical="center" wrapText="1"/>
    </xf>
    <xf numFmtId="0" fontId="26" fillId="17" borderId="0" xfId="0" applyFont="1" applyFill="1" applyBorder="1" applyAlignment="1" applyProtection="1">
      <alignment horizontal="center" vertical="center" wrapText="1"/>
      <protection locked="0"/>
    </xf>
    <xf numFmtId="0" fontId="37" fillId="6" borderId="0" xfId="0" applyFont="1" applyFill="1"/>
    <xf numFmtId="0" fontId="40" fillId="6" borderId="62" xfId="7" applyFont="1" applyFill="1" applyBorder="1" applyProtection="1"/>
    <xf numFmtId="169" fontId="40" fillId="6" borderId="64" xfId="7" applyNumberFormat="1" applyFont="1" applyFill="1" applyBorder="1" applyAlignment="1" applyProtection="1"/>
    <xf numFmtId="0" fontId="40" fillId="6" borderId="63" xfId="7" applyNumberFormat="1" applyFont="1" applyFill="1" applyBorder="1" applyAlignment="1" applyProtection="1">
      <alignment horizontal="center" vertical="center" wrapText="1"/>
    </xf>
    <xf numFmtId="0" fontId="40" fillId="6" borderId="66" xfId="7" applyFont="1" applyFill="1" applyBorder="1" applyAlignment="1" applyProtection="1">
      <alignment horizontal="center" vertical="center"/>
    </xf>
    <xf numFmtId="0" fontId="40" fillId="6" borderId="63" xfId="7" applyFont="1" applyFill="1" applyBorder="1" applyAlignment="1" applyProtection="1">
      <alignment horizontal="center" vertical="center"/>
    </xf>
    <xf numFmtId="0" fontId="40" fillId="6" borderId="64" xfId="7" applyFont="1" applyFill="1" applyBorder="1" applyProtection="1"/>
    <xf numFmtId="173" fontId="40" fillId="6" borderId="0" xfId="2" applyNumberFormat="1" applyFont="1" applyFill="1" applyBorder="1" applyAlignment="1" applyProtection="1">
      <alignment horizontal="center" vertical="center"/>
      <protection locked="0"/>
    </xf>
    <xf numFmtId="14" fontId="40" fillId="6" borderId="0" xfId="7" applyNumberFormat="1" applyFont="1" applyFill="1" applyBorder="1" applyAlignment="1" applyProtection="1">
      <alignment horizontal="center" vertical="center"/>
      <protection locked="0"/>
    </xf>
    <xf numFmtId="0" fontId="53" fillId="0" borderId="0" xfId="7" applyNumberFormat="1" applyFont="1" applyFill="1" applyBorder="1" applyAlignment="1" applyProtection="1">
      <alignment vertical="center"/>
    </xf>
    <xf numFmtId="0" fontId="3" fillId="6" borderId="0" xfId="0" applyFont="1" applyFill="1" applyAlignment="1" applyProtection="1">
      <alignment vertical="justify" wrapText="1"/>
    </xf>
    <xf numFmtId="0" fontId="4" fillId="6" borderId="0" xfId="0" applyFont="1" applyFill="1" applyAlignment="1" applyProtection="1">
      <alignment vertical="justify"/>
    </xf>
    <xf numFmtId="0" fontId="40" fillId="6" borderId="0" xfId="7" applyFont="1" applyFill="1" applyBorder="1" applyAlignment="1" applyProtection="1">
      <alignment vertical="center"/>
      <protection locked="0"/>
    </xf>
    <xf numFmtId="0" fontId="6" fillId="6" borderId="0" xfId="6" applyFont="1" applyFill="1" applyProtection="1"/>
    <xf numFmtId="0" fontId="6" fillId="6" borderId="0" xfId="6" applyFont="1" applyFill="1" applyBorder="1" applyProtection="1"/>
    <xf numFmtId="0" fontId="61" fillId="6" borderId="0" xfId="6" applyFont="1" applyFill="1" applyProtection="1"/>
    <xf numFmtId="0" fontId="40" fillId="6" borderId="0" xfId="6" applyFont="1" applyFill="1" applyBorder="1" applyAlignment="1" applyProtection="1">
      <alignment vertical="center"/>
    </xf>
    <xf numFmtId="0" fontId="17" fillId="6" borderId="0" xfId="0" applyNumberFormat="1" applyFont="1" applyFill="1" applyBorder="1"/>
    <xf numFmtId="165" fontId="17" fillId="6" borderId="0" xfId="2" applyNumberFormat="1" applyFont="1" applyFill="1" applyBorder="1" applyAlignment="1" applyProtection="1">
      <alignment horizontal="center" vertical="center"/>
    </xf>
    <xf numFmtId="0" fontId="24" fillId="6" borderId="0" xfId="0" applyFont="1" applyFill="1" applyBorder="1" applyAlignment="1" applyProtection="1">
      <alignment horizontal="left" vertical="center" wrapText="1"/>
    </xf>
    <xf numFmtId="173" fontId="24" fillId="6" borderId="0" xfId="2" applyNumberFormat="1" applyFont="1" applyFill="1" applyBorder="1" applyAlignment="1" applyProtection="1">
      <alignment horizontal="center" vertical="center"/>
    </xf>
    <xf numFmtId="0" fontId="17" fillId="6" borderId="0" xfId="0" applyFont="1" applyFill="1" applyBorder="1" applyAlignment="1" applyProtection="1">
      <alignment vertical="center"/>
    </xf>
    <xf numFmtId="0" fontId="17" fillId="6" borderId="12" xfId="0" applyFont="1" applyFill="1" applyBorder="1" applyAlignment="1" applyProtection="1">
      <alignment horizontal="left"/>
    </xf>
    <xf numFmtId="0" fontId="0" fillId="6" borderId="14" xfId="0" applyFill="1" applyBorder="1"/>
    <xf numFmtId="0" fontId="0" fillId="6" borderId="15" xfId="0" applyFill="1" applyBorder="1"/>
    <xf numFmtId="0" fontId="0" fillId="6" borderId="16" xfId="0" applyFill="1" applyBorder="1"/>
    <xf numFmtId="0" fontId="0" fillId="6" borderId="20" xfId="0" applyFill="1" applyBorder="1"/>
    <xf numFmtId="0" fontId="0" fillId="6" borderId="0" xfId="0" applyFill="1" applyBorder="1"/>
    <xf numFmtId="0" fontId="0" fillId="6" borderId="21" xfId="0" applyFill="1" applyBorder="1"/>
    <xf numFmtId="0" fontId="0" fillId="6" borderId="17" xfId="0" applyFill="1" applyBorder="1"/>
    <xf numFmtId="0" fontId="0" fillId="6" borderId="12" xfId="0" applyFill="1" applyBorder="1"/>
    <xf numFmtId="0" fontId="0" fillId="6" borderId="18" xfId="0" applyFill="1" applyBorder="1"/>
    <xf numFmtId="0" fontId="26" fillId="6" borderId="0" xfId="0" applyFont="1" applyFill="1" applyBorder="1" applyAlignment="1">
      <alignment horizontal="center"/>
    </xf>
    <xf numFmtId="0" fontId="26" fillId="6" borderId="0" xfId="0" applyFont="1" applyFill="1" applyBorder="1" applyAlignment="1">
      <alignment wrapText="1"/>
    </xf>
    <xf numFmtId="0" fontId="26" fillId="17" borderId="0" xfId="0" applyFont="1" applyFill="1" applyBorder="1" applyAlignment="1" applyProtection="1">
      <alignment wrapText="1"/>
      <protection locked="0"/>
    </xf>
    <xf numFmtId="0" fontId="26" fillId="17" borderId="12" xfId="0" applyFont="1" applyFill="1" applyBorder="1" applyAlignment="1" applyProtection="1">
      <alignment wrapText="1"/>
      <protection locked="0"/>
    </xf>
    <xf numFmtId="0" fontId="41" fillId="2" borderId="0" xfId="7" applyFont="1" applyFill="1" applyBorder="1" applyAlignment="1" applyProtection="1">
      <alignment horizontal="center" wrapText="1"/>
    </xf>
    <xf numFmtId="0" fontId="40" fillId="2" borderId="0" xfId="7" applyFont="1" applyFill="1" applyBorder="1" applyAlignment="1" applyProtection="1">
      <alignment horizontal="left"/>
    </xf>
    <xf numFmtId="0" fontId="26" fillId="17" borderId="0" xfId="0" applyFont="1" applyFill="1" applyBorder="1" applyAlignment="1" applyProtection="1">
      <alignment horizontal="center"/>
      <protection locked="0"/>
    </xf>
    <xf numFmtId="0" fontId="3" fillId="6" borderId="15" xfId="0" applyFont="1" applyFill="1" applyBorder="1" applyAlignment="1"/>
    <xf numFmtId="10" fontId="40" fillId="14" borderId="21" xfId="7" applyNumberFormat="1" applyFont="1" applyFill="1" applyBorder="1" applyAlignment="1" applyProtection="1">
      <alignment horizontal="center"/>
    </xf>
    <xf numFmtId="0" fontId="40" fillId="14" borderId="21" xfId="7" applyNumberFormat="1" applyFont="1" applyFill="1" applyBorder="1" applyAlignment="1" applyProtection="1">
      <alignment horizontal="center"/>
    </xf>
    <xf numFmtId="49" fontId="40" fillId="14" borderId="18" xfId="7" applyNumberFormat="1" applyFont="1" applyFill="1" applyBorder="1" applyAlignment="1" applyProtection="1">
      <alignment horizontal="center"/>
    </xf>
    <xf numFmtId="49" fontId="40" fillId="14" borderId="12" xfId="7" applyNumberFormat="1" applyFont="1" applyFill="1" applyBorder="1" applyAlignment="1" applyProtection="1">
      <alignment horizontal="center"/>
    </xf>
    <xf numFmtId="0" fontId="40" fillId="14" borderId="0" xfId="7" applyNumberFormat="1" applyFont="1" applyFill="1" applyBorder="1" applyAlignment="1" applyProtection="1">
      <alignment horizontal="right"/>
    </xf>
    <xf numFmtId="10" fontId="40" fillId="14" borderId="0" xfId="9" applyNumberFormat="1" applyFont="1" applyFill="1" applyBorder="1" applyAlignment="1" applyProtection="1">
      <alignment horizontal="center"/>
    </xf>
    <xf numFmtId="2" fontId="40" fillId="17" borderId="0" xfId="7" applyNumberFormat="1" applyFont="1" applyFill="1" applyBorder="1" applyAlignment="1" applyProtection="1">
      <alignment horizontal="center" wrapText="1"/>
      <protection locked="0"/>
    </xf>
    <xf numFmtId="14" fontId="40" fillId="17" borderId="0" xfId="7" applyNumberFormat="1" applyFont="1" applyFill="1" applyBorder="1" applyAlignment="1" applyProtection="1">
      <alignment horizontal="center" wrapText="1"/>
      <protection locked="0"/>
    </xf>
    <xf numFmtId="0" fontId="40" fillId="17" borderId="0" xfId="7" applyFont="1" applyFill="1" applyBorder="1" applyAlignment="1" applyProtection="1">
      <alignment horizontal="center" wrapText="1"/>
      <protection locked="0"/>
    </xf>
    <xf numFmtId="173" fontId="4" fillId="17" borderId="12" xfId="2" applyNumberFormat="1" applyFont="1" applyFill="1" applyBorder="1" applyAlignment="1" applyProtection="1">
      <alignment horizontal="center"/>
      <protection locked="0"/>
    </xf>
    <xf numFmtId="0" fontId="26" fillId="6" borderId="20" xfId="0" applyFont="1" applyFill="1" applyBorder="1" applyProtection="1">
      <protection locked="0"/>
    </xf>
    <xf numFmtId="0" fontId="26" fillId="6" borderId="20" xfId="0" applyFont="1" applyFill="1" applyBorder="1" applyAlignment="1" applyProtection="1">
      <alignment horizontal="center" vertical="center"/>
      <protection locked="0"/>
    </xf>
    <xf numFmtId="0" fontId="26" fillId="6" borderId="20" xfId="0" applyFont="1" applyFill="1" applyBorder="1" applyAlignment="1" applyProtection="1">
      <alignment horizontal="center"/>
      <protection locked="0"/>
    </xf>
    <xf numFmtId="0" fontId="26" fillId="6" borderId="17" xfId="0" applyFont="1" applyFill="1" applyBorder="1" applyProtection="1">
      <protection locked="0"/>
    </xf>
    <xf numFmtId="0" fontId="26" fillId="17" borderId="0" xfId="0" applyFont="1" applyFill="1" applyBorder="1" applyAlignment="1" applyProtection="1">
      <alignment vertical="center"/>
      <protection locked="0"/>
    </xf>
    <xf numFmtId="0" fontId="26" fillId="17" borderId="0" xfId="0" applyFont="1" applyFill="1" applyBorder="1" applyAlignment="1" applyProtection="1">
      <protection locked="0"/>
    </xf>
    <xf numFmtId="0" fontId="12" fillId="6" borderId="0" xfId="0" applyFont="1" applyFill="1" applyBorder="1" applyAlignment="1" applyProtection="1">
      <alignment horizontal="center"/>
    </xf>
    <xf numFmtId="173" fontId="17" fillId="6" borderId="0" xfId="2" applyNumberFormat="1" applyFont="1" applyFill="1" applyBorder="1" applyAlignment="1" applyProtection="1">
      <alignment horizontal="center"/>
      <protection locked="0"/>
    </xf>
    <xf numFmtId="0" fontId="0" fillId="6" borderId="0" xfId="0" applyFill="1"/>
    <xf numFmtId="0" fontId="17" fillId="6" borderId="0" xfId="0" applyFont="1" applyFill="1"/>
    <xf numFmtId="14" fontId="17" fillId="6" borderId="0" xfId="0" applyNumberFormat="1" applyFont="1" applyFill="1"/>
    <xf numFmtId="14" fontId="0" fillId="6" borderId="0" xfId="0" applyNumberFormat="1" applyFill="1"/>
    <xf numFmtId="0" fontId="26" fillId="24" borderId="0" xfId="0" applyFont="1" applyFill="1"/>
    <xf numFmtId="0" fontId="36" fillId="24" borderId="0" xfId="0" applyFont="1" applyFill="1" applyBorder="1" applyAlignment="1">
      <alignment vertical="center"/>
    </xf>
    <xf numFmtId="0" fontId="26" fillId="24" borderId="0" xfId="0" applyFont="1" applyFill="1" applyAlignment="1"/>
    <xf numFmtId="0" fontId="26" fillId="24" borderId="20" xfId="0" applyFont="1" applyFill="1" applyBorder="1" applyAlignment="1"/>
    <xf numFmtId="0" fontId="26" fillId="24" borderId="0" xfId="0" applyFont="1" applyFill="1" applyBorder="1" applyAlignment="1"/>
    <xf numFmtId="0" fontId="26" fillId="24" borderId="0" xfId="0" applyFont="1" applyFill="1" applyBorder="1"/>
    <xf numFmtId="0" fontId="26" fillId="24" borderId="21" xfId="0" applyFont="1" applyFill="1" applyBorder="1"/>
    <xf numFmtId="49" fontId="4" fillId="26" borderId="0" xfId="7" applyNumberFormat="1" applyFont="1" applyFill="1" applyBorder="1" applyProtection="1"/>
    <xf numFmtId="49" fontId="4" fillId="26" borderId="0" xfId="7" applyNumberFormat="1" applyFont="1" applyFill="1" applyBorder="1" applyAlignment="1" applyProtection="1"/>
    <xf numFmtId="0" fontId="4" fillId="26" borderId="0" xfId="7" applyNumberFormat="1" applyFont="1" applyFill="1" applyBorder="1" applyAlignment="1" applyProtection="1">
      <alignment vertical="center"/>
    </xf>
    <xf numFmtId="0" fontId="4" fillId="24" borderId="0" xfId="7" applyFont="1" applyFill="1" applyBorder="1" applyAlignment="1" applyProtection="1"/>
    <xf numFmtId="49" fontId="4" fillId="24" borderId="0" xfId="7" applyNumberFormat="1" applyFont="1" applyFill="1" applyBorder="1" applyProtection="1"/>
    <xf numFmtId="0" fontId="4" fillId="26" borderId="0" xfId="7" applyNumberFormat="1" applyFont="1" applyFill="1" applyBorder="1" applyAlignment="1" applyProtection="1">
      <alignment horizontal="center" vertical="center"/>
    </xf>
    <xf numFmtId="49" fontId="4" fillId="27" borderId="0" xfId="7" applyNumberFormat="1" applyFont="1" applyFill="1" applyBorder="1" applyProtection="1"/>
    <xf numFmtId="0" fontId="26" fillId="24" borderId="20" xfId="0" applyFont="1" applyFill="1" applyBorder="1"/>
    <xf numFmtId="0" fontId="26" fillId="24" borderId="17" xfId="0" applyFont="1" applyFill="1" applyBorder="1"/>
    <xf numFmtId="0" fontId="26" fillId="24" borderId="12" xfId="0" applyFont="1" applyFill="1" applyBorder="1"/>
    <xf numFmtId="0" fontId="26" fillId="24" borderId="18" xfId="0" applyFont="1" applyFill="1" applyBorder="1"/>
    <xf numFmtId="0" fontId="26" fillId="24" borderId="14" xfId="0" applyFont="1" applyFill="1" applyBorder="1"/>
    <xf numFmtId="0" fontId="26" fillId="24" borderId="16" xfId="0" applyFont="1" applyFill="1" applyBorder="1"/>
    <xf numFmtId="0" fontId="37" fillId="24" borderId="0" xfId="0" applyFont="1" applyFill="1" applyBorder="1" applyAlignment="1"/>
    <xf numFmtId="0" fontId="26" fillId="24" borderId="21" xfId="0" applyFont="1" applyFill="1" applyBorder="1" applyAlignment="1"/>
    <xf numFmtId="0" fontId="26" fillId="24" borderId="15" xfId="0" applyFont="1" applyFill="1" applyBorder="1" applyAlignment="1"/>
    <xf numFmtId="0" fontId="40" fillId="28" borderId="20" xfId="0" applyFont="1" applyFill="1" applyBorder="1" applyAlignment="1">
      <alignment horizontal="center" vertical="center"/>
    </xf>
    <xf numFmtId="0" fontId="40" fillId="24" borderId="20" xfId="0" applyFont="1" applyFill="1" applyBorder="1" applyAlignment="1">
      <alignment horizontal="center" vertical="center"/>
    </xf>
    <xf numFmtId="0" fontId="26" fillId="28" borderId="20" xfId="0" applyFont="1" applyFill="1" applyBorder="1" applyAlignment="1">
      <alignment horizontal="center" vertical="center"/>
    </xf>
    <xf numFmtId="0" fontId="26" fillId="24" borderId="20" xfId="0" applyFont="1" applyFill="1" applyBorder="1" applyAlignment="1">
      <alignment horizontal="center" vertical="center"/>
    </xf>
    <xf numFmtId="0" fontId="18" fillId="14" borderId="0" xfId="0" applyFont="1" applyFill="1" applyBorder="1"/>
    <xf numFmtId="165" fontId="16" fillId="14" borderId="21" xfId="2" applyFont="1" applyFill="1" applyBorder="1" applyAlignment="1">
      <alignment horizontal="center" wrapText="1"/>
    </xf>
    <xf numFmtId="166" fontId="17" fillId="6" borderId="15" xfId="2" applyNumberFormat="1" applyFont="1" applyFill="1" applyBorder="1" applyAlignment="1" applyProtection="1">
      <alignment horizontal="right" vertical="center" wrapText="1" indent="1"/>
    </xf>
    <xf numFmtId="166" fontId="17" fillId="6" borderId="0" xfId="2" applyNumberFormat="1" applyFont="1" applyFill="1" applyBorder="1" applyAlignment="1" applyProtection="1">
      <alignment horizontal="right" vertical="center" wrapText="1"/>
    </xf>
    <xf numFmtId="165" fontId="17" fillId="6" borderId="0" xfId="5" applyNumberFormat="1" applyFont="1" applyFill="1" applyBorder="1" applyAlignment="1" applyProtection="1">
      <alignment horizontal="right" vertical="center" wrapText="1"/>
    </xf>
    <xf numFmtId="165" fontId="16" fillId="6" borderId="0" xfId="2" applyFont="1" applyFill="1" applyBorder="1" applyAlignment="1" applyProtection="1">
      <alignment horizontal="center" vertical="center" wrapText="1"/>
    </xf>
    <xf numFmtId="10" fontId="16" fillId="6" borderId="12" xfId="9" applyNumberFormat="1" applyFont="1" applyFill="1" applyBorder="1" applyAlignment="1" applyProtection="1">
      <alignment horizontal="right" vertical="center" wrapText="1"/>
    </xf>
    <xf numFmtId="0" fontId="4" fillId="0" borderId="20" xfId="0" applyFont="1" applyFill="1" applyBorder="1" applyAlignment="1" applyProtection="1">
      <alignment horizontal="left" vertical="center" wrapText="1"/>
    </xf>
    <xf numFmtId="0" fontId="17" fillId="0" borderId="20" xfId="0" applyFont="1" applyBorder="1" applyProtection="1"/>
    <xf numFmtId="0" fontId="17" fillId="7" borderId="0" xfId="0" applyFont="1" applyFill="1" applyAlignment="1">
      <alignment horizontal="center"/>
    </xf>
    <xf numFmtId="0" fontId="17" fillId="6" borderId="0" xfId="0" applyFont="1" applyFill="1" applyAlignment="1">
      <alignment vertical="center" wrapText="1"/>
    </xf>
    <xf numFmtId="14" fontId="17" fillId="6" borderId="0" xfId="0" applyNumberFormat="1" applyFont="1" applyFill="1" applyAlignment="1">
      <alignment vertical="center"/>
    </xf>
    <xf numFmtId="0" fontId="17" fillId="7" borderId="0" xfId="0" applyFont="1" applyFill="1" applyAlignment="1">
      <alignment horizontal="center" vertical="center"/>
    </xf>
    <xf numFmtId="0" fontId="17" fillId="6" borderId="2" xfId="0" applyFont="1" applyFill="1" applyBorder="1" applyAlignment="1">
      <alignment vertical="center"/>
    </xf>
    <xf numFmtId="14" fontId="17" fillId="6" borderId="2" xfId="0" applyNumberFormat="1" applyFont="1" applyFill="1" applyBorder="1" applyAlignment="1">
      <alignment vertical="center"/>
    </xf>
    <xf numFmtId="166" fontId="17" fillId="6" borderId="2" xfId="2" applyNumberFormat="1" applyFont="1" applyFill="1" applyBorder="1" applyAlignment="1">
      <alignment vertical="center"/>
    </xf>
    <xf numFmtId="166" fontId="17" fillId="6" borderId="2" xfId="0" applyNumberFormat="1" applyFont="1" applyFill="1" applyBorder="1" applyAlignment="1">
      <alignment vertical="center"/>
    </xf>
    <xf numFmtId="0" fontId="17" fillId="0" borderId="2" xfId="0" applyFont="1" applyFill="1" applyBorder="1" applyAlignment="1">
      <alignment vertical="center"/>
    </xf>
    <xf numFmtId="170" fontId="17" fillId="0" borderId="2" xfId="0" applyNumberFormat="1" applyFont="1" applyFill="1" applyBorder="1" applyAlignment="1">
      <alignment vertical="center"/>
    </xf>
    <xf numFmtId="165" fontId="17" fillId="6" borderId="0" xfId="2" applyFont="1" applyFill="1" applyBorder="1" applyAlignment="1">
      <alignment vertical="center"/>
    </xf>
    <xf numFmtId="166" fontId="17" fillId="6" borderId="0" xfId="0" applyNumberFormat="1" applyFont="1" applyFill="1" applyAlignment="1">
      <alignment vertical="center"/>
    </xf>
    <xf numFmtId="173" fontId="17" fillId="6" borderId="0" xfId="2" applyNumberFormat="1" applyFont="1" applyFill="1" applyAlignment="1">
      <alignment vertical="center"/>
    </xf>
    <xf numFmtId="0" fontId="3" fillId="6" borderId="0" xfId="0" applyFont="1" applyFill="1"/>
    <xf numFmtId="0" fontId="40" fillId="14" borderId="0" xfId="7" applyNumberFormat="1" applyFont="1" applyFill="1" applyBorder="1" applyAlignment="1" applyProtection="1">
      <alignment horizontal="center"/>
    </xf>
    <xf numFmtId="169" fontId="40" fillId="6" borderId="0" xfId="7" applyNumberFormat="1" applyFont="1" applyFill="1" applyBorder="1" applyAlignment="1" applyProtection="1">
      <alignment horizontal="center" vertical="center" wrapText="1"/>
    </xf>
    <xf numFmtId="0" fontId="40" fillId="15" borderId="0" xfId="7" applyNumberFormat="1" applyFont="1" applyFill="1" applyBorder="1" applyAlignment="1" applyProtection="1">
      <alignment horizontal="center" vertical="center"/>
    </xf>
    <xf numFmtId="0" fontId="41" fillId="0" borderId="0" xfId="7" applyNumberFormat="1" applyFont="1" applyFill="1" applyBorder="1" applyAlignment="1" applyProtection="1">
      <alignment horizontal="center" vertical="center" wrapText="1"/>
    </xf>
    <xf numFmtId="0" fontId="41" fillId="0" borderId="21" xfId="7" applyNumberFormat="1" applyFont="1" applyFill="1" applyBorder="1" applyAlignment="1" applyProtection="1">
      <alignment horizontal="center" vertical="center" wrapText="1"/>
    </xf>
    <xf numFmtId="1" fontId="49" fillId="6" borderId="0" xfId="7" applyNumberFormat="1" applyFont="1" applyFill="1" applyBorder="1" applyAlignment="1" applyProtection="1">
      <alignment horizontal="center" vertical="center"/>
    </xf>
    <xf numFmtId="0" fontId="41" fillId="6" borderId="0" xfId="7" applyFont="1" applyFill="1" applyBorder="1" applyAlignment="1" applyProtection="1">
      <alignment horizontal="center" wrapText="1"/>
    </xf>
    <xf numFmtId="49" fontId="3" fillId="15" borderId="0" xfId="7" applyNumberFormat="1" applyFont="1" applyFill="1" applyBorder="1" applyAlignment="1" applyProtection="1"/>
    <xf numFmtId="0" fontId="41" fillId="15" borderId="0" xfId="7" applyNumberFormat="1" applyFont="1" applyFill="1" applyBorder="1" applyAlignment="1" applyProtection="1">
      <alignment horizontal="center" vertical="center"/>
    </xf>
    <xf numFmtId="0" fontId="40" fillId="3" borderId="8" xfId="7" applyNumberFormat="1" applyFont="1" applyFill="1" applyBorder="1" applyAlignment="1" applyProtection="1">
      <alignment horizontal="center" vertical="center"/>
    </xf>
    <xf numFmtId="0" fontId="53" fillId="6" borderId="0" xfId="7" applyFont="1" applyFill="1" applyBorder="1" applyAlignment="1" applyProtection="1">
      <alignment horizontal="center" vertical="top"/>
    </xf>
    <xf numFmtId="0" fontId="53" fillId="6" borderId="0" xfId="7" applyFont="1" applyFill="1" applyBorder="1" applyAlignment="1" applyProtection="1">
      <alignment horizontal="center" vertical="top" wrapText="1"/>
    </xf>
    <xf numFmtId="0" fontId="50" fillId="6" borderId="0" xfId="7" applyFont="1" applyFill="1" applyBorder="1" applyAlignment="1" applyProtection="1">
      <alignment vertical="top"/>
    </xf>
    <xf numFmtId="0" fontId="53" fillId="6" borderId="0" xfId="7" applyFont="1" applyFill="1" applyBorder="1" applyAlignment="1" applyProtection="1">
      <alignment horizontal="center" vertical="top"/>
      <protection locked="0"/>
    </xf>
    <xf numFmtId="0" fontId="41" fillId="6" borderId="0" xfId="7" applyNumberFormat="1" applyFont="1" applyFill="1" applyBorder="1" applyProtection="1"/>
    <xf numFmtId="10" fontId="41" fillId="14" borderId="0" xfId="9" applyNumberFormat="1" applyFont="1" applyFill="1" applyBorder="1" applyAlignment="1" applyProtection="1">
      <alignment horizontal="center"/>
    </xf>
    <xf numFmtId="10" fontId="40" fillId="15" borderId="0" xfId="7" applyNumberFormat="1" applyFont="1" applyFill="1" applyBorder="1" applyAlignment="1" applyProtection="1">
      <alignment horizontal="center" vertical="center"/>
    </xf>
    <xf numFmtId="0" fontId="40" fillId="0" borderId="8" xfId="7" applyNumberFormat="1" applyFont="1" applyFill="1" applyBorder="1" applyProtection="1"/>
    <xf numFmtId="0" fontId="40" fillId="6" borderId="0" xfId="7" applyFont="1" applyFill="1" applyBorder="1" applyAlignment="1" applyProtection="1">
      <alignment horizontal="center" vertical="center"/>
      <protection locked="0"/>
    </xf>
    <xf numFmtId="49" fontId="49" fillId="17" borderId="0" xfId="7" applyNumberFormat="1" applyFont="1" applyFill="1" applyBorder="1" applyAlignment="1" applyProtection="1">
      <alignment horizontal="center" vertical="center"/>
      <protection locked="0"/>
    </xf>
    <xf numFmtId="0" fontId="18" fillId="6" borderId="0" xfId="0" applyFont="1" applyFill="1" applyBorder="1"/>
    <xf numFmtId="0" fontId="49" fillId="0" borderId="0" xfId="7" applyFont="1" applyFill="1" applyProtection="1"/>
    <xf numFmtId="14" fontId="18" fillId="6" borderId="7" xfId="0" applyNumberFormat="1" applyFont="1" applyFill="1" applyBorder="1" applyAlignment="1" applyProtection="1">
      <alignment horizontal="center"/>
    </xf>
    <xf numFmtId="0" fontId="17" fillId="6" borderId="18" xfId="0" applyFont="1" applyFill="1" applyBorder="1" applyAlignment="1" applyProtection="1"/>
    <xf numFmtId="10" fontId="41" fillId="14" borderId="0" xfId="9" applyNumberFormat="1" applyFont="1" applyFill="1" applyBorder="1" applyAlignment="1" applyProtection="1">
      <alignment horizontal="center" vertical="center"/>
    </xf>
    <xf numFmtId="0" fontId="0" fillId="0" borderId="0" xfId="0" applyFont="1"/>
    <xf numFmtId="0" fontId="64" fillId="0" borderId="0" xfId="0" applyFont="1"/>
    <xf numFmtId="0" fontId="0" fillId="0" borderId="0" xfId="0" applyFont="1" applyAlignment="1">
      <alignment wrapText="1"/>
    </xf>
    <xf numFmtId="0" fontId="49" fillId="0" borderId="0" xfId="7" applyFont="1" applyBorder="1" applyProtection="1"/>
    <xf numFmtId="49" fontId="40" fillId="2" borderId="0" xfId="0" applyNumberFormat="1" applyFont="1" applyFill="1" applyBorder="1" applyAlignment="1" applyProtection="1">
      <alignment horizontal="center" vertical="center"/>
    </xf>
    <xf numFmtId="49" fontId="40" fillId="0" borderId="0" xfId="0" applyNumberFormat="1" applyFont="1" applyFill="1" applyBorder="1" applyAlignment="1" applyProtection="1">
      <alignment horizontal="center" vertical="center"/>
      <protection locked="0"/>
    </xf>
    <xf numFmtId="0" fontId="26" fillId="0" borderId="0" xfId="0" applyFont="1" applyFill="1"/>
    <xf numFmtId="14" fontId="17" fillId="29" borderId="0" xfId="0" applyNumberFormat="1" applyFont="1" applyFill="1" applyAlignment="1">
      <alignment horizontal="left"/>
    </xf>
    <xf numFmtId="0" fontId="62" fillId="29" borderId="0" xfId="0" applyFont="1" applyFill="1"/>
    <xf numFmtId="173" fontId="49" fillId="6" borderId="0" xfId="2" applyNumberFormat="1" applyFont="1" applyFill="1" applyBorder="1" applyAlignment="1" applyProtection="1">
      <alignment horizontal="right" vertical="center"/>
    </xf>
    <xf numFmtId="173" fontId="49" fillId="6" borderId="0" xfId="2" applyNumberFormat="1" applyFont="1" applyFill="1" applyBorder="1" applyAlignment="1" applyProtection="1">
      <alignment vertical="center"/>
    </xf>
    <xf numFmtId="0" fontId="49" fillId="14" borderId="0" xfId="7" applyFont="1" applyFill="1" applyAlignment="1" applyProtection="1">
      <alignment horizontal="center" vertical="center"/>
    </xf>
    <xf numFmtId="2" fontId="49" fillId="17" borderId="0" xfId="2" applyNumberFormat="1" applyFont="1" applyFill="1" applyBorder="1" applyAlignment="1" applyProtection="1">
      <alignment horizontal="right"/>
      <protection locked="0"/>
    </xf>
    <xf numFmtId="2" fontId="49" fillId="0" borderId="0" xfId="2" applyNumberFormat="1" applyFont="1" applyFill="1" applyBorder="1" applyAlignment="1" applyProtection="1">
      <alignment horizontal="right"/>
      <protection locked="0"/>
    </xf>
    <xf numFmtId="173" fontId="40" fillId="0" borderId="0" xfId="2" applyNumberFormat="1" applyFont="1" applyFill="1" applyBorder="1" applyAlignment="1" applyProtection="1">
      <alignment vertical="center"/>
    </xf>
    <xf numFmtId="2" fontId="49" fillId="0" borderId="0" xfId="2" applyNumberFormat="1" applyFont="1" applyFill="1" applyBorder="1" applyAlignment="1" applyProtection="1">
      <alignment vertical="center"/>
      <protection locked="0"/>
    </xf>
    <xf numFmtId="173" fontId="40" fillId="0" borderId="0" xfId="2" applyNumberFormat="1" applyFont="1" applyFill="1" applyBorder="1" applyAlignment="1" applyProtection="1"/>
    <xf numFmtId="173" fontId="49" fillId="0" borderId="0" xfId="2" applyNumberFormat="1" applyFont="1" applyFill="1" applyBorder="1" applyAlignment="1" applyProtection="1">
      <alignment vertical="center"/>
    </xf>
    <xf numFmtId="0" fontId="49" fillId="0" borderId="0" xfId="7" applyFont="1" applyFill="1" applyBorder="1" applyAlignment="1" applyProtection="1">
      <alignment horizontal="center" vertical="center"/>
    </xf>
    <xf numFmtId="0" fontId="49" fillId="2" borderId="0" xfId="7" applyFont="1" applyFill="1" applyBorder="1" applyAlignment="1" applyProtection="1">
      <alignment horizontal="center" vertical="center"/>
    </xf>
    <xf numFmtId="0" fontId="33" fillId="6" borderId="0" xfId="0" applyFont="1" applyFill="1" applyAlignment="1">
      <alignment horizontal="center"/>
    </xf>
    <xf numFmtId="0" fontId="57" fillId="6" borderId="22" xfId="0" applyFont="1" applyFill="1" applyBorder="1" applyAlignment="1">
      <alignment horizontal="center"/>
    </xf>
    <xf numFmtId="0" fontId="57" fillId="6" borderId="23" xfId="0" applyFont="1" applyFill="1" applyBorder="1" applyAlignment="1">
      <alignment horizontal="center"/>
    </xf>
    <xf numFmtId="0" fontId="57" fillId="6" borderId="24" xfId="0" applyFont="1" applyFill="1" applyBorder="1" applyAlignment="1">
      <alignment horizontal="center"/>
    </xf>
    <xf numFmtId="0" fontId="32" fillId="19" borderId="4" xfId="0" applyFont="1" applyFill="1" applyBorder="1" applyAlignment="1">
      <alignment horizontal="center"/>
    </xf>
    <xf numFmtId="0" fontId="32" fillId="19" borderId="5" xfId="0" applyFont="1" applyFill="1" applyBorder="1" applyAlignment="1">
      <alignment horizontal="center"/>
    </xf>
    <xf numFmtId="0" fontId="32" fillId="19" borderId="6" xfId="0" applyFont="1" applyFill="1" applyBorder="1" applyAlignment="1">
      <alignment horizontal="center"/>
    </xf>
    <xf numFmtId="0" fontId="17" fillId="17" borderId="58" xfId="0" applyFont="1" applyFill="1" applyBorder="1" applyAlignment="1" applyProtection="1">
      <alignment horizontal="center"/>
      <protection locked="0"/>
    </xf>
    <xf numFmtId="0" fontId="17" fillId="17" borderId="59" xfId="0" applyFont="1" applyFill="1" applyBorder="1" applyAlignment="1" applyProtection="1">
      <alignment horizontal="center"/>
      <protection locked="0"/>
    </xf>
    <xf numFmtId="0" fontId="17" fillId="17" borderId="60" xfId="0" applyFont="1" applyFill="1" applyBorder="1" applyAlignment="1" applyProtection="1">
      <alignment horizontal="center"/>
      <protection locked="0"/>
    </xf>
    <xf numFmtId="0" fontId="41" fillId="6" borderId="0" xfId="0" applyFont="1" applyFill="1" applyBorder="1" applyAlignment="1">
      <alignment horizontal="center" vertical="center" wrapText="1"/>
    </xf>
    <xf numFmtId="0" fontId="12" fillId="6" borderId="0" xfId="0" applyFont="1" applyFill="1" applyBorder="1" applyAlignment="1">
      <alignment horizontal="center"/>
    </xf>
    <xf numFmtId="0" fontId="6" fillId="17" borderId="0" xfId="6" applyFont="1" applyFill="1" applyBorder="1" applyAlignment="1" applyProtection="1">
      <alignment horizontal="center"/>
      <protection locked="0"/>
    </xf>
    <xf numFmtId="0" fontId="26" fillId="17" borderId="0" xfId="0" applyFont="1" applyFill="1" applyBorder="1" applyAlignment="1" applyProtection="1">
      <alignment horizontal="center"/>
      <protection locked="0"/>
    </xf>
    <xf numFmtId="0" fontId="26" fillId="17" borderId="0" xfId="0" quotePrefix="1" applyFont="1" applyFill="1" applyBorder="1" applyAlignment="1" applyProtection="1">
      <alignment horizontal="center"/>
      <protection locked="0"/>
    </xf>
    <xf numFmtId="0" fontId="26" fillId="17" borderId="0" xfId="0" applyFont="1" applyFill="1" applyBorder="1" applyAlignment="1" applyProtection="1">
      <alignment horizontal="center" vertical="center" wrapText="1"/>
      <protection locked="0"/>
    </xf>
    <xf numFmtId="0" fontId="26" fillId="17" borderId="0" xfId="0" applyFont="1" applyFill="1" applyBorder="1" applyAlignment="1" applyProtection="1">
      <alignment horizontal="center" vertical="center"/>
      <protection locked="0"/>
    </xf>
    <xf numFmtId="0" fontId="37" fillId="6" borderId="0" xfId="0" applyFont="1" applyFill="1" applyBorder="1" applyAlignment="1">
      <alignment horizontal="center"/>
    </xf>
    <xf numFmtId="0" fontId="26" fillId="6" borderId="0" xfId="0" applyFont="1" applyFill="1" applyBorder="1" applyAlignment="1">
      <alignment horizontal="center"/>
    </xf>
    <xf numFmtId="0" fontId="26" fillId="6" borderId="20" xfId="0" applyFont="1" applyFill="1" applyBorder="1" applyAlignment="1">
      <alignment horizontal="center"/>
    </xf>
    <xf numFmtId="0" fontId="26" fillId="6" borderId="21" xfId="0" applyFont="1" applyFill="1" applyBorder="1" applyAlignment="1">
      <alignment horizontal="center"/>
    </xf>
    <xf numFmtId="0" fontId="17" fillId="17" borderId="0" xfId="0" applyFont="1" applyFill="1" applyBorder="1" applyAlignment="1" applyProtection="1">
      <alignment horizontal="center"/>
      <protection locked="0"/>
    </xf>
    <xf numFmtId="0" fontId="49" fillId="17" borderId="0" xfId="7" applyNumberFormat="1" applyFont="1" applyFill="1" applyBorder="1" applyAlignment="1" applyProtection="1">
      <alignment horizontal="center" vertical="center"/>
      <protection locked="0"/>
    </xf>
    <xf numFmtId="0" fontId="40" fillId="17" borderId="0" xfId="7" applyNumberFormat="1" applyFont="1" applyFill="1" applyBorder="1" applyAlignment="1" applyProtection="1">
      <alignment horizontal="center" vertical="center"/>
      <protection locked="0"/>
    </xf>
    <xf numFmtId="1" fontId="40" fillId="17" borderId="0" xfId="7" applyNumberFormat="1" applyFont="1" applyFill="1" applyBorder="1" applyAlignment="1" applyProtection="1">
      <alignment horizontal="center" vertical="center"/>
      <protection locked="0"/>
    </xf>
    <xf numFmtId="0" fontId="17" fillId="6" borderId="0" xfId="0" applyFont="1" applyFill="1" applyAlignment="1">
      <alignment horizontal="left"/>
    </xf>
    <xf numFmtId="0" fontId="52" fillId="19" borderId="13" xfId="7" applyFont="1" applyFill="1" applyBorder="1" applyAlignment="1" applyProtection="1">
      <alignment horizontal="center" vertical="center"/>
    </xf>
    <xf numFmtId="0" fontId="52" fillId="19" borderId="19" xfId="7" applyFont="1" applyFill="1" applyBorder="1" applyAlignment="1" applyProtection="1">
      <alignment horizontal="center" vertical="center"/>
    </xf>
    <xf numFmtId="0" fontId="52" fillId="19" borderId="1" xfId="7" applyFont="1" applyFill="1" applyBorder="1" applyAlignment="1" applyProtection="1">
      <alignment horizontal="center" vertical="center"/>
    </xf>
    <xf numFmtId="0" fontId="26" fillId="6" borderId="0" xfId="0" applyFont="1" applyFill="1" applyBorder="1" applyAlignment="1">
      <alignment horizontal="center" vertical="center"/>
    </xf>
    <xf numFmtId="0" fontId="37" fillId="17" borderId="0" xfId="0" applyFont="1" applyFill="1" applyBorder="1" applyAlignment="1" applyProtection="1">
      <alignment horizontal="center"/>
      <protection locked="0"/>
    </xf>
    <xf numFmtId="0" fontId="49" fillId="6" borderId="0" xfId="7" applyNumberFormat="1" applyFont="1" applyFill="1" applyBorder="1" applyAlignment="1" applyProtection="1">
      <alignment horizontal="center"/>
    </xf>
    <xf numFmtId="0" fontId="3" fillId="2" borderId="0" xfId="7" applyNumberFormat="1" applyFont="1" applyFill="1" applyBorder="1" applyAlignment="1" applyProtection="1">
      <alignment horizontal="center" wrapText="1"/>
    </xf>
    <xf numFmtId="0" fontId="3" fillId="2" borderId="0" xfId="7" applyNumberFormat="1" applyFont="1" applyFill="1" applyBorder="1" applyAlignment="1" applyProtection="1">
      <alignment horizontal="center"/>
    </xf>
    <xf numFmtId="49" fontId="3" fillId="17" borderId="0" xfId="7" applyNumberFormat="1" applyFont="1" applyFill="1" applyBorder="1" applyAlignment="1" applyProtection="1">
      <alignment horizontal="center"/>
      <protection locked="0"/>
    </xf>
    <xf numFmtId="0" fontId="26" fillId="6" borderId="14" xfId="0" applyFont="1" applyFill="1" applyBorder="1" applyAlignment="1">
      <alignment horizontal="center"/>
    </xf>
    <xf numFmtId="0" fontId="26" fillId="6" borderId="15" xfId="0" applyFont="1" applyFill="1" applyBorder="1" applyAlignment="1">
      <alignment horizontal="center"/>
    </xf>
    <xf numFmtId="0" fontId="26" fillId="6" borderId="16" xfId="0" applyFont="1" applyFill="1" applyBorder="1" applyAlignment="1">
      <alignment horizontal="center"/>
    </xf>
    <xf numFmtId="0" fontId="26" fillId="17" borderId="0" xfId="0" applyFont="1" applyFill="1" applyBorder="1" applyAlignment="1">
      <alignment horizontal="center"/>
    </xf>
    <xf numFmtId="0" fontId="26" fillId="6" borderId="17" xfId="0" applyFont="1" applyFill="1" applyBorder="1" applyAlignment="1">
      <alignment horizontal="center"/>
    </xf>
    <xf numFmtId="0" fontId="26" fillId="6" borderId="12" xfId="0" applyFont="1" applyFill="1" applyBorder="1" applyAlignment="1">
      <alignment horizontal="center"/>
    </xf>
    <xf numFmtId="0" fontId="26" fillId="6" borderId="18" xfId="0" applyFont="1" applyFill="1" applyBorder="1" applyAlignment="1">
      <alignment horizontal="center"/>
    </xf>
    <xf numFmtId="14" fontId="26" fillId="17" borderId="0" xfId="0" applyNumberFormat="1" applyFont="1" applyFill="1" applyBorder="1" applyAlignment="1" applyProtection="1">
      <alignment horizontal="center"/>
      <protection locked="0"/>
    </xf>
    <xf numFmtId="49" fontId="4" fillId="2" borderId="0" xfId="7" applyNumberFormat="1" applyFont="1" applyFill="1" applyBorder="1" applyAlignment="1" applyProtection="1">
      <alignment horizontal="left" vertical="center" wrapText="1"/>
    </xf>
    <xf numFmtId="0" fontId="25" fillId="17" borderId="0" xfId="6" applyFont="1" applyFill="1" applyBorder="1" applyAlignment="1" applyProtection="1">
      <alignment horizontal="center"/>
      <protection locked="0"/>
    </xf>
    <xf numFmtId="0" fontId="37" fillId="17" borderId="0" xfId="0" applyFont="1" applyFill="1" applyAlignment="1" applyProtection="1">
      <alignment horizontal="center"/>
      <protection locked="0"/>
    </xf>
    <xf numFmtId="0" fontId="41" fillId="6" borderId="19" xfId="0" applyFont="1" applyFill="1" applyBorder="1" applyAlignment="1">
      <alignment horizontal="center" vertical="center" wrapText="1"/>
    </xf>
    <xf numFmtId="0" fontId="57" fillId="6" borderId="22" xfId="0" applyFont="1" applyFill="1" applyBorder="1" applyAlignment="1">
      <alignment horizontal="center" vertical="center"/>
    </xf>
    <xf numFmtId="0" fontId="57" fillId="6" borderId="23" xfId="0" applyFont="1" applyFill="1" applyBorder="1" applyAlignment="1">
      <alignment horizontal="center" vertical="center"/>
    </xf>
    <xf numFmtId="0" fontId="57" fillId="6" borderId="24" xfId="0" applyFont="1" applyFill="1" applyBorder="1" applyAlignment="1">
      <alignment horizontal="center" vertical="center"/>
    </xf>
    <xf numFmtId="0" fontId="26" fillId="6"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59" fillId="6" borderId="0" xfId="0" applyFont="1" applyFill="1" applyBorder="1" applyAlignment="1">
      <alignment horizontal="center" vertical="center" wrapText="1"/>
    </xf>
    <xf numFmtId="0" fontId="26" fillId="6" borderId="0" xfId="0" applyFont="1" applyFill="1" applyBorder="1" applyAlignment="1">
      <alignment horizontal="center" wrapText="1"/>
    </xf>
    <xf numFmtId="0" fontId="40" fillId="0" borderId="15" xfId="7" applyNumberFormat="1" applyFont="1" applyFill="1" applyBorder="1" applyAlignment="1" applyProtection="1">
      <alignment horizontal="center"/>
    </xf>
    <xf numFmtId="0" fontId="49" fillId="15" borderId="0" xfId="7" applyNumberFormat="1" applyFont="1" applyFill="1" applyBorder="1" applyAlignment="1" applyProtection="1">
      <alignment horizontal="center"/>
    </xf>
    <xf numFmtId="0" fontId="49" fillId="15" borderId="8" xfId="7" applyNumberFormat="1" applyFont="1" applyFill="1" applyBorder="1" applyAlignment="1" applyProtection="1">
      <alignment horizontal="center"/>
    </xf>
    <xf numFmtId="173" fontId="40" fillId="17" borderId="62" xfId="2" applyNumberFormat="1" applyFont="1" applyFill="1" applyBorder="1" applyAlignment="1" applyProtection="1">
      <alignment horizontal="center" vertical="center"/>
      <protection locked="0"/>
    </xf>
    <xf numFmtId="173" fontId="40" fillId="17" borderId="67" xfId="2" applyNumberFormat="1" applyFont="1" applyFill="1" applyBorder="1" applyAlignment="1" applyProtection="1">
      <alignment horizontal="center" vertical="center"/>
      <protection locked="0"/>
    </xf>
    <xf numFmtId="0" fontId="41" fillId="6" borderId="0" xfId="7" applyFont="1" applyFill="1" applyBorder="1" applyAlignment="1" applyProtection="1">
      <alignment horizontal="center" wrapText="1"/>
    </xf>
    <xf numFmtId="14" fontId="40" fillId="6" borderId="0" xfId="7" applyNumberFormat="1" applyFont="1" applyFill="1" applyBorder="1" applyAlignment="1" applyProtection="1">
      <alignment horizontal="center" vertical="center"/>
    </xf>
    <xf numFmtId="49" fontId="40" fillId="2" borderId="0" xfId="7" applyNumberFormat="1" applyFont="1" applyFill="1" applyBorder="1" applyAlignment="1" applyProtection="1">
      <alignment horizontal="left"/>
    </xf>
    <xf numFmtId="49" fontId="40" fillId="2" borderId="0" xfId="7" applyNumberFormat="1" applyFont="1" applyFill="1" applyBorder="1" applyAlignment="1" applyProtection="1">
      <alignment horizontal="center"/>
    </xf>
    <xf numFmtId="0" fontId="40" fillId="6" borderId="0" xfId="7" applyFont="1" applyFill="1" applyBorder="1" applyAlignment="1" applyProtection="1">
      <alignment horizontal="center" vertical="center"/>
    </xf>
    <xf numFmtId="0" fontId="41" fillId="6" borderId="0" xfId="7" applyFont="1" applyFill="1" applyBorder="1" applyAlignment="1" applyProtection="1">
      <alignment horizontal="center" vertical="center"/>
    </xf>
    <xf numFmtId="49" fontId="40" fillId="2" borderId="20" xfId="7" applyNumberFormat="1" applyFont="1" applyFill="1" applyBorder="1" applyAlignment="1" applyProtection="1">
      <alignment horizontal="center"/>
    </xf>
    <xf numFmtId="49" fontId="40" fillId="2" borderId="21" xfId="7" applyNumberFormat="1" applyFont="1" applyFill="1" applyBorder="1" applyAlignment="1" applyProtection="1">
      <alignment horizontal="center"/>
    </xf>
    <xf numFmtId="173" fontId="40" fillId="17" borderId="0" xfId="2" applyNumberFormat="1" applyFont="1" applyFill="1" applyBorder="1" applyAlignment="1" applyProtection="1">
      <alignment horizontal="center" vertical="center"/>
      <protection locked="0"/>
    </xf>
    <xf numFmtId="169" fontId="40" fillId="6" borderId="0" xfId="7" applyNumberFormat="1" applyFont="1" applyFill="1" applyBorder="1" applyAlignment="1" applyProtection="1">
      <alignment horizontal="center" vertical="center" wrapText="1"/>
    </xf>
    <xf numFmtId="0" fontId="40" fillId="2" borderId="0" xfId="7" applyFont="1" applyFill="1" applyBorder="1" applyAlignment="1" applyProtection="1">
      <alignment horizontal="center" wrapText="1"/>
    </xf>
    <xf numFmtId="0" fontId="45" fillId="2" borderId="0" xfId="6" applyFont="1" applyFill="1" applyBorder="1" applyAlignment="1" applyProtection="1">
      <alignment horizontal="center"/>
    </xf>
    <xf numFmtId="4" fontId="49" fillId="17" borderId="0" xfId="7" applyNumberFormat="1" applyFont="1" applyFill="1" applyBorder="1" applyAlignment="1" applyProtection="1">
      <alignment horizontal="center"/>
      <protection locked="0"/>
    </xf>
    <xf numFmtId="14" fontId="40" fillId="6" borderId="0" xfId="0" applyNumberFormat="1" applyFont="1" applyFill="1" applyBorder="1" applyAlignment="1" applyProtection="1">
      <alignment horizontal="left" vertical="center"/>
    </xf>
    <xf numFmtId="0" fontId="40" fillId="2" borderId="0" xfId="7" applyFont="1" applyFill="1" applyBorder="1" applyAlignment="1" applyProtection="1">
      <alignment horizontal="left"/>
    </xf>
    <xf numFmtId="49" fontId="40" fillId="2" borderId="0" xfId="7" applyNumberFormat="1" applyFont="1" applyFill="1" applyBorder="1" applyAlignment="1" applyProtection="1">
      <alignment horizontal="center" vertical="center" wrapText="1"/>
    </xf>
    <xf numFmtId="0" fontId="40" fillId="2" borderId="0" xfId="7" applyFont="1" applyFill="1" applyBorder="1" applyAlignment="1" applyProtection="1">
      <alignment horizontal="left" vertical="center" wrapText="1"/>
    </xf>
    <xf numFmtId="0" fontId="40" fillId="14" borderId="0" xfId="7" applyNumberFormat="1" applyFont="1" applyFill="1" applyBorder="1" applyAlignment="1" applyProtection="1">
      <alignment horizontal="center" vertical="center"/>
    </xf>
    <xf numFmtId="49" fontId="40" fillId="14" borderId="12" xfId="7" applyNumberFormat="1" applyFont="1" applyFill="1" applyBorder="1" applyAlignment="1" applyProtection="1">
      <alignment horizontal="center"/>
    </xf>
    <xf numFmtId="10" fontId="40" fillId="14" borderId="0" xfId="9" applyNumberFormat="1" applyFont="1" applyFill="1" applyBorder="1" applyAlignment="1" applyProtection="1">
      <alignment horizontal="center"/>
    </xf>
    <xf numFmtId="0" fontId="60" fillId="2" borderId="0" xfId="6" applyFont="1" applyFill="1" applyBorder="1" applyAlignment="1" applyProtection="1">
      <alignment horizontal="center" vertical="center"/>
    </xf>
    <xf numFmtId="14" fontId="40" fillId="17" borderId="64" xfId="7" applyNumberFormat="1" applyFont="1" applyFill="1" applyBorder="1" applyAlignment="1" applyProtection="1">
      <alignment horizontal="center" vertical="center"/>
      <protection locked="0"/>
    </xf>
    <xf numFmtId="14" fontId="40" fillId="17" borderId="65" xfId="7" applyNumberFormat="1" applyFont="1" applyFill="1" applyBorder="1" applyAlignment="1" applyProtection="1">
      <alignment horizontal="center" vertical="center"/>
      <protection locked="0"/>
    </xf>
    <xf numFmtId="14" fontId="40" fillId="17" borderId="62" xfId="7" applyNumberFormat="1" applyFont="1" applyFill="1" applyBorder="1" applyAlignment="1" applyProtection="1">
      <alignment horizontal="center" vertical="center"/>
      <protection locked="0"/>
    </xf>
    <xf numFmtId="14" fontId="40" fillId="17" borderId="67" xfId="7" applyNumberFormat="1" applyFont="1" applyFill="1" applyBorder="1" applyAlignment="1" applyProtection="1">
      <alignment horizontal="center" vertical="center"/>
      <protection locked="0"/>
    </xf>
    <xf numFmtId="173" fontId="40" fillId="17" borderId="64" xfId="2" applyNumberFormat="1" applyFont="1" applyFill="1" applyBorder="1" applyAlignment="1" applyProtection="1">
      <alignment horizontal="center" vertical="center"/>
      <protection locked="0"/>
    </xf>
    <xf numFmtId="173" fontId="40" fillId="17" borderId="65" xfId="2" applyNumberFormat="1" applyFont="1" applyFill="1" applyBorder="1" applyAlignment="1" applyProtection="1">
      <alignment horizontal="center" vertical="center"/>
      <protection locked="0"/>
    </xf>
    <xf numFmtId="14" fontId="40" fillId="17" borderId="64" xfId="7" applyNumberFormat="1" applyFont="1" applyFill="1" applyBorder="1" applyAlignment="1" applyProtection="1">
      <alignment horizontal="center" vertical="center" wrapText="1"/>
      <protection locked="0"/>
    </xf>
    <xf numFmtId="0" fontId="40" fillId="17" borderId="64" xfId="7" applyNumberFormat="1" applyFont="1" applyFill="1" applyBorder="1" applyAlignment="1" applyProtection="1">
      <alignment horizontal="center" vertical="center" wrapText="1"/>
      <protection locked="0"/>
    </xf>
    <xf numFmtId="0" fontId="40" fillId="17" borderId="65" xfId="7" applyNumberFormat="1" applyFont="1" applyFill="1" applyBorder="1" applyAlignment="1" applyProtection="1">
      <alignment horizontal="center" vertical="center" wrapText="1"/>
      <protection locked="0"/>
    </xf>
    <xf numFmtId="0" fontId="40" fillId="6" borderId="63" xfId="7" applyNumberFormat="1" applyFont="1" applyFill="1" applyBorder="1" applyAlignment="1" applyProtection="1">
      <alignment horizontal="center" vertical="center"/>
    </xf>
    <xf numFmtId="0" fontId="40" fillId="6" borderId="64" xfId="7" applyNumberFormat="1" applyFont="1" applyFill="1" applyBorder="1" applyAlignment="1" applyProtection="1">
      <alignment horizontal="center" vertical="center"/>
    </xf>
    <xf numFmtId="0" fontId="40" fillId="6" borderId="66" xfId="7" applyFont="1" applyFill="1" applyBorder="1" applyAlignment="1" applyProtection="1">
      <alignment horizontal="center" vertical="center"/>
    </xf>
    <xf numFmtId="0" fontId="40" fillId="6" borderId="62" xfId="7" applyFont="1" applyFill="1" applyBorder="1" applyAlignment="1" applyProtection="1">
      <alignment horizontal="center" vertical="center"/>
    </xf>
    <xf numFmtId="0" fontId="40" fillId="14" borderId="0" xfId="7" applyNumberFormat="1" applyFont="1" applyFill="1" applyBorder="1" applyAlignment="1" applyProtection="1">
      <alignment horizontal="center" vertical="center" wrapText="1"/>
    </xf>
    <xf numFmtId="0" fontId="49" fillId="17" borderId="0" xfId="6" applyFont="1" applyFill="1" applyBorder="1" applyAlignment="1" applyProtection="1">
      <alignment horizontal="center" vertical="center"/>
      <protection locked="0"/>
    </xf>
    <xf numFmtId="0" fontId="41" fillId="6" borderId="0" xfId="7" applyNumberFormat="1" applyFont="1" applyFill="1" applyBorder="1" applyAlignment="1" applyProtection="1">
      <alignment horizontal="center" wrapText="1"/>
    </xf>
    <xf numFmtId="0" fontId="49" fillId="17" borderId="0" xfId="7" applyFont="1" applyFill="1" applyBorder="1" applyAlignment="1" applyProtection="1">
      <alignment horizontal="center" vertical="center" wrapText="1"/>
      <protection locked="0"/>
    </xf>
    <xf numFmtId="0" fontId="40" fillId="15" borderId="0" xfId="7" applyNumberFormat="1" applyFont="1" applyFill="1" applyBorder="1" applyAlignment="1" applyProtection="1">
      <alignment horizontal="center" vertical="center"/>
    </xf>
    <xf numFmtId="0" fontId="40" fillId="15" borderId="0" xfId="7" applyNumberFormat="1" applyFont="1" applyFill="1" applyBorder="1" applyAlignment="1" applyProtection="1">
      <alignment horizontal="center" vertical="center" wrapText="1"/>
    </xf>
    <xf numFmtId="14" fontId="40" fillId="17" borderId="0" xfId="7" applyNumberFormat="1" applyFont="1" applyFill="1" applyBorder="1" applyAlignment="1" applyProtection="1">
      <alignment horizontal="center" vertical="center"/>
      <protection locked="0"/>
    </xf>
    <xf numFmtId="0" fontId="40" fillId="17" borderId="0" xfId="7" applyFont="1" applyFill="1" applyBorder="1" applyAlignment="1" applyProtection="1">
      <alignment horizontal="center" vertical="center"/>
      <protection locked="0"/>
    </xf>
    <xf numFmtId="0" fontId="40" fillId="2" borderId="0" xfId="7" applyFont="1" applyFill="1" applyBorder="1" applyAlignment="1" applyProtection="1">
      <alignment horizontal="center"/>
    </xf>
    <xf numFmtId="14" fontId="50" fillId="6" borderId="0" xfId="7" applyNumberFormat="1" applyFont="1" applyFill="1" applyBorder="1" applyAlignment="1" applyProtection="1">
      <alignment horizontal="center" vertical="center"/>
    </xf>
    <xf numFmtId="14" fontId="50" fillId="6" borderId="0" xfId="7" applyNumberFormat="1" applyFont="1" applyFill="1" applyBorder="1" applyAlignment="1" applyProtection="1">
      <alignment horizontal="center"/>
    </xf>
    <xf numFmtId="0" fontId="50" fillId="2" borderId="0" xfId="7" applyFont="1" applyFill="1" applyBorder="1" applyAlignment="1" applyProtection="1">
      <alignment horizontal="center" vertical="center" wrapText="1"/>
    </xf>
    <xf numFmtId="0" fontId="49" fillId="6" borderId="0" xfId="7" applyNumberFormat="1" applyFont="1" applyFill="1" applyBorder="1" applyAlignment="1" applyProtection="1">
      <alignment horizontal="center" vertical="center"/>
    </xf>
    <xf numFmtId="0" fontId="49" fillId="17" borderId="0" xfId="7" applyFont="1" applyFill="1" applyBorder="1" applyAlignment="1" applyProtection="1">
      <alignment horizontal="center"/>
      <protection locked="0"/>
    </xf>
    <xf numFmtId="0" fontId="40" fillId="15" borderId="0" xfId="7" applyNumberFormat="1" applyFont="1" applyFill="1" applyBorder="1" applyAlignment="1" applyProtection="1">
      <alignment horizontal="center"/>
    </xf>
    <xf numFmtId="2" fontId="49" fillId="17" borderId="0" xfId="2" applyNumberFormat="1" applyFont="1" applyFill="1" applyBorder="1" applyAlignment="1" applyProtection="1">
      <alignment horizontal="right" vertical="center"/>
      <protection locked="0"/>
    </xf>
    <xf numFmtId="0" fontId="50" fillId="19" borderId="14" xfId="7" applyNumberFormat="1" applyFont="1" applyFill="1" applyBorder="1" applyAlignment="1" applyProtection="1">
      <alignment horizontal="center" vertical="center" wrapText="1"/>
    </xf>
    <xf numFmtId="0" fontId="50" fillId="19" borderId="15" xfId="7" applyNumberFormat="1" applyFont="1" applyFill="1" applyBorder="1" applyAlignment="1" applyProtection="1">
      <alignment horizontal="center" vertical="center" wrapText="1"/>
    </xf>
    <xf numFmtId="0" fontId="50" fillId="19" borderId="16" xfId="7" applyNumberFormat="1" applyFont="1" applyFill="1" applyBorder="1" applyAlignment="1" applyProtection="1">
      <alignment horizontal="center" vertical="center" wrapText="1"/>
    </xf>
    <xf numFmtId="0" fontId="50" fillId="19" borderId="20" xfId="7" applyNumberFormat="1" applyFont="1" applyFill="1" applyBorder="1" applyAlignment="1" applyProtection="1">
      <alignment horizontal="center" vertical="center" wrapText="1"/>
    </xf>
    <xf numFmtId="0" fontId="50" fillId="19" borderId="0" xfId="7" applyNumberFormat="1" applyFont="1" applyFill="1" applyBorder="1" applyAlignment="1" applyProtection="1">
      <alignment horizontal="center" vertical="center" wrapText="1"/>
    </xf>
    <xf numFmtId="0" fontId="50" fillId="19" borderId="21" xfId="7" applyNumberFormat="1" applyFont="1" applyFill="1" applyBorder="1" applyAlignment="1" applyProtection="1">
      <alignment horizontal="center" vertical="center" wrapText="1"/>
    </xf>
    <xf numFmtId="0" fontId="50" fillId="19" borderId="17" xfId="7" applyNumberFormat="1" applyFont="1" applyFill="1" applyBorder="1" applyAlignment="1" applyProtection="1">
      <alignment horizontal="center" vertical="center" wrapText="1"/>
    </xf>
    <xf numFmtId="0" fontId="50" fillId="19" borderId="12" xfId="7" applyNumberFormat="1" applyFont="1" applyFill="1" applyBorder="1" applyAlignment="1" applyProtection="1">
      <alignment horizontal="center" vertical="center" wrapText="1"/>
    </xf>
    <xf numFmtId="0" fontId="50" fillId="19" borderId="18" xfId="7" applyNumberFormat="1" applyFont="1" applyFill="1" applyBorder="1" applyAlignment="1" applyProtection="1">
      <alignment horizontal="center" vertical="center" wrapText="1"/>
    </xf>
    <xf numFmtId="1" fontId="40" fillId="17" borderId="0" xfId="7" applyNumberFormat="1" applyFont="1" applyFill="1" applyBorder="1" applyAlignment="1" applyProtection="1">
      <alignment horizontal="center"/>
      <protection locked="0"/>
    </xf>
    <xf numFmtId="173" fontId="40" fillId="17" borderId="0" xfId="2" applyNumberFormat="1" applyFont="1" applyFill="1" applyBorder="1" applyAlignment="1" applyProtection="1">
      <alignment horizontal="center"/>
      <protection locked="0"/>
    </xf>
    <xf numFmtId="173" fontId="49" fillId="6" borderId="0" xfId="2" applyNumberFormat="1" applyFont="1" applyFill="1" applyBorder="1" applyAlignment="1" applyProtection="1">
      <alignment horizontal="right" vertical="center"/>
    </xf>
    <xf numFmtId="165" fontId="49" fillId="6" borderId="0" xfId="2" applyNumberFormat="1" applyFont="1" applyFill="1" applyBorder="1" applyAlignment="1" applyProtection="1">
      <alignment horizontal="right" vertical="center"/>
    </xf>
    <xf numFmtId="2" fontId="49" fillId="17" borderId="0" xfId="2" applyNumberFormat="1" applyFont="1" applyFill="1" applyBorder="1" applyAlignment="1" applyProtection="1">
      <alignment vertical="center"/>
      <protection locked="0"/>
    </xf>
    <xf numFmtId="49" fontId="40" fillId="17" borderId="0" xfId="0" applyNumberFormat="1" applyFont="1" applyFill="1" applyBorder="1" applyAlignment="1" applyProtection="1">
      <alignment horizontal="center" vertical="center"/>
      <protection locked="0"/>
    </xf>
    <xf numFmtId="0" fontId="40" fillId="2" borderId="21" xfId="7" applyFont="1" applyFill="1" applyBorder="1" applyAlignment="1" applyProtection="1">
      <alignment horizontal="center" wrapText="1"/>
    </xf>
    <xf numFmtId="167" fontId="49" fillId="6" borderId="0" xfId="7" applyNumberFormat="1" applyFont="1" applyFill="1" applyBorder="1" applyAlignment="1" applyProtection="1">
      <alignment horizontal="right" vertical="center" wrapText="1"/>
    </xf>
    <xf numFmtId="49" fontId="40" fillId="6" borderId="0" xfId="7" applyNumberFormat="1" applyFont="1" applyFill="1" applyBorder="1" applyAlignment="1" applyProtection="1">
      <alignment wrapText="1"/>
    </xf>
    <xf numFmtId="173" fontId="40" fillId="6" borderId="0" xfId="2" applyNumberFormat="1" applyFont="1" applyFill="1" applyBorder="1" applyAlignment="1" applyProtection="1">
      <alignment horizontal="left"/>
    </xf>
    <xf numFmtId="2" fontId="49" fillId="17" borderId="0" xfId="2" applyNumberFormat="1" applyFont="1" applyFill="1" applyBorder="1" applyAlignment="1" applyProtection="1">
      <alignment horizontal="right"/>
      <protection locked="0"/>
    </xf>
    <xf numFmtId="0" fontId="41" fillId="2" borderId="0" xfId="7" applyFont="1" applyFill="1" applyBorder="1" applyAlignment="1" applyProtection="1">
      <alignment horizontal="center" vertical="center" wrapText="1"/>
    </xf>
    <xf numFmtId="49" fontId="52" fillId="19" borderId="13" xfId="7" applyNumberFormat="1" applyFont="1" applyFill="1" applyBorder="1" applyAlignment="1" applyProtection="1">
      <alignment horizontal="center" vertical="center" wrapText="1"/>
    </xf>
    <xf numFmtId="49" fontId="52" fillId="19" borderId="19" xfId="7" applyNumberFormat="1" applyFont="1" applyFill="1" applyBorder="1" applyAlignment="1" applyProtection="1">
      <alignment horizontal="center" vertical="center" wrapText="1"/>
    </xf>
    <xf numFmtId="49" fontId="52" fillId="19" borderId="1" xfId="7" applyNumberFormat="1" applyFont="1" applyFill="1" applyBorder="1" applyAlignment="1" applyProtection="1">
      <alignment horizontal="center" vertical="center" wrapText="1"/>
    </xf>
    <xf numFmtId="0" fontId="53" fillId="19" borderId="13" xfId="7" applyFont="1" applyFill="1" applyBorder="1" applyAlignment="1" applyProtection="1">
      <alignment horizontal="center" vertical="center"/>
    </xf>
    <xf numFmtId="0" fontId="53" fillId="19" borderId="19" xfId="7" applyFont="1" applyFill="1" applyBorder="1" applyAlignment="1" applyProtection="1">
      <alignment horizontal="center" vertical="center"/>
    </xf>
    <xf numFmtId="0" fontId="53" fillId="19" borderId="1" xfId="7" applyFont="1" applyFill="1" applyBorder="1" applyAlignment="1" applyProtection="1">
      <alignment horizontal="center" vertical="center"/>
    </xf>
    <xf numFmtId="49" fontId="49" fillId="17" borderId="0" xfId="7" applyNumberFormat="1" applyFont="1" applyFill="1" applyBorder="1" applyAlignment="1" applyProtection="1">
      <alignment horizontal="center"/>
      <protection locked="0"/>
    </xf>
    <xf numFmtId="0" fontId="49" fillId="17" borderId="0" xfId="7" applyFont="1" applyFill="1" applyBorder="1" applyAlignment="1" applyProtection="1">
      <alignment horizontal="center" vertical="center"/>
      <protection locked="0"/>
    </xf>
    <xf numFmtId="0" fontId="41" fillId="2" borderId="0" xfId="7" applyFont="1" applyFill="1" applyBorder="1" applyAlignment="1" applyProtection="1">
      <alignment horizontal="center" wrapText="1"/>
    </xf>
    <xf numFmtId="0" fontId="41" fillId="2" borderId="0" xfId="7" applyNumberFormat="1" applyFont="1" applyFill="1" applyBorder="1" applyAlignment="1" applyProtection="1">
      <alignment horizontal="center" wrapText="1"/>
    </xf>
    <xf numFmtId="0" fontId="41" fillId="2" borderId="12" xfId="7" applyNumberFormat="1" applyFont="1" applyFill="1" applyBorder="1" applyAlignment="1" applyProtection="1">
      <alignment horizontal="center" wrapText="1"/>
    </xf>
    <xf numFmtId="173" fontId="49" fillId="6" borderId="0" xfId="2" applyNumberFormat="1" applyFont="1" applyFill="1" applyBorder="1" applyAlignment="1" applyProtection="1">
      <alignment vertical="center"/>
    </xf>
    <xf numFmtId="49" fontId="40" fillId="2" borderId="0" xfId="0" applyNumberFormat="1" applyFont="1" applyFill="1" applyBorder="1" applyAlignment="1" applyProtection="1">
      <alignment horizontal="center" vertical="center"/>
    </xf>
    <xf numFmtId="167" fontId="49" fillId="6" borderId="0" xfId="7" applyNumberFormat="1" applyFont="1" applyFill="1" applyBorder="1" applyAlignment="1" applyProtection="1">
      <alignment vertical="center" wrapText="1"/>
    </xf>
    <xf numFmtId="49" fontId="50" fillId="19" borderId="14" xfId="7" applyNumberFormat="1" applyFont="1" applyFill="1" applyBorder="1" applyAlignment="1" applyProtection="1">
      <alignment horizontal="center" vertical="center" wrapText="1"/>
    </xf>
    <xf numFmtId="49" fontId="50" fillId="19" borderId="15" xfId="7" applyNumberFormat="1" applyFont="1" applyFill="1" applyBorder="1" applyAlignment="1" applyProtection="1">
      <alignment horizontal="center" vertical="center" wrapText="1"/>
    </xf>
    <xf numFmtId="49" fontId="50" fillId="19" borderId="16" xfId="7" applyNumberFormat="1" applyFont="1" applyFill="1" applyBorder="1" applyAlignment="1" applyProtection="1">
      <alignment horizontal="center" vertical="center" wrapText="1"/>
    </xf>
    <xf numFmtId="49" fontId="50" fillId="19" borderId="20" xfId="7" applyNumberFormat="1" applyFont="1" applyFill="1" applyBorder="1" applyAlignment="1" applyProtection="1">
      <alignment horizontal="center" vertical="center" wrapText="1"/>
    </xf>
    <xf numFmtId="49" fontId="50" fillId="19" borderId="0" xfId="7" applyNumberFormat="1" applyFont="1" applyFill="1" applyBorder="1" applyAlignment="1" applyProtection="1">
      <alignment horizontal="center" vertical="center" wrapText="1"/>
    </xf>
    <xf numFmtId="49" fontId="50" fillId="19" borderId="21" xfId="7" applyNumberFormat="1" applyFont="1" applyFill="1" applyBorder="1" applyAlignment="1" applyProtection="1">
      <alignment horizontal="center" vertical="center" wrapText="1"/>
    </xf>
    <xf numFmtId="49" fontId="40" fillId="17" borderId="0" xfId="7" applyNumberFormat="1" applyFont="1" applyFill="1" applyBorder="1" applyAlignment="1" applyProtection="1">
      <alignment horizontal="center" vertical="center"/>
      <protection locked="0"/>
    </xf>
    <xf numFmtId="49" fontId="40" fillId="2" borderId="0" xfId="7" applyNumberFormat="1" applyFont="1" applyFill="1" applyBorder="1" applyAlignment="1" applyProtection="1">
      <alignment horizontal="center" vertical="center"/>
    </xf>
    <xf numFmtId="173" fontId="40" fillId="6" borderId="0" xfId="2" applyNumberFormat="1" applyFont="1" applyFill="1" applyBorder="1" applyAlignment="1" applyProtection="1">
      <alignment horizontal="left" wrapText="1"/>
    </xf>
    <xf numFmtId="2" fontId="49" fillId="17" borderId="0" xfId="2" applyNumberFormat="1" applyFont="1" applyFill="1" applyBorder="1" applyAlignment="1" applyProtection="1">
      <alignment horizontal="center" vertical="center"/>
      <protection locked="0"/>
    </xf>
    <xf numFmtId="2" fontId="49" fillId="17" borderId="0" xfId="7" applyNumberFormat="1" applyFont="1" applyFill="1" applyBorder="1" applyAlignment="1" applyProtection="1">
      <alignment horizontal="right" vertical="center" wrapText="1"/>
      <protection locked="0"/>
    </xf>
    <xf numFmtId="167" fontId="49" fillId="6" borderId="0" xfId="7" applyNumberFormat="1" applyFont="1" applyFill="1" applyBorder="1" applyAlignment="1" applyProtection="1"/>
    <xf numFmtId="173" fontId="49" fillId="6" borderId="0" xfId="2" applyNumberFormat="1" applyFont="1" applyFill="1" applyBorder="1" applyAlignment="1" applyProtection="1">
      <alignment horizontal="left" vertical="top" wrapText="1"/>
    </xf>
    <xf numFmtId="0" fontId="52" fillId="19" borderId="14" xfId="7" applyFont="1" applyFill="1" applyBorder="1" applyAlignment="1" applyProtection="1">
      <alignment horizontal="center" vertical="center"/>
    </xf>
    <xf numFmtId="0" fontId="52" fillId="19" borderId="15" xfId="7" applyFont="1" applyFill="1" applyBorder="1" applyAlignment="1" applyProtection="1">
      <alignment horizontal="center" vertical="center"/>
    </xf>
    <xf numFmtId="0" fontId="52" fillId="19" borderId="16" xfId="7" applyFont="1" applyFill="1" applyBorder="1" applyAlignment="1" applyProtection="1">
      <alignment horizontal="center" vertical="center"/>
    </xf>
    <xf numFmtId="0" fontId="52" fillId="19" borderId="17" xfId="7" applyFont="1" applyFill="1" applyBorder="1" applyAlignment="1" applyProtection="1">
      <alignment horizontal="center" vertical="center"/>
    </xf>
    <xf numFmtId="0" fontId="52" fillId="19" borderId="12" xfId="7" applyFont="1" applyFill="1" applyBorder="1" applyAlignment="1" applyProtection="1">
      <alignment horizontal="center" vertical="center"/>
    </xf>
    <xf numFmtId="0" fontId="52" fillId="19" borderId="18" xfId="7" applyFont="1" applyFill="1" applyBorder="1" applyAlignment="1" applyProtection="1">
      <alignment horizontal="center" vertical="center"/>
    </xf>
    <xf numFmtId="14" fontId="40" fillId="6" borderId="0" xfId="7" applyNumberFormat="1" applyFont="1" applyFill="1" applyBorder="1" applyAlignment="1" applyProtection="1">
      <alignment horizontal="center"/>
    </xf>
    <xf numFmtId="0" fontId="40" fillId="0" borderId="0" xfId="7" applyFont="1" applyFill="1" applyBorder="1" applyAlignment="1" applyProtection="1">
      <alignment horizontal="left" vertical="center" wrapText="1"/>
      <protection locked="0"/>
    </xf>
    <xf numFmtId="168" fontId="40" fillId="17" borderId="0" xfId="7" applyNumberFormat="1" applyFont="1" applyFill="1" applyBorder="1" applyAlignment="1" applyProtection="1">
      <alignment horizontal="center" vertical="center"/>
      <protection locked="0"/>
    </xf>
    <xf numFmtId="0" fontId="54" fillId="2" borderId="0" xfId="7" applyFont="1" applyFill="1" applyBorder="1" applyAlignment="1" applyProtection="1">
      <alignment horizontal="left" vertical="top"/>
      <protection locked="0"/>
    </xf>
    <xf numFmtId="0" fontId="40" fillId="0" borderId="0" xfId="7" applyFont="1" applyFill="1" applyBorder="1" applyAlignment="1" applyProtection="1">
      <alignment horizontal="justify" vertical="justify" wrapText="1"/>
    </xf>
    <xf numFmtId="10" fontId="49" fillId="6" borderId="0" xfId="7" applyNumberFormat="1" applyFont="1" applyFill="1" applyBorder="1" applyAlignment="1" applyProtection="1">
      <alignment horizontal="center" vertical="center"/>
    </xf>
    <xf numFmtId="0" fontId="40" fillId="2" borderId="0" xfId="7" applyFont="1" applyFill="1" applyBorder="1" applyAlignment="1" applyProtection="1">
      <alignment horizontal="center"/>
      <protection locked="0"/>
    </xf>
    <xf numFmtId="10" fontId="40" fillId="17" borderId="0" xfId="7" applyNumberFormat="1" applyFont="1" applyFill="1" applyBorder="1" applyAlignment="1" applyProtection="1">
      <alignment horizontal="center" vertical="center"/>
    </xf>
    <xf numFmtId="0" fontId="40" fillId="6" borderId="0" xfId="7" applyFont="1" applyFill="1" applyBorder="1" applyAlignment="1" applyProtection="1">
      <alignment horizontal="center" vertical="top" wrapText="1"/>
    </xf>
    <xf numFmtId="4" fontId="49" fillId="17" borderId="0" xfId="7" applyNumberFormat="1" applyFont="1" applyFill="1" applyBorder="1" applyAlignment="1" applyProtection="1">
      <alignment horizontal="center" vertical="center" wrapText="1"/>
      <protection locked="0"/>
    </xf>
    <xf numFmtId="0" fontId="40" fillId="6" borderId="20" xfId="7" applyFont="1" applyFill="1" applyBorder="1" applyAlignment="1">
      <alignment horizontal="left" vertical="justify" wrapText="1"/>
    </xf>
    <xf numFmtId="0" fontId="40" fillId="6" borderId="0" xfId="7" applyFont="1" applyFill="1" applyBorder="1" applyAlignment="1">
      <alignment horizontal="left" vertical="justify" wrapText="1"/>
    </xf>
    <xf numFmtId="0" fontId="40" fillId="6" borderId="21" xfId="7" applyFont="1" applyFill="1" applyBorder="1" applyAlignment="1">
      <alignment horizontal="left" vertical="justify" wrapText="1"/>
    </xf>
    <xf numFmtId="0" fontId="49" fillId="6" borderId="14" xfId="7" applyFont="1" applyFill="1" applyBorder="1" applyAlignment="1">
      <alignment horizontal="left" vertical="justify"/>
    </xf>
    <xf numFmtId="0" fontId="49" fillId="6" borderId="15" xfId="7" applyFont="1" applyFill="1" applyBorder="1" applyAlignment="1">
      <alignment horizontal="left" vertical="justify"/>
    </xf>
    <xf numFmtId="0" fontId="49" fillId="6" borderId="16" xfId="7" applyFont="1" applyFill="1" applyBorder="1" applyAlignment="1">
      <alignment horizontal="left" vertical="justify"/>
    </xf>
    <xf numFmtId="0" fontId="50" fillId="6" borderId="0" xfId="7" applyFont="1" applyFill="1" applyBorder="1" applyAlignment="1" applyProtection="1">
      <alignment horizontal="center" vertical="top" wrapText="1"/>
    </xf>
    <xf numFmtId="0" fontId="40" fillId="6" borderId="0" xfId="7" applyNumberFormat="1" applyFont="1" applyFill="1" applyBorder="1" applyAlignment="1" applyProtection="1">
      <alignment horizontal="center" vertical="center"/>
    </xf>
    <xf numFmtId="0" fontId="40" fillId="0" borderId="0" xfId="7" applyFont="1" applyFill="1" applyBorder="1" applyAlignment="1" applyProtection="1">
      <alignment vertical="center"/>
      <protection locked="0"/>
    </xf>
    <xf numFmtId="49" fontId="49" fillId="17" borderId="0" xfId="7" applyNumberFormat="1" applyFont="1" applyFill="1" applyBorder="1" applyAlignment="1" applyProtection="1">
      <alignment horizontal="center" vertical="center"/>
      <protection locked="0"/>
    </xf>
    <xf numFmtId="10" fontId="49" fillId="0" borderId="0" xfId="10" applyNumberFormat="1" applyFont="1" applyFill="1" applyBorder="1" applyAlignment="1" applyProtection="1">
      <alignment horizontal="center" vertical="center"/>
      <protection locked="0"/>
    </xf>
    <xf numFmtId="0" fontId="54" fillId="6" borderId="0" xfId="7" applyFont="1" applyFill="1" applyBorder="1" applyAlignment="1" applyProtection="1">
      <protection locked="0"/>
    </xf>
    <xf numFmtId="0" fontId="53" fillId="19" borderId="13" xfId="7" applyFont="1" applyFill="1" applyBorder="1" applyAlignment="1" applyProtection="1">
      <alignment horizontal="center" vertical="center"/>
      <protection locked="0"/>
    </xf>
    <xf numFmtId="0" fontId="53" fillId="19" borderId="19" xfId="7" applyFont="1" applyFill="1" applyBorder="1" applyAlignment="1" applyProtection="1">
      <alignment horizontal="center" vertical="center"/>
      <protection locked="0"/>
    </xf>
    <xf numFmtId="0" fontId="53" fillId="19" borderId="1" xfId="7" applyFont="1" applyFill="1" applyBorder="1" applyAlignment="1" applyProtection="1">
      <alignment horizontal="center" vertical="center"/>
      <protection locked="0"/>
    </xf>
    <xf numFmtId="0" fontId="40" fillId="6" borderId="0" xfId="7" applyFont="1" applyFill="1" applyBorder="1" applyAlignment="1" applyProtection="1">
      <alignment horizontal="left" vertical="center" wrapText="1"/>
      <protection locked="0"/>
    </xf>
    <xf numFmtId="0" fontId="53" fillId="19" borderId="15" xfId="0" applyFont="1" applyFill="1" applyBorder="1" applyAlignment="1" applyProtection="1">
      <alignment horizontal="center" vertical="center"/>
    </xf>
    <xf numFmtId="49" fontId="40" fillId="0" borderId="0" xfId="7" applyNumberFormat="1" applyFont="1" applyFill="1" applyBorder="1" applyAlignment="1" applyProtection="1">
      <alignment horizontal="center"/>
    </xf>
    <xf numFmtId="0" fontId="50" fillId="19" borderId="20" xfId="0" applyFont="1" applyFill="1" applyBorder="1" applyAlignment="1" applyProtection="1">
      <alignment horizontal="left" vertical="center"/>
    </xf>
    <xf numFmtId="0" fontId="50" fillId="19" borderId="0" xfId="0" applyFont="1" applyFill="1" applyBorder="1" applyAlignment="1" applyProtection="1">
      <alignment horizontal="left" vertical="center"/>
    </xf>
    <xf numFmtId="0" fontId="49" fillId="17" borderId="0" xfId="7" applyNumberFormat="1" applyFont="1" applyFill="1" applyBorder="1" applyAlignment="1" applyProtection="1">
      <alignment horizontal="left" vertical="center" wrapText="1"/>
      <protection locked="0"/>
    </xf>
    <xf numFmtId="49" fontId="49" fillId="17" borderId="0" xfId="7" applyNumberFormat="1" applyFont="1" applyFill="1" applyBorder="1" applyAlignment="1" applyProtection="1">
      <alignment horizontal="center" vertical="center" wrapText="1"/>
      <protection locked="0"/>
    </xf>
    <xf numFmtId="0" fontId="49" fillId="6" borderId="0" xfId="7" applyFont="1" applyFill="1" applyBorder="1" applyAlignment="1" applyProtection="1">
      <alignment horizontal="center" vertical="center" wrapText="1"/>
    </xf>
    <xf numFmtId="0" fontId="40" fillId="6" borderId="20" xfId="7" applyFont="1" applyFill="1" applyBorder="1" applyAlignment="1" applyProtection="1">
      <alignment horizontal="center"/>
      <protection locked="0"/>
    </xf>
    <xf numFmtId="0" fontId="40" fillId="6" borderId="0" xfId="7" applyFont="1" applyFill="1" applyBorder="1" applyAlignment="1" applyProtection="1">
      <alignment horizontal="center"/>
      <protection locked="0"/>
    </xf>
    <xf numFmtId="49" fontId="40" fillId="2" borderId="12" xfId="7" applyNumberFormat="1" applyFont="1" applyFill="1" applyBorder="1" applyAlignment="1" applyProtection="1">
      <alignment horizontal="center"/>
    </xf>
    <xf numFmtId="14" fontId="49" fillId="17" borderId="0" xfId="7" applyNumberFormat="1" applyFont="1" applyFill="1" applyBorder="1" applyAlignment="1" applyProtection="1">
      <alignment horizontal="center" vertical="center"/>
      <protection locked="0"/>
    </xf>
    <xf numFmtId="0" fontId="53" fillId="19" borderId="0" xfId="0" applyNumberFormat="1" applyFont="1" applyFill="1" applyBorder="1" applyAlignment="1" applyProtection="1">
      <alignment horizontal="center" vertical="center"/>
    </xf>
    <xf numFmtId="0" fontId="50" fillId="19" borderId="21" xfId="0" applyFont="1" applyFill="1" applyBorder="1" applyAlignment="1" applyProtection="1">
      <alignment horizontal="left" vertical="center"/>
    </xf>
    <xf numFmtId="0" fontId="40" fillId="2" borderId="15" xfId="7" applyNumberFormat="1" applyFont="1" applyFill="1" applyBorder="1" applyAlignment="1" applyProtection="1">
      <alignment horizontal="center"/>
    </xf>
    <xf numFmtId="0" fontId="40" fillId="2" borderId="0" xfId="0" applyNumberFormat="1" applyFont="1" applyFill="1" applyBorder="1" applyAlignment="1" applyProtection="1">
      <alignment horizontal="center"/>
    </xf>
    <xf numFmtId="169" fontId="49" fillId="2" borderId="0" xfId="7" applyNumberFormat="1" applyFont="1" applyFill="1" applyBorder="1" applyAlignment="1" applyProtection="1">
      <alignment horizontal="center" vertical="center"/>
    </xf>
    <xf numFmtId="0" fontId="53" fillId="19" borderId="16" xfId="0" applyFont="1" applyFill="1" applyBorder="1" applyAlignment="1" applyProtection="1">
      <alignment horizontal="center" vertical="center"/>
    </xf>
    <xf numFmtId="0" fontId="50" fillId="19" borderId="20" xfId="0" applyFont="1" applyFill="1" applyBorder="1" applyAlignment="1" applyProtection="1">
      <alignment horizontal="center" vertical="center"/>
    </xf>
    <xf numFmtId="0" fontId="50" fillId="19" borderId="0" xfId="0" applyFont="1" applyFill="1" applyBorder="1" applyAlignment="1" applyProtection="1">
      <alignment horizontal="center" vertical="center"/>
    </xf>
    <xf numFmtId="14" fontId="49" fillId="17" borderId="0" xfId="0" applyNumberFormat="1" applyFont="1" applyFill="1" applyBorder="1" applyAlignment="1" applyProtection="1">
      <alignment horizontal="center" vertical="center"/>
      <protection locked="0"/>
    </xf>
    <xf numFmtId="0" fontId="40" fillId="2" borderId="0" xfId="7" applyNumberFormat="1" applyFont="1" applyFill="1" applyBorder="1" applyAlignment="1" applyProtection="1">
      <alignment horizontal="center" vertical="center"/>
    </xf>
    <xf numFmtId="169" fontId="40" fillId="17" borderId="0" xfId="7" applyNumberFormat="1" applyFont="1" applyFill="1" applyBorder="1" applyAlignment="1" applyProtection="1">
      <alignment horizontal="center" vertical="center"/>
      <protection locked="0"/>
    </xf>
    <xf numFmtId="3" fontId="49" fillId="17" borderId="0" xfId="7" applyNumberFormat="1" applyFont="1" applyFill="1" applyBorder="1" applyAlignment="1" applyProtection="1">
      <alignment horizontal="right" vertical="center"/>
      <protection locked="0"/>
    </xf>
    <xf numFmtId="169" fontId="50" fillId="6" borderId="0" xfId="7" applyNumberFormat="1" applyFont="1" applyFill="1" applyBorder="1" applyAlignment="1" applyProtection="1">
      <alignment horizontal="center" vertical="center" wrapText="1"/>
    </xf>
    <xf numFmtId="0" fontId="49" fillId="6" borderId="22" xfId="7" applyNumberFormat="1" applyFont="1" applyFill="1" applyBorder="1" applyAlignment="1" applyProtection="1">
      <alignment horizontal="center" vertical="center"/>
    </xf>
    <xf numFmtId="0" fontId="49" fillId="6" borderId="23" xfId="7" applyNumberFormat="1" applyFont="1" applyFill="1" applyBorder="1" applyAlignment="1" applyProtection="1">
      <alignment horizontal="center" vertical="center"/>
    </xf>
    <xf numFmtId="0" fontId="49" fillId="6" borderId="24" xfId="7" applyNumberFormat="1" applyFont="1" applyFill="1" applyBorder="1" applyAlignment="1" applyProtection="1">
      <alignment horizontal="center" vertical="center"/>
    </xf>
    <xf numFmtId="49" fontId="40" fillId="17" borderId="0" xfId="7" applyNumberFormat="1" applyFont="1" applyFill="1" applyBorder="1" applyAlignment="1" applyProtection="1">
      <alignment horizontal="center"/>
      <protection locked="0"/>
    </xf>
    <xf numFmtId="2" fontId="40" fillId="17" borderId="0" xfId="7" applyNumberFormat="1" applyFont="1" applyFill="1" applyBorder="1" applyAlignment="1" applyProtection="1">
      <alignment horizontal="center"/>
      <protection locked="0"/>
    </xf>
    <xf numFmtId="0" fontId="57" fillId="2" borderId="22" xfId="7" applyFont="1" applyFill="1" applyBorder="1" applyAlignment="1" applyProtection="1">
      <alignment horizontal="center" vertical="center" wrapText="1"/>
    </xf>
    <xf numFmtId="0" fontId="57" fillId="2" borderId="23" xfId="7" applyFont="1" applyFill="1" applyBorder="1" applyAlignment="1" applyProtection="1">
      <alignment horizontal="center" vertical="center" wrapText="1"/>
    </xf>
    <xf numFmtId="0" fontId="57" fillId="2" borderId="24" xfId="7" applyFont="1" applyFill="1" applyBorder="1" applyAlignment="1" applyProtection="1">
      <alignment horizontal="center" vertical="center" wrapText="1"/>
    </xf>
    <xf numFmtId="49" fontId="49" fillId="2" borderId="0" xfId="7" applyNumberFormat="1" applyFont="1" applyFill="1" applyBorder="1" applyAlignment="1" applyProtection="1">
      <alignment horizontal="center" vertical="top" wrapText="1"/>
    </xf>
    <xf numFmtId="0" fontId="53" fillId="6" borderId="0" xfId="7" applyNumberFormat="1" applyFont="1" applyFill="1" applyBorder="1" applyAlignment="1" applyProtection="1">
      <alignment horizontal="center"/>
    </xf>
    <xf numFmtId="49" fontId="40" fillId="2" borderId="0" xfId="7" applyNumberFormat="1" applyFont="1" applyFill="1" applyBorder="1" applyAlignment="1" applyProtection="1">
      <alignment horizontal="left" vertical="center" wrapText="1"/>
    </xf>
    <xf numFmtId="10" fontId="49" fillId="6" borderId="0" xfId="9" applyNumberFormat="1" applyFont="1" applyFill="1" applyBorder="1" applyAlignment="1" applyProtection="1">
      <alignment horizontal="center"/>
    </xf>
    <xf numFmtId="0" fontId="41" fillId="0" borderId="0" xfId="7" applyNumberFormat="1" applyFont="1" applyFill="1" applyBorder="1" applyAlignment="1" applyProtection="1">
      <alignment horizontal="center" vertical="center" wrapText="1"/>
    </xf>
    <xf numFmtId="0" fontId="41" fillId="0" borderId="21" xfId="7" applyNumberFormat="1" applyFont="1" applyFill="1" applyBorder="1" applyAlignment="1" applyProtection="1">
      <alignment horizontal="center" vertical="center" wrapText="1"/>
    </xf>
    <xf numFmtId="0" fontId="49" fillId="14" borderId="0" xfId="7" applyNumberFormat="1" applyFont="1" applyFill="1" applyBorder="1" applyAlignment="1" applyProtection="1">
      <alignment horizontal="center"/>
    </xf>
    <xf numFmtId="0" fontId="49" fillId="14" borderId="8" xfId="7" applyNumberFormat="1" applyFont="1" applyFill="1" applyBorder="1" applyAlignment="1" applyProtection="1">
      <alignment horizontal="center"/>
    </xf>
    <xf numFmtId="0" fontId="41" fillId="2" borderId="0" xfId="7" applyFont="1" applyFill="1" applyBorder="1" applyAlignment="1" applyProtection="1">
      <alignment horizontal="center"/>
    </xf>
    <xf numFmtId="0" fontId="41" fillId="6" borderId="0" xfId="7" applyNumberFormat="1" applyFont="1" applyFill="1" applyBorder="1" applyAlignment="1" applyProtection="1">
      <alignment horizontal="center" vertical="center" wrapText="1"/>
    </xf>
    <xf numFmtId="0" fontId="41" fillId="6" borderId="21" xfId="7" applyNumberFormat="1" applyFont="1" applyFill="1" applyBorder="1" applyAlignment="1" applyProtection="1">
      <alignment horizontal="center" vertical="center" wrapText="1"/>
    </xf>
    <xf numFmtId="49" fontId="40" fillId="6" borderId="0" xfId="7" applyNumberFormat="1" applyFont="1" applyFill="1" applyBorder="1" applyAlignment="1" applyProtection="1">
      <alignment horizontal="center"/>
    </xf>
    <xf numFmtId="173" fontId="40" fillId="0" borderId="0" xfId="2" applyNumberFormat="1" applyFont="1" applyFill="1" applyBorder="1" applyAlignment="1" applyProtection="1">
      <alignment horizontal="center"/>
    </xf>
    <xf numFmtId="49" fontId="53" fillId="19" borderId="13" xfId="7" applyNumberFormat="1" applyFont="1" applyFill="1" applyBorder="1" applyAlignment="1" applyProtection="1">
      <alignment horizontal="center" vertical="center" wrapText="1"/>
    </xf>
    <xf numFmtId="49" fontId="53" fillId="19" borderId="19" xfId="7" applyNumberFormat="1" applyFont="1" applyFill="1" applyBorder="1" applyAlignment="1" applyProtection="1">
      <alignment horizontal="center" vertical="center" wrapText="1"/>
    </xf>
    <xf numFmtId="49" fontId="53" fillId="19" borderId="1" xfId="7" applyNumberFormat="1" applyFont="1" applyFill="1" applyBorder="1" applyAlignment="1" applyProtection="1">
      <alignment horizontal="center" vertical="center" wrapText="1"/>
    </xf>
    <xf numFmtId="0" fontId="50" fillId="19" borderId="15" xfId="0" applyFont="1" applyFill="1" applyBorder="1" applyAlignment="1" applyProtection="1">
      <alignment horizontal="center" vertical="center"/>
    </xf>
    <xf numFmtId="49" fontId="40" fillId="6" borderId="21" xfId="7" applyNumberFormat="1" applyFont="1" applyFill="1" applyBorder="1" applyAlignment="1" applyProtection="1">
      <alignment horizontal="center"/>
    </xf>
    <xf numFmtId="3" fontId="51" fillId="2" borderId="12" xfId="7" applyNumberFormat="1" applyFont="1" applyFill="1" applyBorder="1" applyAlignment="1" applyProtection="1">
      <alignment horizontal="center" vertical="center"/>
    </xf>
    <xf numFmtId="3" fontId="51" fillId="2" borderId="18" xfId="7" applyNumberFormat="1" applyFont="1" applyFill="1" applyBorder="1" applyAlignment="1" applyProtection="1">
      <alignment horizontal="center" vertical="center"/>
    </xf>
    <xf numFmtId="167" fontId="49" fillId="6" borderId="0" xfId="7" applyNumberFormat="1" applyFont="1" applyFill="1" applyBorder="1" applyAlignment="1" applyProtection="1">
      <alignment horizontal="right" vertical="center"/>
    </xf>
    <xf numFmtId="10" fontId="49" fillId="17" borderId="0" xfId="7" applyNumberFormat="1" applyFont="1" applyFill="1" applyBorder="1" applyAlignment="1" applyProtection="1">
      <alignment horizontal="center" vertical="center"/>
      <protection locked="0"/>
    </xf>
    <xf numFmtId="0" fontId="49" fillId="6" borderId="22" xfId="7" applyNumberFormat="1" applyFont="1" applyFill="1" applyBorder="1" applyAlignment="1" applyProtection="1">
      <alignment horizontal="left" vertical="center"/>
    </xf>
    <xf numFmtId="0" fontId="49" fillId="6" borderId="23" xfId="7" applyNumberFormat="1" applyFont="1" applyFill="1" applyBorder="1" applyAlignment="1" applyProtection="1">
      <alignment horizontal="left" vertical="center"/>
    </xf>
    <xf numFmtId="0" fontId="49" fillId="6" borderId="24" xfId="7" applyNumberFormat="1" applyFont="1" applyFill="1" applyBorder="1" applyAlignment="1" applyProtection="1">
      <alignment horizontal="left" vertical="center"/>
    </xf>
    <xf numFmtId="10" fontId="49" fillId="17" borderId="0" xfId="9" applyNumberFormat="1" applyFont="1" applyFill="1" applyBorder="1" applyAlignment="1" applyProtection="1">
      <alignment horizontal="center"/>
      <protection locked="0"/>
    </xf>
    <xf numFmtId="1" fontId="49" fillId="6" borderId="22" xfId="7" applyNumberFormat="1" applyFont="1" applyFill="1" applyBorder="1" applyAlignment="1" applyProtection="1">
      <alignment horizontal="center" vertical="center"/>
    </xf>
    <xf numFmtId="1" fontId="49" fillId="6" borderId="23" xfId="7" applyNumberFormat="1" applyFont="1" applyFill="1" applyBorder="1" applyAlignment="1" applyProtection="1">
      <alignment horizontal="center" vertical="center"/>
    </xf>
    <xf numFmtId="1" fontId="49" fillId="6" borderId="24" xfId="7" applyNumberFormat="1" applyFont="1" applyFill="1" applyBorder="1" applyAlignment="1" applyProtection="1">
      <alignment horizontal="center" vertical="center"/>
    </xf>
    <xf numFmtId="0" fontId="49" fillId="14" borderId="5" xfId="7" applyNumberFormat="1" applyFont="1" applyFill="1" applyBorder="1" applyAlignment="1" applyProtection="1">
      <alignment horizontal="center"/>
    </xf>
    <xf numFmtId="0" fontId="49" fillId="14" borderId="6" xfId="7" applyNumberFormat="1" applyFont="1" applyFill="1" applyBorder="1" applyAlignment="1" applyProtection="1">
      <alignment horizontal="center"/>
    </xf>
    <xf numFmtId="0" fontId="49" fillId="14" borderId="0" xfId="7" applyNumberFormat="1" applyFont="1" applyFill="1" applyBorder="1" applyAlignment="1" applyProtection="1">
      <alignment horizontal="left"/>
    </xf>
    <xf numFmtId="0" fontId="49" fillId="14" borderId="8" xfId="7" applyNumberFormat="1" applyFont="1" applyFill="1" applyBorder="1" applyAlignment="1" applyProtection="1">
      <alignment horizontal="left"/>
    </xf>
    <xf numFmtId="1" fontId="49" fillId="6" borderId="0" xfId="7" applyNumberFormat="1" applyFont="1" applyFill="1" applyBorder="1" applyAlignment="1" applyProtection="1">
      <alignment horizontal="center" vertical="center"/>
    </xf>
    <xf numFmtId="0" fontId="40" fillId="14" borderId="0" xfId="7" applyNumberFormat="1" applyFont="1" applyFill="1" applyBorder="1" applyAlignment="1" applyProtection="1">
      <alignment horizontal="center"/>
    </xf>
    <xf numFmtId="3" fontId="40" fillId="14" borderId="0" xfId="7" applyNumberFormat="1" applyFont="1" applyFill="1" applyBorder="1" applyAlignment="1" applyProtection="1">
      <alignment horizontal="center" vertical="center"/>
    </xf>
    <xf numFmtId="49" fontId="53" fillId="19" borderId="9" xfId="7" applyNumberFormat="1" applyFont="1" applyFill="1" applyBorder="1" applyAlignment="1" applyProtection="1">
      <alignment horizontal="left"/>
    </xf>
    <xf numFmtId="49" fontId="53" fillId="19" borderId="10" xfId="7" applyNumberFormat="1" applyFont="1" applyFill="1" applyBorder="1" applyAlignment="1" applyProtection="1">
      <alignment horizontal="left"/>
    </xf>
    <xf numFmtId="49" fontId="53" fillId="19" borderId="11" xfId="7" applyNumberFormat="1" applyFont="1" applyFill="1" applyBorder="1" applyAlignment="1" applyProtection="1">
      <alignment horizontal="left"/>
    </xf>
    <xf numFmtId="49" fontId="53" fillId="18" borderId="4" xfId="7" applyNumberFormat="1" applyFont="1" applyFill="1" applyBorder="1" applyAlignment="1" applyProtection="1">
      <alignment horizontal="center"/>
    </xf>
    <xf numFmtId="49" fontId="53" fillId="18" borderId="5" xfId="7" applyNumberFormat="1" applyFont="1" applyFill="1" applyBorder="1" applyAlignment="1" applyProtection="1">
      <alignment horizontal="center"/>
    </xf>
    <xf numFmtId="49" fontId="53" fillId="18" borderId="6" xfId="7" applyNumberFormat="1" applyFont="1" applyFill="1" applyBorder="1" applyAlignment="1" applyProtection="1">
      <alignment horizontal="center"/>
    </xf>
    <xf numFmtId="49" fontId="53" fillId="18" borderId="9" xfId="7" applyNumberFormat="1" applyFont="1" applyFill="1" applyBorder="1" applyAlignment="1" applyProtection="1">
      <alignment horizontal="center"/>
    </xf>
    <xf numFmtId="49" fontId="53" fillId="18" borderId="10" xfId="7" applyNumberFormat="1" applyFont="1" applyFill="1" applyBorder="1" applyAlignment="1" applyProtection="1">
      <alignment horizontal="center"/>
    </xf>
    <xf numFmtId="49" fontId="53" fillId="18" borderId="11" xfId="7" applyNumberFormat="1" applyFont="1" applyFill="1" applyBorder="1" applyAlignment="1" applyProtection="1">
      <alignment horizontal="center"/>
    </xf>
    <xf numFmtId="49" fontId="53" fillId="11" borderId="22" xfId="7" applyNumberFormat="1" applyFont="1" applyFill="1" applyBorder="1" applyAlignment="1" applyProtection="1">
      <alignment horizontal="center"/>
    </xf>
    <xf numFmtId="49" fontId="53" fillId="11" borderId="23" xfId="7" applyNumberFormat="1" applyFont="1" applyFill="1" applyBorder="1" applyAlignment="1" applyProtection="1">
      <alignment horizontal="center"/>
    </xf>
    <xf numFmtId="49" fontId="53" fillId="11" borderId="24" xfId="7" applyNumberFormat="1" applyFont="1" applyFill="1" applyBorder="1" applyAlignment="1" applyProtection="1">
      <alignment horizontal="center"/>
    </xf>
    <xf numFmtId="49" fontId="49" fillId="0" borderId="22" xfId="7" applyNumberFormat="1" applyFont="1" applyFill="1" applyBorder="1" applyAlignment="1" applyProtection="1">
      <alignment horizontal="left"/>
    </xf>
    <xf numFmtId="49" fontId="49" fillId="0" borderId="23" xfId="7" applyNumberFormat="1" applyFont="1" applyFill="1" applyBorder="1" applyAlignment="1" applyProtection="1">
      <alignment horizontal="left"/>
    </xf>
    <xf numFmtId="49" fontId="49" fillId="0" borderId="24" xfId="7" applyNumberFormat="1" applyFont="1" applyFill="1" applyBorder="1" applyAlignment="1" applyProtection="1">
      <alignment horizontal="left"/>
    </xf>
    <xf numFmtId="49" fontId="49" fillId="6" borderId="22" xfId="7" applyNumberFormat="1" applyFont="1" applyFill="1" applyBorder="1" applyAlignment="1" applyProtection="1">
      <alignment horizontal="left"/>
    </xf>
    <xf numFmtId="49" fontId="49" fillId="6" borderId="23" xfId="7" applyNumberFormat="1" applyFont="1" applyFill="1" applyBorder="1" applyAlignment="1" applyProtection="1">
      <alignment horizontal="left"/>
    </xf>
    <xf numFmtId="49" fontId="49" fillId="6" borderId="24" xfId="7" applyNumberFormat="1" applyFont="1" applyFill="1" applyBorder="1" applyAlignment="1" applyProtection="1">
      <alignment horizontal="left"/>
    </xf>
    <xf numFmtId="0" fontId="49" fillId="14" borderId="0" xfId="7" applyFont="1" applyFill="1" applyAlignment="1" applyProtection="1">
      <alignment horizontal="center" vertical="center"/>
    </xf>
    <xf numFmtId="0" fontId="49" fillId="0" borderId="0" xfId="7" applyFont="1" applyFill="1" applyBorder="1" applyAlignment="1" applyProtection="1">
      <alignment horizontal="center"/>
    </xf>
    <xf numFmtId="0" fontId="40" fillId="2" borderId="0" xfId="7" applyFont="1" applyFill="1" applyBorder="1" applyAlignment="1" applyProtection="1">
      <alignment horizontal="left" vertical="center"/>
    </xf>
    <xf numFmtId="49" fontId="40" fillId="6" borderId="0" xfId="7" applyNumberFormat="1" applyFont="1" applyFill="1" applyBorder="1" applyAlignment="1" applyProtection="1">
      <alignment horizontal="center" wrapText="1"/>
    </xf>
    <xf numFmtId="0" fontId="50" fillId="19" borderId="17" xfId="0" applyFont="1" applyFill="1" applyBorder="1" applyAlignment="1" applyProtection="1">
      <alignment horizontal="left" vertical="center"/>
    </xf>
    <xf numFmtId="0" fontId="50" fillId="19" borderId="12" xfId="0" applyFont="1" applyFill="1" applyBorder="1" applyAlignment="1" applyProtection="1">
      <alignment horizontal="left" vertical="center"/>
    </xf>
    <xf numFmtId="0" fontId="50" fillId="19" borderId="12" xfId="0" applyFont="1" applyFill="1" applyBorder="1" applyAlignment="1" applyProtection="1">
      <alignment horizontal="center" vertical="center" wrapText="1"/>
    </xf>
    <xf numFmtId="0" fontId="50" fillId="19" borderId="18" xfId="0" applyFont="1" applyFill="1" applyBorder="1" applyAlignment="1" applyProtection="1">
      <alignment horizontal="center" vertical="center" wrapText="1"/>
    </xf>
    <xf numFmtId="0" fontId="53" fillId="19" borderId="0" xfId="0" applyFont="1" applyFill="1" applyBorder="1" applyAlignment="1" applyProtection="1">
      <alignment horizontal="center" vertical="center"/>
    </xf>
    <xf numFmtId="0" fontId="53" fillId="19" borderId="21" xfId="0" applyFont="1" applyFill="1" applyBorder="1" applyAlignment="1" applyProtection="1">
      <alignment horizontal="center" vertical="center"/>
    </xf>
    <xf numFmtId="3" fontId="49" fillId="8" borderId="0" xfId="3" applyNumberFormat="1" applyFont="1" applyFill="1" applyBorder="1" applyAlignment="1" applyProtection="1">
      <alignment horizontal="right" vertical="center"/>
      <protection locked="0"/>
    </xf>
    <xf numFmtId="0" fontId="50" fillId="19" borderId="14" xfId="7" applyNumberFormat="1" applyFont="1" applyFill="1" applyBorder="1" applyAlignment="1" applyProtection="1">
      <alignment horizontal="center" vertical="justify" wrapText="1"/>
    </xf>
    <xf numFmtId="0" fontId="50" fillId="19" borderId="15" xfId="7" applyNumberFormat="1" applyFont="1" applyFill="1" applyBorder="1" applyAlignment="1" applyProtection="1">
      <alignment horizontal="center" vertical="justify" wrapText="1"/>
    </xf>
    <xf numFmtId="0" fontId="50" fillId="19" borderId="16" xfId="7" applyNumberFormat="1" applyFont="1" applyFill="1" applyBorder="1" applyAlignment="1" applyProtection="1">
      <alignment horizontal="center" vertical="justify" wrapText="1"/>
    </xf>
    <xf numFmtId="0" fontId="50" fillId="19" borderId="17" xfId="7" applyNumberFormat="1" applyFont="1" applyFill="1" applyBorder="1" applyAlignment="1" applyProtection="1">
      <alignment horizontal="center" vertical="justify" wrapText="1"/>
    </xf>
    <xf numFmtId="0" fontId="50" fillId="19" borderId="12" xfId="7" applyNumberFormat="1" applyFont="1" applyFill="1" applyBorder="1" applyAlignment="1" applyProtection="1">
      <alignment horizontal="center" vertical="justify" wrapText="1"/>
    </xf>
    <xf numFmtId="0" fontId="50" fillId="19" borderId="18" xfId="7" applyNumberFormat="1" applyFont="1" applyFill="1" applyBorder="1" applyAlignment="1" applyProtection="1">
      <alignment horizontal="center" vertical="justify" wrapText="1"/>
    </xf>
    <xf numFmtId="0" fontId="56" fillId="11" borderId="0" xfId="7" applyNumberFormat="1" applyFont="1" applyFill="1" applyBorder="1" applyAlignment="1" applyProtection="1">
      <alignment horizontal="center" vertical="center" wrapText="1"/>
    </xf>
    <xf numFmtId="0" fontId="6" fillId="2" borderId="0" xfId="6" applyNumberFormat="1" applyFont="1" applyFill="1" applyBorder="1" applyAlignment="1" applyProtection="1">
      <alignment horizontal="center" vertical="center"/>
    </xf>
    <xf numFmtId="0" fontId="40" fillId="17" borderId="62" xfId="7" applyFont="1" applyFill="1" applyBorder="1" applyAlignment="1" applyProtection="1">
      <alignment horizontal="center" vertical="center"/>
      <protection locked="0"/>
    </xf>
    <xf numFmtId="0" fontId="40" fillId="17" borderId="67" xfId="7" applyFont="1" applyFill="1" applyBorder="1" applyAlignment="1" applyProtection="1">
      <alignment horizontal="center" vertical="center"/>
      <protection locked="0"/>
    </xf>
    <xf numFmtId="0" fontId="41" fillId="0" borderId="0" xfId="7" applyNumberFormat="1" applyFont="1" applyFill="1" applyBorder="1" applyAlignment="1" applyProtection="1">
      <alignment horizontal="center" wrapText="1"/>
    </xf>
    <xf numFmtId="49" fontId="40" fillId="6" borderId="0" xfId="7" applyNumberFormat="1" applyFont="1" applyFill="1" applyBorder="1" applyAlignment="1" applyProtection="1">
      <alignment horizontal="right"/>
      <protection locked="0"/>
    </xf>
    <xf numFmtId="0" fontId="53" fillId="2" borderId="0" xfId="7" applyNumberFormat="1" applyFont="1" applyFill="1" applyBorder="1" applyAlignment="1" applyProtection="1">
      <alignment horizontal="center" wrapText="1"/>
    </xf>
    <xf numFmtId="0" fontId="53" fillId="2" borderId="0" xfId="7" applyNumberFormat="1" applyFont="1" applyFill="1" applyBorder="1" applyAlignment="1" applyProtection="1">
      <alignment horizontal="center"/>
    </xf>
    <xf numFmtId="10" fontId="40" fillId="6" borderId="0" xfId="7" applyNumberFormat="1" applyFont="1" applyFill="1" applyBorder="1" applyAlignment="1" applyProtection="1">
      <alignment horizontal="center"/>
    </xf>
    <xf numFmtId="0" fontId="40" fillId="6" borderId="0" xfId="7" applyFont="1" applyFill="1" applyBorder="1" applyAlignment="1" applyProtection="1">
      <alignment horizontal="center"/>
    </xf>
    <xf numFmtId="2" fontId="49" fillId="17" borderId="0" xfId="7" applyNumberFormat="1" applyFont="1" applyFill="1" applyBorder="1" applyAlignment="1" applyProtection="1">
      <alignment vertical="center" wrapText="1"/>
      <protection locked="0"/>
    </xf>
    <xf numFmtId="0" fontId="49" fillId="6" borderId="0" xfId="3" applyNumberFormat="1" applyFont="1" applyFill="1" applyBorder="1" applyAlignment="1" applyProtection="1">
      <alignment horizontal="center" vertical="center"/>
    </xf>
    <xf numFmtId="49" fontId="49" fillId="6" borderId="0" xfId="7" applyNumberFormat="1" applyFont="1" applyFill="1" applyBorder="1" applyAlignment="1" applyProtection="1">
      <alignment horizontal="left" vertical="top" wrapText="1"/>
    </xf>
    <xf numFmtId="0" fontId="17" fillId="6" borderId="2" xfId="0" applyFont="1" applyFill="1" applyBorder="1" applyAlignment="1">
      <alignment horizontal="center" vertical="top"/>
    </xf>
    <xf numFmtId="165" fontId="16" fillId="14" borderId="0" xfId="2" applyFont="1" applyFill="1" applyAlignment="1">
      <alignment horizontal="center" wrapText="1"/>
    </xf>
    <xf numFmtId="165" fontId="16" fillId="14" borderId="21" xfId="2" applyFont="1" applyFill="1" applyBorder="1" applyAlignment="1">
      <alignment horizontal="center" wrapText="1"/>
    </xf>
    <xf numFmtId="0" fontId="17" fillId="6" borderId="15" xfId="0" applyNumberFormat="1" applyFont="1" applyFill="1" applyBorder="1" applyAlignment="1" applyProtection="1">
      <alignment horizontal="center"/>
    </xf>
    <xf numFmtId="0" fontId="17" fillId="6" borderId="16" xfId="0" applyNumberFormat="1" applyFont="1" applyFill="1" applyBorder="1" applyAlignment="1" applyProtection="1">
      <alignment horizontal="center"/>
    </xf>
    <xf numFmtId="0" fontId="53" fillId="11" borderId="13" xfId="0" applyFont="1" applyFill="1" applyBorder="1" applyAlignment="1" applyProtection="1">
      <alignment horizontal="center"/>
    </xf>
    <xf numFmtId="0" fontId="53" fillId="11" borderId="19" xfId="0" applyFont="1" applyFill="1" applyBorder="1" applyAlignment="1" applyProtection="1">
      <alignment horizontal="center"/>
    </xf>
    <xf numFmtId="0" fontId="53" fillId="11" borderId="1" xfId="0" applyFont="1" applyFill="1" applyBorder="1" applyAlignment="1" applyProtection="1">
      <alignment horizontal="center"/>
    </xf>
    <xf numFmtId="0" fontId="57" fillId="6" borderId="22" xfId="0"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horizontal="center" vertical="center"/>
    </xf>
    <xf numFmtId="0" fontId="56" fillId="11" borderId="0" xfId="0" applyNumberFormat="1" applyFont="1" applyFill="1" applyBorder="1" applyAlignment="1" applyProtection="1">
      <alignment horizontal="center" vertical="center"/>
    </xf>
    <xf numFmtId="0" fontId="32" fillId="11" borderId="22" xfId="0" applyFont="1" applyFill="1" applyBorder="1" applyAlignment="1" applyProtection="1">
      <alignment horizontal="center"/>
    </xf>
    <xf numFmtId="0" fontId="32" fillId="11" borderId="23" xfId="0" applyFont="1" applyFill="1" applyBorder="1" applyAlignment="1" applyProtection="1">
      <alignment horizontal="center"/>
    </xf>
    <xf numFmtId="0" fontId="32" fillId="11" borderId="24" xfId="0" applyFont="1" applyFill="1" applyBorder="1" applyAlignment="1" applyProtection="1">
      <alignment horizontal="center"/>
    </xf>
    <xf numFmtId="0" fontId="22" fillId="6" borderId="20" xfId="0" applyFont="1" applyFill="1" applyBorder="1" applyAlignment="1" applyProtection="1">
      <alignment horizontal="center" wrapText="1"/>
    </xf>
    <xf numFmtId="0" fontId="22" fillId="6" borderId="17" xfId="0" applyFont="1" applyFill="1" applyBorder="1" applyAlignment="1" applyProtection="1">
      <alignment horizontal="center" wrapText="1"/>
    </xf>
    <xf numFmtId="0" fontId="12" fillId="6" borderId="0" xfId="16" applyFont="1" applyFill="1" applyBorder="1" applyAlignment="1" applyProtection="1">
      <alignment horizontal="center" wrapText="1"/>
    </xf>
    <xf numFmtId="0" fontId="12" fillId="6" borderId="21" xfId="16" applyFont="1" applyFill="1" applyBorder="1" applyAlignment="1" applyProtection="1">
      <alignment horizontal="center" wrapText="1"/>
    </xf>
    <xf numFmtId="169" fontId="12" fillId="6" borderId="15" xfId="16" applyNumberFormat="1" applyFont="1" applyFill="1" applyBorder="1" applyAlignment="1" applyProtection="1">
      <alignment horizontal="center" vertical="center" wrapText="1"/>
    </xf>
    <xf numFmtId="169" fontId="12" fillId="6" borderId="16" xfId="16" applyNumberFormat="1" applyFont="1" applyFill="1" applyBorder="1" applyAlignment="1" applyProtection="1">
      <alignment horizontal="center" vertical="center" wrapText="1"/>
    </xf>
    <xf numFmtId="169" fontId="12" fillId="6" borderId="0" xfId="16" applyNumberFormat="1" applyFont="1" applyFill="1" applyBorder="1" applyAlignment="1" applyProtection="1">
      <alignment horizontal="center" vertical="center" wrapText="1"/>
    </xf>
    <xf numFmtId="169" fontId="12" fillId="6" borderId="21" xfId="16" applyNumberFormat="1" applyFont="1" applyFill="1" applyBorder="1" applyAlignment="1" applyProtection="1">
      <alignment horizontal="center" vertical="center" wrapText="1"/>
    </xf>
    <xf numFmtId="169" fontId="12" fillId="6" borderId="0" xfId="16" applyNumberFormat="1" applyFont="1" applyFill="1" applyBorder="1" applyAlignment="1" applyProtection="1">
      <alignment horizontal="center" wrapText="1"/>
    </xf>
    <xf numFmtId="169" fontId="12" fillId="6" borderId="21" xfId="16" applyNumberFormat="1" applyFont="1" applyFill="1" applyBorder="1" applyAlignment="1" applyProtection="1">
      <alignment horizontal="center" wrapText="1"/>
    </xf>
    <xf numFmtId="0" fontId="12" fillId="6" borderId="0" xfId="0" applyFont="1" applyFill="1" applyBorder="1" applyAlignment="1" applyProtection="1">
      <alignment horizontal="center"/>
    </xf>
    <xf numFmtId="0" fontId="12" fillId="6" borderId="21" xfId="0" applyFont="1" applyFill="1" applyBorder="1" applyAlignment="1" applyProtection="1">
      <alignment horizontal="center"/>
    </xf>
    <xf numFmtId="169" fontId="12" fillId="6" borderId="0" xfId="0" applyNumberFormat="1" applyFont="1" applyFill="1" applyBorder="1" applyAlignment="1" applyProtection="1">
      <alignment horizontal="center"/>
    </xf>
    <xf numFmtId="169" fontId="12" fillId="6" borderId="21" xfId="0" applyNumberFormat="1" applyFont="1" applyFill="1" applyBorder="1" applyAlignment="1" applyProtection="1">
      <alignment horizontal="center"/>
    </xf>
    <xf numFmtId="169" fontId="12" fillId="6" borderId="0" xfId="0" applyNumberFormat="1" applyFont="1" applyFill="1" applyBorder="1" applyAlignment="1" applyProtection="1">
      <alignment horizontal="center" wrapText="1"/>
    </xf>
    <xf numFmtId="169" fontId="12" fillId="6" borderId="21" xfId="0" applyNumberFormat="1" applyFont="1" applyFill="1" applyBorder="1" applyAlignment="1" applyProtection="1">
      <alignment horizontal="center" wrapText="1"/>
    </xf>
    <xf numFmtId="9" fontId="12" fillId="6" borderId="0" xfId="16" applyNumberFormat="1" applyFont="1" applyFill="1" applyBorder="1" applyAlignment="1" applyProtection="1">
      <alignment horizontal="center" wrapText="1"/>
    </xf>
    <xf numFmtId="9" fontId="12" fillId="6" borderId="21" xfId="16" applyNumberFormat="1" applyFont="1" applyFill="1" applyBorder="1" applyAlignment="1" applyProtection="1">
      <alignment horizontal="center" wrapText="1"/>
    </xf>
    <xf numFmtId="9" fontId="4" fillId="6" borderId="0" xfId="16" applyNumberFormat="1" applyFont="1" applyFill="1" applyBorder="1" applyAlignment="1" applyProtection="1">
      <alignment horizontal="center" wrapText="1"/>
    </xf>
    <xf numFmtId="9" fontId="4" fillId="6" borderId="21" xfId="16" applyNumberFormat="1" applyFont="1" applyFill="1" applyBorder="1" applyAlignment="1" applyProtection="1">
      <alignment horizontal="center" wrapText="1"/>
    </xf>
    <xf numFmtId="49" fontId="4" fillId="6" borderId="0" xfId="7" applyNumberFormat="1" applyFont="1" applyFill="1" applyBorder="1" applyAlignment="1" applyProtection="1">
      <alignment horizontal="center"/>
    </xf>
    <xf numFmtId="49" fontId="4" fillId="6" borderId="12" xfId="7" applyNumberFormat="1" applyFont="1" applyFill="1" applyBorder="1" applyAlignment="1" applyProtection="1">
      <alignment horizontal="center"/>
    </xf>
    <xf numFmtId="0" fontId="4" fillId="6" borderId="15" xfId="7" applyNumberFormat="1" applyFont="1" applyFill="1" applyBorder="1" applyAlignment="1" applyProtection="1">
      <alignment horizontal="center"/>
    </xf>
    <xf numFmtId="0" fontId="4" fillId="6" borderId="12" xfId="0" applyNumberFormat="1" applyFont="1" applyFill="1" applyBorder="1" applyAlignment="1" applyProtection="1">
      <alignment horizontal="center"/>
    </xf>
    <xf numFmtId="0" fontId="56" fillId="11" borderId="0" xfId="0" applyFont="1" applyFill="1" applyAlignment="1" applyProtection="1">
      <alignment horizontal="center" vertical="center"/>
    </xf>
    <xf numFmtId="0" fontId="57" fillId="6" borderId="22" xfId="0" applyFont="1" applyFill="1" applyBorder="1" applyAlignment="1" applyProtection="1">
      <alignment horizontal="center" vertical="center"/>
    </xf>
    <xf numFmtId="0" fontId="57" fillId="6" borderId="23" xfId="0" applyFont="1" applyFill="1" applyBorder="1" applyAlignment="1" applyProtection="1">
      <alignment horizontal="center" vertical="center"/>
    </xf>
    <xf numFmtId="0" fontId="57" fillId="6" borderId="24" xfId="0" applyFont="1" applyFill="1" applyBorder="1" applyAlignment="1" applyProtection="1">
      <alignment horizontal="center" vertical="center"/>
    </xf>
    <xf numFmtId="0" fontId="4" fillId="17" borderId="13" xfId="0" applyFont="1" applyFill="1" applyBorder="1" applyAlignment="1" applyProtection="1">
      <alignment horizontal="center"/>
      <protection locked="0"/>
    </xf>
    <xf numFmtId="0" fontId="4" fillId="17" borderId="19" xfId="0" applyFont="1" applyFill="1" applyBorder="1" applyAlignment="1" applyProtection="1">
      <alignment horizontal="center"/>
      <protection locked="0"/>
    </xf>
    <xf numFmtId="0" fontId="4" fillId="17" borderId="1" xfId="0" applyFont="1" applyFill="1" applyBorder="1" applyAlignment="1" applyProtection="1">
      <alignment horizontal="center"/>
      <protection locked="0"/>
    </xf>
    <xf numFmtId="173" fontId="4" fillId="17" borderId="13" xfId="2" applyNumberFormat="1" applyFont="1" applyFill="1" applyBorder="1" applyAlignment="1" applyProtection="1">
      <alignment horizontal="center"/>
      <protection locked="0"/>
    </xf>
    <xf numFmtId="173" fontId="4" fillId="17" borderId="19" xfId="2" applyNumberFormat="1" applyFont="1" applyFill="1" applyBorder="1" applyAlignment="1" applyProtection="1">
      <alignment horizontal="center"/>
      <protection locked="0"/>
    </xf>
    <xf numFmtId="173" fontId="4" fillId="17" borderId="1" xfId="2" applyNumberFormat="1" applyFont="1" applyFill="1" applyBorder="1" applyAlignment="1" applyProtection="1">
      <alignment horizontal="center"/>
      <protection locked="0"/>
    </xf>
    <xf numFmtId="3" fontId="3" fillId="17" borderId="13" xfId="0" applyNumberFormat="1" applyFont="1" applyFill="1" applyBorder="1" applyAlignment="1" applyProtection="1">
      <alignment horizontal="right" vertical="center" wrapText="1"/>
      <protection locked="0"/>
    </xf>
    <xf numFmtId="3" fontId="3" fillId="17" borderId="19" xfId="0" applyNumberFormat="1" applyFont="1" applyFill="1" applyBorder="1" applyAlignment="1" applyProtection="1">
      <alignment horizontal="right" vertical="center" wrapText="1"/>
      <protection locked="0"/>
    </xf>
    <xf numFmtId="3" fontId="3" fillId="17" borderId="1" xfId="0" applyNumberFormat="1" applyFont="1" applyFill="1" applyBorder="1" applyAlignment="1" applyProtection="1">
      <alignment horizontal="right" vertical="center" wrapText="1"/>
      <protection locked="0"/>
    </xf>
    <xf numFmtId="3" fontId="3" fillId="17" borderId="43" xfId="0" applyNumberFormat="1" applyFont="1" applyFill="1" applyBorder="1" applyAlignment="1" applyProtection="1">
      <alignment horizontal="right" vertical="center" wrapText="1"/>
      <protection locked="0"/>
    </xf>
    <xf numFmtId="3" fontId="3" fillId="17" borderId="29" xfId="0" applyNumberFormat="1" applyFont="1" applyFill="1" applyBorder="1" applyAlignment="1" applyProtection="1">
      <alignment horizontal="right" vertical="center" wrapText="1"/>
      <protection locked="0"/>
    </xf>
    <xf numFmtId="3" fontId="3" fillId="17" borderId="44" xfId="0" applyNumberFormat="1" applyFont="1" applyFill="1" applyBorder="1" applyAlignment="1" applyProtection="1">
      <alignment horizontal="right" vertical="center" wrapText="1"/>
      <protection locked="0"/>
    </xf>
    <xf numFmtId="0" fontId="3" fillId="6" borderId="63" xfId="0" applyFont="1" applyFill="1" applyBorder="1" applyAlignment="1" applyProtection="1">
      <alignment horizontal="left" vertical="justify" wrapText="1"/>
    </xf>
    <xf numFmtId="0" fontId="3" fillId="6" borderId="64" xfId="0" applyFont="1" applyFill="1" applyBorder="1" applyAlignment="1" applyProtection="1">
      <alignment horizontal="left" vertical="justify" wrapText="1"/>
    </xf>
    <xf numFmtId="0" fontId="3" fillId="6" borderId="65" xfId="0" applyFont="1" applyFill="1" applyBorder="1" applyAlignment="1" applyProtection="1">
      <alignment horizontal="left" vertical="justify" wrapText="1"/>
    </xf>
    <xf numFmtId="0" fontId="3" fillId="6" borderId="68" xfId="0" applyFont="1" applyFill="1" applyBorder="1" applyAlignment="1" applyProtection="1">
      <alignment horizontal="left" vertical="justify" wrapText="1"/>
    </xf>
    <xf numFmtId="0" fontId="3" fillId="6" borderId="0" xfId="0" applyFont="1" applyFill="1" applyBorder="1" applyAlignment="1" applyProtection="1">
      <alignment horizontal="left" vertical="justify" wrapText="1"/>
    </xf>
    <xf numFmtId="0" fontId="3" fillId="6" borderId="69" xfId="0" applyFont="1" applyFill="1" applyBorder="1" applyAlignment="1" applyProtection="1">
      <alignment horizontal="left" vertical="justify" wrapText="1"/>
    </xf>
    <xf numFmtId="0" fontId="3" fillId="6" borderId="66" xfId="0" applyFont="1" applyFill="1" applyBorder="1" applyAlignment="1" applyProtection="1">
      <alignment horizontal="left" vertical="justify" wrapText="1"/>
    </xf>
    <xf numFmtId="0" fontId="3" fillId="6" borderId="62" xfId="0" applyFont="1" applyFill="1" applyBorder="1" applyAlignment="1" applyProtection="1">
      <alignment horizontal="left" vertical="justify" wrapText="1"/>
    </xf>
    <xf numFmtId="0" fontId="3" fillId="6" borderId="67" xfId="0" applyFont="1" applyFill="1" applyBorder="1" applyAlignment="1" applyProtection="1">
      <alignment horizontal="left" vertical="justify" wrapText="1"/>
    </xf>
    <xf numFmtId="3" fontId="3" fillId="6" borderId="39" xfId="0" applyNumberFormat="1" applyFont="1" applyFill="1" applyBorder="1" applyAlignment="1" applyProtection="1">
      <alignment horizontal="right" vertical="center"/>
    </xf>
    <xf numFmtId="3" fontId="3" fillId="6" borderId="23" xfId="0" applyNumberFormat="1" applyFont="1" applyFill="1" applyBorder="1" applyAlignment="1" applyProtection="1">
      <alignment horizontal="right" vertical="center"/>
    </xf>
    <xf numFmtId="3" fontId="3" fillId="6" borderId="38" xfId="0" applyNumberFormat="1" applyFont="1" applyFill="1" applyBorder="1" applyAlignment="1" applyProtection="1">
      <alignment horizontal="right" vertical="center"/>
    </xf>
    <xf numFmtId="3" fontId="3" fillId="17" borderId="39" xfId="0" applyNumberFormat="1" applyFont="1" applyFill="1" applyBorder="1" applyAlignment="1" applyProtection="1">
      <alignment horizontal="right" vertical="center" wrapText="1"/>
      <protection locked="0"/>
    </xf>
    <xf numFmtId="3" fontId="3" fillId="17" borderId="23" xfId="0" applyNumberFormat="1" applyFont="1" applyFill="1" applyBorder="1" applyAlignment="1" applyProtection="1">
      <alignment horizontal="right" vertical="center" wrapText="1"/>
      <protection locked="0"/>
    </xf>
    <xf numFmtId="3" fontId="3" fillId="17" borderId="38" xfId="0" applyNumberFormat="1" applyFont="1" applyFill="1" applyBorder="1" applyAlignment="1" applyProtection="1">
      <alignment horizontal="right" vertical="center" wrapText="1"/>
      <protection locked="0"/>
    </xf>
    <xf numFmtId="3" fontId="3" fillId="17" borderId="40" xfId="0" applyNumberFormat="1" applyFont="1" applyFill="1" applyBorder="1" applyAlignment="1" applyProtection="1">
      <alignment horizontal="right" vertical="center"/>
    </xf>
    <xf numFmtId="3" fontId="3" fillId="17" borderId="41" xfId="0" applyNumberFormat="1" applyFont="1" applyFill="1" applyBorder="1" applyAlignment="1" applyProtection="1">
      <alignment horizontal="right" vertical="center"/>
    </xf>
    <xf numFmtId="3" fontId="3" fillId="17" borderId="42" xfId="0" applyNumberFormat="1" applyFont="1" applyFill="1" applyBorder="1" applyAlignment="1" applyProtection="1">
      <alignment horizontal="right" vertical="center"/>
    </xf>
    <xf numFmtId="0" fontId="20" fillId="19" borderId="0" xfId="0" applyFont="1" applyFill="1" applyBorder="1" applyAlignment="1" applyProtection="1">
      <alignment horizontal="center"/>
    </xf>
    <xf numFmtId="0" fontId="4" fillId="6" borderId="20" xfId="0" applyFont="1" applyFill="1" applyBorder="1" applyAlignment="1" applyProtection="1">
      <alignment horizontal="center" vertical="center" wrapText="1" shrinkToFit="1"/>
    </xf>
    <xf numFmtId="0" fontId="4" fillId="6" borderId="0" xfId="0" applyFont="1" applyFill="1" applyBorder="1" applyAlignment="1" applyProtection="1">
      <alignment horizontal="center" vertical="center" wrapText="1" shrinkToFit="1"/>
    </xf>
    <xf numFmtId="0" fontId="4" fillId="6" borderId="21" xfId="0" applyFont="1" applyFill="1" applyBorder="1" applyAlignment="1" applyProtection="1">
      <alignment horizontal="center" vertical="center" wrapText="1" shrinkToFit="1"/>
    </xf>
    <xf numFmtId="0" fontId="4" fillId="6" borderId="17" xfId="0" applyFont="1" applyFill="1" applyBorder="1" applyAlignment="1" applyProtection="1">
      <alignment horizontal="center" vertical="center" wrapText="1" shrinkToFit="1"/>
    </xf>
    <xf numFmtId="0" fontId="4" fillId="6" borderId="12" xfId="0" applyFont="1" applyFill="1" applyBorder="1" applyAlignment="1" applyProtection="1">
      <alignment horizontal="center" vertical="center" wrapText="1" shrinkToFit="1"/>
    </xf>
    <xf numFmtId="0" fontId="4" fillId="6" borderId="18" xfId="0" applyFont="1" applyFill="1" applyBorder="1" applyAlignment="1" applyProtection="1">
      <alignment horizontal="center" vertical="center" wrapText="1" shrinkToFit="1"/>
    </xf>
    <xf numFmtId="0" fontId="3" fillId="6" borderId="22" xfId="0" applyFont="1" applyFill="1" applyBorder="1" applyAlignment="1" applyProtection="1">
      <alignment horizontal="left" vertical="center" wrapText="1"/>
    </xf>
    <xf numFmtId="0" fontId="3" fillId="6" borderId="23" xfId="0" applyFont="1" applyFill="1" applyBorder="1" applyAlignment="1" applyProtection="1">
      <alignment horizontal="left" vertical="center" wrapText="1"/>
    </xf>
    <xf numFmtId="0" fontId="3" fillId="6" borderId="38" xfId="0" applyFont="1" applyFill="1" applyBorder="1" applyAlignment="1" applyProtection="1">
      <alignment horizontal="left" vertical="center" wrapText="1"/>
    </xf>
    <xf numFmtId="0" fontId="20" fillId="19" borderId="39" xfId="0" applyFont="1" applyFill="1" applyBorder="1" applyAlignment="1" applyProtection="1">
      <alignment horizontal="center" vertical="center" wrapText="1"/>
    </xf>
    <xf numFmtId="0" fontId="20" fillId="19" borderId="23" xfId="0" applyFont="1" applyFill="1" applyBorder="1" applyAlignment="1" applyProtection="1">
      <alignment horizontal="center" vertical="center" wrapText="1"/>
    </xf>
    <xf numFmtId="0" fontId="20" fillId="19" borderId="2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xf>
    <xf numFmtId="0" fontId="4" fillId="6" borderId="5" xfId="0" applyFont="1" applyFill="1" applyBorder="1" applyAlignment="1" applyProtection="1">
      <alignment horizontal="center" vertical="center"/>
    </xf>
    <xf numFmtId="0" fontId="4" fillId="6" borderId="45" xfId="0" applyFont="1" applyFill="1" applyBorder="1" applyAlignment="1" applyProtection="1">
      <alignment horizontal="center" vertical="center"/>
    </xf>
    <xf numFmtId="0" fontId="4" fillId="6" borderId="20" xfId="0" applyFont="1" applyFill="1" applyBorder="1" applyAlignment="1" applyProtection="1">
      <alignment horizontal="center" vertical="center"/>
    </xf>
    <xf numFmtId="0" fontId="4" fillId="6" borderId="0" xfId="0"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6" borderId="17" xfId="0" applyFont="1" applyFill="1" applyBorder="1" applyAlignment="1" applyProtection="1">
      <alignment horizontal="center" vertical="center"/>
    </xf>
    <xf numFmtId="0" fontId="4" fillId="6" borderId="12" xfId="0" applyFont="1" applyFill="1" applyBorder="1" applyAlignment="1" applyProtection="1">
      <alignment horizontal="center" vertical="center"/>
    </xf>
    <xf numFmtId="0" fontId="4" fillId="6" borderId="18" xfId="0" applyFont="1" applyFill="1" applyBorder="1" applyAlignment="1" applyProtection="1">
      <alignment horizontal="center" vertical="center"/>
    </xf>
    <xf numFmtId="0" fontId="4" fillId="6" borderId="46" xfId="0" applyFont="1" applyFill="1" applyBorder="1" applyAlignment="1" applyProtection="1">
      <alignment horizontal="center" vertical="center" wrapText="1" shrinkToFit="1"/>
    </xf>
    <xf numFmtId="0" fontId="4" fillId="6" borderId="5" xfId="0" applyFont="1" applyFill="1" applyBorder="1" applyAlignment="1" applyProtection="1">
      <alignment horizontal="center" vertical="center" wrapText="1" shrinkToFit="1"/>
    </xf>
    <xf numFmtId="0" fontId="4" fillId="6" borderId="45" xfId="0" applyFont="1" applyFill="1" applyBorder="1" applyAlignment="1" applyProtection="1">
      <alignment horizontal="center" vertical="center" wrapText="1" shrinkToFit="1"/>
    </xf>
    <xf numFmtId="0" fontId="4" fillId="6" borderId="6" xfId="0" applyFont="1" applyFill="1" applyBorder="1" applyAlignment="1" applyProtection="1">
      <alignment horizontal="center" vertical="center" wrapText="1" shrinkToFit="1"/>
    </xf>
    <xf numFmtId="0" fontId="4" fillId="6" borderId="31" xfId="0" applyFont="1" applyFill="1" applyBorder="1" applyAlignment="1" applyProtection="1">
      <alignment horizontal="center" vertical="center" wrapText="1" shrinkToFit="1"/>
    </xf>
    <xf numFmtId="0" fontId="3" fillId="17" borderId="13" xfId="0" applyNumberFormat="1" applyFont="1" applyFill="1" applyBorder="1" applyAlignment="1" applyProtection="1">
      <alignment horizontal="center" vertical="center" wrapText="1"/>
      <protection locked="0"/>
    </xf>
    <xf numFmtId="0" fontId="3" fillId="17" borderId="19" xfId="0" applyNumberFormat="1" applyFont="1" applyFill="1" applyBorder="1" applyAlignment="1" applyProtection="1">
      <alignment horizontal="center" vertical="center" wrapText="1"/>
      <protection locked="0"/>
    </xf>
    <xf numFmtId="0" fontId="3" fillId="17" borderId="1" xfId="0" applyNumberFormat="1" applyFont="1" applyFill="1" applyBorder="1" applyAlignment="1" applyProtection="1">
      <alignment horizontal="center" vertical="center" wrapText="1"/>
      <protection locked="0"/>
    </xf>
    <xf numFmtId="3" fontId="3" fillId="17" borderId="40" xfId="0" applyNumberFormat="1" applyFont="1" applyFill="1" applyBorder="1" applyAlignment="1" applyProtection="1">
      <alignment horizontal="right" vertical="center" wrapText="1"/>
      <protection locked="0"/>
    </xf>
    <xf numFmtId="3" fontId="3" fillId="17" borderId="41" xfId="0" applyNumberFormat="1" applyFont="1" applyFill="1" applyBorder="1" applyAlignment="1" applyProtection="1">
      <alignment horizontal="right" vertical="center" wrapText="1"/>
      <protection locked="0"/>
    </xf>
    <xf numFmtId="3" fontId="3" fillId="17" borderId="42" xfId="0" applyNumberFormat="1" applyFont="1" applyFill="1" applyBorder="1" applyAlignment="1" applyProtection="1">
      <alignment horizontal="right" vertical="center" wrapText="1"/>
      <protection locked="0"/>
    </xf>
    <xf numFmtId="0" fontId="3" fillId="17" borderId="47" xfId="0" applyNumberFormat="1" applyFont="1" applyFill="1" applyBorder="1" applyAlignment="1" applyProtection="1">
      <alignment horizontal="center" vertical="center" wrapText="1"/>
      <protection locked="0"/>
    </xf>
    <xf numFmtId="14" fontId="3" fillId="6" borderId="0" xfId="0" applyNumberFormat="1" applyFont="1" applyFill="1" applyBorder="1" applyAlignment="1" applyProtection="1">
      <alignment horizontal="center" vertical="center"/>
    </xf>
    <xf numFmtId="0" fontId="20" fillId="19" borderId="22" xfId="0" applyFont="1" applyFill="1" applyBorder="1" applyAlignment="1" applyProtection="1">
      <alignment horizontal="center" vertical="center" wrapText="1"/>
    </xf>
    <xf numFmtId="0" fontId="20" fillId="19" borderId="38" xfId="0" applyFont="1" applyFill="1" applyBorder="1" applyAlignment="1" applyProtection="1">
      <alignment horizontal="center" vertical="center" wrapText="1"/>
    </xf>
    <xf numFmtId="0" fontId="4" fillId="6" borderId="14" xfId="0" applyFont="1" applyFill="1" applyBorder="1" applyAlignment="1" applyProtection="1">
      <alignment horizontal="center" vertical="center"/>
    </xf>
    <xf numFmtId="0" fontId="4" fillId="6" borderId="15" xfId="0" applyFont="1" applyFill="1" applyBorder="1" applyAlignment="1" applyProtection="1">
      <alignment horizontal="center" vertical="center"/>
    </xf>
    <xf numFmtId="0" fontId="4" fillId="6" borderId="16" xfId="0" applyFont="1" applyFill="1" applyBorder="1" applyAlignment="1" applyProtection="1">
      <alignment horizontal="center" vertical="center"/>
    </xf>
    <xf numFmtId="0" fontId="4" fillId="6" borderId="14" xfId="0" applyFont="1" applyFill="1" applyBorder="1" applyAlignment="1" applyProtection="1">
      <alignment horizontal="center" vertical="center" wrapText="1" shrinkToFit="1"/>
    </xf>
    <xf numFmtId="0" fontId="4" fillId="6" borderId="15" xfId="0" applyFont="1" applyFill="1" applyBorder="1" applyAlignment="1" applyProtection="1">
      <alignment horizontal="center" vertical="center" wrapText="1" shrinkToFit="1"/>
    </xf>
    <xf numFmtId="0" fontId="4" fillId="6" borderId="16" xfId="0" applyFont="1" applyFill="1" applyBorder="1" applyAlignment="1" applyProtection="1">
      <alignment horizontal="center" vertical="center" wrapText="1" shrinkToFit="1"/>
    </xf>
    <xf numFmtId="0" fontId="4" fillId="6" borderId="29" xfId="0" applyFont="1" applyFill="1" applyBorder="1" applyAlignment="1" applyProtection="1">
      <alignment wrapText="1"/>
    </xf>
    <xf numFmtId="0" fontId="4" fillId="6" borderId="44" xfId="0" applyFont="1" applyFill="1" applyBorder="1" applyAlignment="1" applyProtection="1">
      <alignment wrapText="1"/>
    </xf>
    <xf numFmtId="0" fontId="3" fillId="6" borderId="39" xfId="0" applyFont="1" applyFill="1" applyBorder="1" applyAlignment="1" applyProtection="1">
      <alignment horizontal="left" vertical="center" wrapText="1"/>
    </xf>
    <xf numFmtId="3" fontId="3" fillId="17" borderId="24" xfId="0" applyNumberFormat="1" applyFont="1" applyFill="1" applyBorder="1" applyAlignment="1" applyProtection="1">
      <alignment horizontal="right" vertical="center" wrapText="1"/>
      <protection locked="0"/>
    </xf>
    <xf numFmtId="3" fontId="3" fillId="6" borderId="24" xfId="0" applyNumberFormat="1" applyFont="1" applyFill="1" applyBorder="1" applyAlignment="1" applyProtection="1">
      <alignment horizontal="right" vertical="center"/>
    </xf>
    <xf numFmtId="3" fontId="3" fillId="17" borderId="36" xfId="0" applyNumberFormat="1" applyFont="1" applyFill="1" applyBorder="1" applyAlignment="1" applyProtection="1">
      <alignment horizontal="right" vertical="center"/>
    </xf>
    <xf numFmtId="0" fontId="3" fillId="6" borderId="40" xfId="0" applyFont="1" applyFill="1" applyBorder="1" applyAlignment="1" applyProtection="1">
      <alignment horizontal="left" vertical="center" wrapText="1"/>
    </xf>
    <xf numFmtId="0" fontId="3" fillId="6" borderId="41" xfId="0" applyFont="1" applyFill="1" applyBorder="1" applyAlignment="1" applyProtection="1">
      <alignment horizontal="left" vertical="center" wrapText="1"/>
    </xf>
    <xf numFmtId="0" fontId="3" fillId="6" borderId="42" xfId="0" applyFont="1" applyFill="1" applyBorder="1" applyAlignment="1" applyProtection="1">
      <alignment horizontal="left" vertical="center" wrapText="1"/>
    </xf>
    <xf numFmtId="0" fontId="4" fillId="6" borderId="13" xfId="0" applyFont="1" applyFill="1" applyBorder="1" applyAlignment="1" applyProtection="1">
      <alignment horizontal="center"/>
    </xf>
    <xf numFmtId="0" fontId="4" fillId="6" borderId="19" xfId="0" applyFont="1" applyFill="1" applyBorder="1" applyAlignment="1" applyProtection="1">
      <alignment horizontal="center"/>
    </xf>
    <xf numFmtId="0" fontId="4" fillId="6" borderId="1" xfId="0" applyFont="1" applyFill="1" applyBorder="1" applyAlignment="1" applyProtection="1">
      <alignment horizontal="center"/>
    </xf>
    <xf numFmtId="173" fontId="3" fillId="6" borderId="13" xfId="2" applyNumberFormat="1" applyFont="1" applyFill="1" applyBorder="1" applyAlignment="1" applyProtection="1">
      <alignment horizontal="center"/>
    </xf>
    <xf numFmtId="173" fontId="3" fillId="6" borderId="19" xfId="2" applyNumberFormat="1" applyFont="1" applyFill="1" applyBorder="1" applyAlignment="1" applyProtection="1">
      <alignment horizontal="center"/>
    </xf>
    <xf numFmtId="173" fontId="3" fillId="6" borderId="1" xfId="2" applyNumberFormat="1" applyFont="1" applyFill="1" applyBorder="1" applyAlignment="1" applyProtection="1">
      <alignment horizontal="center"/>
    </xf>
    <xf numFmtId="173" fontId="4" fillId="17" borderId="14" xfId="2" applyNumberFormat="1" applyFont="1" applyFill="1" applyBorder="1" applyAlignment="1" applyProtection="1">
      <alignment horizontal="center"/>
      <protection locked="0"/>
    </xf>
    <xf numFmtId="173" fontId="4" fillId="17" borderId="15" xfId="2" applyNumberFormat="1" applyFont="1" applyFill="1" applyBorder="1" applyAlignment="1" applyProtection="1">
      <alignment horizontal="center"/>
      <protection locked="0"/>
    </xf>
    <xf numFmtId="0" fontId="3" fillId="6" borderId="13" xfId="0" applyFont="1" applyFill="1" applyBorder="1" applyAlignment="1" applyProtection="1">
      <alignment horizontal="center"/>
    </xf>
    <xf numFmtId="0" fontId="3" fillId="6" borderId="19" xfId="0" applyFont="1" applyFill="1" applyBorder="1" applyAlignment="1" applyProtection="1">
      <alignment horizontal="center"/>
    </xf>
    <xf numFmtId="0" fontId="3" fillId="6" borderId="1" xfId="0" applyFont="1" applyFill="1" applyBorder="1" applyAlignment="1" applyProtection="1">
      <alignment horizontal="center"/>
    </xf>
    <xf numFmtId="166" fontId="32" fillId="19" borderId="14" xfId="2" applyNumberFormat="1" applyFont="1" applyFill="1" applyBorder="1" applyAlignment="1" applyProtection="1">
      <alignment horizontal="center"/>
    </xf>
    <xf numFmtId="166" fontId="32" fillId="19" borderId="15" xfId="2" applyNumberFormat="1" applyFont="1" applyFill="1" applyBorder="1" applyAlignment="1" applyProtection="1">
      <alignment horizontal="center"/>
    </xf>
    <xf numFmtId="166" fontId="32" fillId="19" borderId="16" xfId="2" applyNumberFormat="1" applyFont="1" applyFill="1" applyBorder="1" applyAlignment="1" applyProtection="1">
      <alignment horizontal="center"/>
    </xf>
    <xf numFmtId="0" fontId="18" fillId="0" borderId="0" xfId="0" applyFont="1" applyAlignment="1" applyProtection="1">
      <alignment horizontal="center"/>
    </xf>
    <xf numFmtId="0" fontId="17" fillId="8" borderId="4" xfId="0" applyFont="1" applyFill="1" applyBorder="1" applyAlignment="1">
      <alignment horizontal="center"/>
    </xf>
    <xf numFmtId="0" fontId="17" fillId="8" borderId="5" xfId="0" applyFont="1" applyFill="1" applyBorder="1" applyAlignment="1">
      <alignment horizontal="center"/>
    </xf>
    <xf numFmtId="0" fontId="17" fillId="8" borderId="45" xfId="0" applyFont="1" applyFill="1" applyBorder="1" applyAlignment="1">
      <alignment horizontal="center"/>
    </xf>
    <xf numFmtId="0" fontId="4" fillId="0" borderId="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32" fillId="11" borderId="2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wrapText="1"/>
      <protection locked="0"/>
    </xf>
    <xf numFmtId="0" fontId="32" fillId="11" borderId="21" xfId="0" applyFont="1" applyFill="1" applyBorder="1" applyAlignment="1" applyProtection="1">
      <alignment horizontal="center" vertical="center" wrapText="1"/>
      <protection locked="0"/>
    </xf>
    <xf numFmtId="0" fontId="3" fillId="11" borderId="14" xfId="0" applyFont="1" applyFill="1" applyBorder="1" applyAlignment="1" applyProtection="1">
      <alignment horizontal="left" vertical="center" wrapText="1"/>
    </xf>
    <xf numFmtId="0" fontId="3" fillId="11" borderId="15" xfId="0" applyFont="1" applyFill="1" applyBorder="1" applyAlignment="1" applyProtection="1">
      <alignment horizontal="left" vertical="center" wrapText="1"/>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56" fillId="11" borderId="0" xfId="0" applyFont="1" applyFill="1" applyBorder="1" applyAlignment="1" applyProtection="1">
      <alignment horizontal="center" vertical="center"/>
    </xf>
    <xf numFmtId="0" fontId="12" fillId="6" borderId="0" xfId="0" applyFont="1" applyFill="1" applyBorder="1" applyAlignment="1" applyProtection="1">
      <alignment horizontal="left" wrapText="1"/>
    </xf>
    <xf numFmtId="0" fontId="18" fillId="10" borderId="49" xfId="0" applyFont="1" applyFill="1" applyBorder="1" applyAlignment="1" applyProtection="1">
      <alignment horizontal="center" vertical="center" wrapText="1"/>
      <protection locked="0"/>
    </xf>
    <xf numFmtId="0" fontId="18" fillId="10" borderId="2" xfId="0" applyFont="1" applyFill="1" applyBorder="1" applyAlignment="1" applyProtection="1">
      <alignment horizontal="center" vertical="center" wrapText="1"/>
      <protection locked="0"/>
    </xf>
    <xf numFmtId="0" fontId="18" fillId="10" borderId="50" xfId="0" applyFont="1" applyFill="1" applyBorder="1" applyAlignment="1" applyProtection="1">
      <alignment horizontal="center" vertical="center" wrapText="1"/>
      <protection locked="0"/>
    </xf>
    <xf numFmtId="0" fontId="18" fillId="10" borderId="33" xfId="0" applyFont="1" applyFill="1" applyBorder="1" applyAlignment="1" applyProtection="1">
      <alignment horizontal="center" vertical="center" wrapText="1"/>
      <protection locked="0"/>
    </xf>
    <xf numFmtId="0" fontId="18" fillId="10" borderId="48" xfId="0" applyFont="1" applyFill="1" applyBorder="1" applyAlignment="1" applyProtection="1">
      <alignment horizontal="center" vertical="center" wrapText="1"/>
      <protection locked="0"/>
    </xf>
    <xf numFmtId="0" fontId="18" fillId="10" borderId="32" xfId="0" applyFont="1" applyFill="1" applyBorder="1" applyAlignment="1" applyProtection="1">
      <alignment horizontal="center" vertical="center" wrapText="1"/>
      <protection locked="0"/>
    </xf>
    <xf numFmtId="0" fontId="26" fillId="6" borderId="0" xfId="0" applyFont="1" applyFill="1" applyBorder="1" applyAlignment="1">
      <alignment horizontal="left" vertical="center"/>
    </xf>
    <xf numFmtId="0" fontId="26" fillId="6" borderId="0" xfId="0" applyFont="1" applyFill="1" applyBorder="1" applyAlignment="1">
      <alignment horizontal="justify"/>
    </xf>
    <xf numFmtId="0" fontId="26" fillId="6" borderId="0" xfId="0" applyFont="1" applyFill="1" applyBorder="1" applyAlignment="1">
      <alignment horizontal="justify" wrapText="1"/>
    </xf>
    <xf numFmtId="0" fontId="26" fillId="6" borderId="0" xfId="0" applyFont="1" applyFill="1" applyBorder="1" applyAlignment="1">
      <alignment horizontal="left"/>
    </xf>
    <xf numFmtId="0" fontId="26" fillId="6" borderId="0" xfId="0" applyFont="1" applyFill="1" applyBorder="1" applyAlignment="1">
      <alignment horizontal="justify" vertical="justify" wrapText="1"/>
    </xf>
    <xf numFmtId="0" fontId="49" fillId="17" borderId="0" xfId="0" applyFont="1" applyFill="1" applyBorder="1" applyAlignment="1" applyProtection="1">
      <alignment horizontal="center" wrapText="1"/>
      <protection locked="0"/>
    </xf>
    <xf numFmtId="0" fontId="40" fillId="17" borderId="0" xfId="0" applyFont="1" applyFill="1" applyBorder="1" applyAlignment="1" applyProtection="1">
      <alignment horizontal="center" wrapText="1"/>
      <protection locked="0"/>
    </xf>
    <xf numFmtId="0" fontId="40" fillId="6" borderId="13" xfId="0" applyFont="1" applyFill="1" applyBorder="1" applyAlignment="1" applyProtection="1">
      <alignment horizontal="center" wrapText="1"/>
    </xf>
    <xf numFmtId="0" fontId="40" fillId="6" borderId="1" xfId="0" applyFont="1" applyFill="1" applyBorder="1" applyAlignment="1" applyProtection="1">
      <alignment horizontal="center" wrapText="1"/>
    </xf>
    <xf numFmtId="167" fontId="40" fillId="17" borderId="0" xfId="2" applyNumberFormat="1" applyFont="1" applyFill="1" applyBorder="1" applyAlignment="1" applyProtection="1">
      <alignment horizontal="center" wrapText="1"/>
      <protection locked="0"/>
    </xf>
    <xf numFmtId="175" fontId="40" fillId="17" borderId="0" xfId="2" applyNumberFormat="1" applyFont="1" applyFill="1" applyBorder="1" applyAlignment="1" applyProtection="1">
      <alignment horizontal="center" wrapText="1"/>
      <protection locked="0"/>
    </xf>
    <xf numFmtId="0" fontId="37" fillId="6" borderId="0" xfId="0" applyFont="1" applyFill="1" applyBorder="1" applyAlignment="1">
      <alignment horizontal="left"/>
    </xf>
    <xf numFmtId="0" fontId="26" fillId="6" borderId="0" xfId="0" applyFont="1" applyFill="1" applyBorder="1" applyAlignment="1" applyProtection="1">
      <alignment horizontal="left"/>
      <protection locked="0"/>
    </xf>
    <xf numFmtId="0" fontId="26" fillId="6" borderId="0" xfId="0" applyFont="1" applyFill="1" applyBorder="1" applyAlignment="1" applyProtection="1">
      <alignment horizontal="left" wrapText="1"/>
      <protection locked="0"/>
    </xf>
    <xf numFmtId="1" fontId="4" fillId="6" borderId="22" xfId="7" applyNumberFormat="1" applyFont="1" applyFill="1" applyBorder="1" applyAlignment="1" applyProtection="1">
      <alignment horizontal="center" vertical="center"/>
    </xf>
    <xf numFmtId="1" fontId="4" fillId="6" borderId="23" xfId="7" applyNumberFormat="1" applyFont="1" applyFill="1" applyBorder="1" applyAlignment="1" applyProtection="1">
      <alignment horizontal="center" vertical="center"/>
    </xf>
    <xf numFmtId="1" fontId="4" fillId="6" borderId="24" xfId="7" applyNumberFormat="1" applyFont="1" applyFill="1" applyBorder="1" applyAlignment="1" applyProtection="1">
      <alignment horizontal="center" vertical="center"/>
    </xf>
    <xf numFmtId="0" fontId="26" fillId="6" borderId="22" xfId="0" applyFont="1" applyFill="1" applyBorder="1" applyAlignment="1" applyProtection="1">
      <alignment horizontal="center"/>
    </xf>
    <xf numFmtId="0" fontId="26" fillId="6" borderId="23" xfId="0" applyFont="1" applyFill="1" applyBorder="1" applyAlignment="1" applyProtection="1">
      <alignment horizontal="center"/>
    </xf>
    <xf numFmtId="0" fontId="26" fillId="6" borderId="24" xfId="0" applyFont="1" applyFill="1" applyBorder="1" applyAlignment="1" applyProtection="1">
      <alignment horizontal="center"/>
    </xf>
    <xf numFmtId="0" fontId="26" fillId="6" borderId="0" xfId="0" applyFont="1" applyFill="1" applyBorder="1" applyAlignment="1" applyProtection="1">
      <alignment horizontal="justify" wrapText="1"/>
      <protection locked="0"/>
    </xf>
    <xf numFmtId="14" fontId="26" fillId="6" borderId="0" xfId="0" applyNumberFormat="1" applyFont="1" applyFill="1" applyBorder="1" applyAlignment="1">
      <alignment horizontal="center"/>
    </xf>
    <xf numFmtId="0" fontId="37" fillId="6" borderId="0" xfId="0" applyFont="1" applyFill="1" applyBorder="1" applyAlignment="1" applyProtection="1">
      <alignment horizontal="left" wrapText="1"/>
      <protection locked="0"/>
    </xf>
    <xf numFmtId="0" fontId="37" fillId="6" borderId="0" xfId="0" applyFont="1" applyFill="1" applyBorder="1" applyAlignment="1" applyProtection="1">
      <alignment horizontal="left"/>
      <protection locked="0"/>
    </xf>
    <xf numFmtId="0" fontId="26" fillId="6" borderId="0" xfId="0" applyFont="1" applyFill="1" applyBorder="1" applyAlignment="1" applyProtection="1">
      <alignment horizontal="center"/>
      <protection locked="0"/>
    </xf>
    <xf numFmtId="0" fontId="52" fillId="11" borderId="14" xfId="7" applyFont="1" applyFill="1" applyBorder="1" applyAlignment="1" applyProtection="1">
      <alignment horizontal="center" vertical="center"/>
    </xf>
    <xf numFmtId="0" fontId="52" fillId="11" borderId="15" xfId="7" applyFont="1" applyFill="1" applyBorder="1" applyAlignment="1" applyProtection="1">
      <alignment horizontal="center" vertical="center"/>
    </xf>
    <xf numFmtId="0" fontId="52" fillId="11" borderId="16" xfId="7" applyFont="1" applyFill="1" applyBorder="1" applyAlignment="1" applyProtection="1">
      <alignment horizontal="center" vertical="center"/>
    </xf>
    <xf numFmtId="0" fontId="37" fillId="6" borderId="0" xfId="0" applyFont="1" applyFill="1" applyBorder="1" applyAlignment="1" applyProtection="1">
      <alignment horizontal="justify" wrapText="1"/>
    </xf>
    <xf numFmtId="0" fontId="37" fillId="6" borderId="0" xfId="0" applyFont="1" applyFill="1" applyBorder="1" applyAlignment="1" applyProtection="1">
      <alignment horizontal="justify" wrapText="1"/>
      <protection locked="0"/>
    </xf>
    <xf numFmtId="0" fontId="26" fillId="6" borderId="0" xfId="0" applyFont="1" applyFill="1" applyBorder="1" applyAlignment="1" applyProtection="1">
      <alignment horizontal="left" vertical="center" wrapText="1"/>
      <protection locked="0"/>
    </xf>
    <xf numFmtId="0" fontId="26" fillId="6" borderId="12" xfId="0" applyFont="1" applyFill="1" applyBorder="1" applyAlignment="1" applyProtection="1">
      <alignment horizontal="left" wrapText="1"/>
      <protection locked="0"/>
    </xf>
    <xf numFmtId="173" fontId="26" fillId="17" borderId="0" xfId="2" applyNumberFormat="1" applyFont="1" applyFill="1" applyBorder="1" applyAlignment="1" applyProtection="1">
      <alignment horizontal="center" wrapText="1"/>
      <protection locked="0"/>
    </xf>
    <xf numFmtId="165" fontId="26" fillId="17" borderId="0" xfId="2" applyNumberFormat="1" applyFont="1" applyFill="1" applyBorder="1" applyAlignment="1" applyProtection="1">
      <alignment horizontal="center" wrapText="1"/>
      <protection locked="0"/>
    </xf>
    <xf numFmtId="0" fontId="26" fillId="14" borderId="0" xfId="0" applyFont="1" applyFill="1" applyBorder="1" applyAlignment="1" applyProtection="1">
      <alignment horizontal="center"/>
      <protection locked="0"/>
    </xf>
    <xf numFmtId="0" fontId="26" fillId="6" borderId="0" xfId="0" applyFont="1" applyFill="1" applyBorder="1" applyAlignment="1" applyProtection="1">
      <alignment horizontal="right" wrapText="1"/>
      <protection locked="0"/>
    </xf>
    <xf numFmtId="0" fontId="26" fillId="14" borderId="0" xfId="0" applyFont="1" applyFill="1" applyBorder="1" applyAlignment="1">
      <alignment horizontal="center"/>
    </xf>
    <xf numFmtId="0" fontId="26" fillId="14" borderId="0" xfId="0" applyFont="1" applyFill="1" applyBorder="1" applyAlignment="1" applyProtection="1">
      <alignment horizontal="center" vertical="center"/>
      <protection locked="0"/>
    </xf>
    <xf numFmtId="0" fontId="26" fillId="6" borderId="0" xfId="0" applyFont="1" applyFill="1" applyBorder="1" applyAlignment="1">
      <alignment horizontal="justify" vertical="center" wrapText="1"/>
    </xf>
    <xf numFmtId="0" fontId="37" fillId="14" borderId="0" xfId="0" applyFont="1" applyFill="1" applyBorder="1" applyAlignment="1">
      <alignment horizontal="center"/>
    </xf>
    <xf numFmtId="0" fontId="49" fillId="6" borderId="1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9" xfId="0" applyFont="1" applyFill="1" applyBorder="1" applyAlignment="1" applyProtection="1">
      <alignment horizontal="center" vertical="center" wrapText="1"/>
      <protection locked="0"/>
    </xf>
    <xf numFmtId="0" fontId="26" fillId="14" borderId="8" xfId="0" applyFont="1" applyFill="1" applyBorder="1" applyAlignment="1">
      <alignment horizontal="center"/>
    </xf>
    <xf numFmtId="0" fontId="37" fillId="14" borderId="0" xfId="0" applyFont="1" applyFill="1" applyBorder="1" applyAlignment="1" applyProtection="1">
      <alignment horizontal="center"/>
      <protection locked="0"/>
    </xf>
    <xf numFmtId="0" fontId="26" fillId="14" borderId="0" xfId="0" applyFont="1" applyFill="1" applyBorder="1" applyAlignment="1" applyProtection="1">
      <alignment horizontal="center" wrapText="1"/>
      <protection locked="0"/>
    </xf>
    <xf numFmtId="0" fontId="37" fillId="22" borderId="0" xfId="0" applyFont="1" applyFill="1" applyBorder="1" applyAlignment="1" applyProtection="1">
      <alignment horizontal="center"/>
      <protection locked="0"/>
    </xf>
    <xf numFmtId="0" fontId="26" fillId="22" borderId="0" xfId="0" applyFont="1" applyFill="1" applyBorder="1" applyAlignment="1" applyProtection="1">
      <alignment horizontal="center"/>
      <protection locked="0"/>
    </xf>
    <xf numFmtId="0" fontId="26" fillId="14" borderId="0" xfId="0" applyFont="1" applyFill="1" applyBorder="1" applyAlignment="1">
      <alignment horizontal="center" wrapText="1"/>
    </xf>
    <xf numFmtId="0" fontId="37" fillId="14" borderId="8" xfId="0" applyFont="1" applyFill="1" applyBorder="1" applyAlignment="1">
      <alignment horizontal="center"/>
    </xf>
    <xf numFmtId="0" fontId="37" fillId="22" borderId="0" xfId="0" applyFont="1" applyFill="1" applyBorder="1" applyAlignment="1">
      <alignment horizontal="center"/>
    </xf>
    <xf numFmtId="0" fontId="26" fillId="22" borderId="0" xfId="0" applyFont="1" applyFill="1" applyBorder="1" applyAlignment="1">
      <alignment horizontal="center"/>
    </xf>
    <xf numFmtId="0" fontId="37" fillId="14" borderId="0" xfId="0" applyFont="1" applyFill="1" applyBorder="1" applyAlignment="1" applyProtection="1">
      <alignment horizontal="center" wrapText="1"/>
      <protection locked="0"/>
    </xf>
    <xf numFmtId="0" fontId="26" fillId="6" borderId="8" xfId="0" applyFont="1" applyFill="1" applyBorder="1" applyAlignment="1">
      <alignment horizontal="center"/>
    </xf>
    <xf numFmtId="0" fontId="26" fillId="14" borderId="0" xfId="0" applyFont="1" applyFill="1" applyBorder="1" applyAlignment="1">
      <alignment horizontal="center" vertical="center"/>
    </xf>
    <xf numFmtId="0" fontId="26" fillId="14" borderId="8" xfId="0" applyFont="1" applyFill="1" applyBorder="1" applyAlignment="1">
      <alignment horizontal="center" vertical="center"/>
    </xf>
    <xf numFmtId="0" fontId="26" fillId="14" borderId="0" xfId="0" applyFont="1" applyFill="1" applyBorder="1" applyAlignment="1">
      <alignment horizontal="center" vertical="center" wrapText="1"/>
    </xf>
    <xf numFmtId="0" fontId="37" fillId="14" borderId="0" xfId="0" applyFont="1" applyFill="1" applyBorder="1" applyAlignment="1">
      <alignment horizontal="center" vertical="center"/>
    </xf>
    <xf numFmtId="0" fontId="37" fillId="14" borderId="8" xfId="0" applyFont="1" applyFill="1" applyBorder="1" applyAlignment="1">
      <alignment horizontal="center" vertical="center"/>
    </xf>
    <xf numFmtId="0" fontId="26" fillId="14" borderId="0" xfId="0" applyFont="1" applyFill="1" applyBorder="1" applyAlignment="1" applyProtection="1">
      <alignment horizontal="center" vertical="center" wrapText="1"/>
      <protection locked="0"/>
    </xf>
    <xf numFmtId="0" fontId="37" fillId="14" borderId="0" xfId="0" applyFont="1" applyFill="1" applyBorder="1" applyAlignment="1" applyProtection="1">
      <alignment horizontal="center" vertical="center"/>
      <protection locked="0"/>
    </xf>
    <xf numFmtId="0" fontId="26" fillId="6" borderId="12" xfId="0" applyFont="1" applyFill="1" applyBorder="1" applyAlignment="1">
      <alignment horizontal="left" vertical="center" wrapText="1"/>
    </xf>
    <xf numFmtId="0" fontId="26" fillId="6" borderId="15" xfId="0" applyFont="1" applyFill="1" applyBorder="1" applyAlignment="1">
      <alignment horizontal="left" wrapText="1"/>
    </xf>
    <xf numFmtId="0" fontId="52" fillId="11" borderId="13" xfId="7" applyFont="1" applyFill="1" applyBorder="1" applyAlignment="1" applyProtection="1">
      <alignment horizontal="center" vertical="center"/>
    </xf>
    <xf numFmtId="0" fontId="52" fillId="11" borderId="19" xfId="7" applyFont="1" applyFill="1" applyBorder="1" applyAlignment="1" applyProtection="1">
      <alignment horizontal="center" vertical="center"/>
    </xf>
    <xf numFmtId="0" fontId="52" fillId="11" borderId="1" xfId="7" applyFont="1" applyFill="1" applyBorder="1" applyAlignment="1" applyProtection="1">
      <alignment horizontal="center" vertical="center"/>
    </xf>
    <xf numFmtId="0" fontId="37" fillId="6" borderId="0" xfId="0" applyFont="1" applyFill="1" applyBorder="1" applyAlignment="1">
      <alignment horizontal="justify" wrapText="1"/>
    </xf>
    <xf numFmtId="0" fontId="40" fillId="6" borderId="0" xfId="0" applyFont="1" applyFill="1" applyBorder="1" applyAlignment="1">
      <alignment horizontal="center" wrapText="1"/>
    </xf>
    <xf numFmtId="0" fontId="48" fillId="6" borderId="0" xfId="6" applyFont="1" applyFill="1" applyBorder="1" applyAlignment="1">
      <alignment horizontal="center" wrapText="1"/>
    </xf>
    <xf numFmtId="0" fontId="49" fillId="6" borderId="0" xfId="0" applyFont="1" applyFill="1" applyBorder="1" applyAlignment="1">
      <alignment horizontal="center" vertical="center" wrapText="1"/>
    </xf>
    <xf numFmtId="0" fontId="53" fillId="11" borderId="13" xfId="0" applyFont="1" applyFill="1" applyBorder="1" applyAlignment="1">
      <alignment horizontal="center"/>
    </xf>
    <xf numFmtId="0" fontId="53" fillId="11" borderId="19" xfId="0" applyFont="1" applyFill="1" applyBorder="1" applyAlignment="1">
      <alignment horizontal="center"/>
    </xf>
    <xf numFmtId="0" fontId="53" fillId="11" borderId="1" xfId="0" applyFont="1" applyFill="1" applyBorder="1" applyAlignment="1">
      <alignment horizontal="center"/>
    </xf>
    <xf numFmtId="0" fontId="26" fillId="6" borderId="22" xfId="0" applyFont="1" applyFill="1" applyBorder="1" applyAlignment="1">
      <alignment horizontal="center" wrapText="1"/>
    </xf>
    <xf numFmtId="0" fontId="26" fillId="6" borderId="23" xfId="0" applyFont="1" applyFill="1" applyBorder="1" applyAlignment="1">
      <alignment horizontal="center" wrapText="1"/>
    </xf>
    <xf numFmtId="0" fontId="26" fillId="6" borderId="24" xfId="0" applyFont="1" applyFill="1" applyBorder="1" applyAlignment="1">
      <alignment horizontal="center" wrapText="1"/>
    </xf>
    <xf numFmtId="0" fontId="26" fillId="6" borderId="0" xfId="0" applyFont="1" applyFill="1" applyBorder="1" applyAlignment="1" applyProtection="1">
      <alignment horizontal="justify" wrapText="1"/>
    </xf>
    <xf numFmtId="0" fontId="26" fillId="6" borderId="0" xfId="0" applyFont="1" applyFill="1" applyBorder="1" applyAlignment="1">
      <alignment horizontal="left" wrapText="1"/>
    </xf>
    <xf numFmtId="0" fontId="37" fillId="6" borderId="0" xfId="0" applyFont="1" applyFill="1" applyBorder="1" applyAlignment="1" applyProtection="1">
      <alignment horizontal="justify"/>
      <protection locked="0"/>
    </xf>
    <xf numFmtId="0" fontId="37" fillId="6" borderId="21" xfId="0" applyFont="1" applyFill="1" applyBorder="1" applyAlignment="1" applyProtection="1">
      <alignment horizontal="justify"/>
      <protection locked="0"/>
    </xf>
    <xf numFmtId="0" fontId="47" fillId="6" borderId="0" xfId="0" applyFont="1" applyFill="1" applyBorder="1" applyAlignment="1" applyProtection="1">
      <alignment horizontal="left" wrapText="1"/>
      <protection locked="0"/>
    </xf>
    <xf numFmtId="0" fontId="26" fillId="6" borderId="0" xfId="0" applyFont="1" applyFill="1" applyAlignment="1">
      <alignment horizontal="left"/>
    </xf>
    <xf numFmtId="0" fontId="4" fillId="6" borderId="22" xfId="7" applyNumberFormat="1" applyFont="1" applyFill="1" applyBorder="1" applyAlignment="1" applyProtection="1">
      <alignment horizontal="center" vertical="center"/>
    </xf>
    <xf numFmtId="0" fontId="4" fillId="6" borderId="23" xfId="7" applyNumberFormat="1" applyFont="1" applyFill="1" applyBorder="1" applyAlignment="1" applyProtection="1">
      <alignment horizontal="center" vertical="center"/>
    </xf>
    <xf numFmtId="0" fontId="4" fillId="6" borderId="24" xfId="7" applyNumberFormat="1" applyFont="1" applyFill="1" applyBorder="1" applyAlignment="1" applyProtection="1">
      <alignment horizontal="center" vertical="center"/>
    </xf>
    <xf numFmtId="0" fontId="3" fillId="6" borderId="22" xfId="7" applyNumberFormat="1" applyFont="1" applyFill="1" applyBorder="1" applyAlignment="1" applyProtection="1">
      <alignment horizontal="center" vertical="center"/>
    </xf>
    <xf numFmtId="0" fontId="3" fillId="6" borderId="23" xfId="7" applyNumberFormat="1" applyFont="1" applyFill="1" applyBorder="1" applyAlignment="1" applyProtection="1">
      <alignment horizontal="center" vertical="center"/>
    </xf>
    <xf numFmtId="0" fontId="3" fillId="6" borderId="24" xfId="7" applyNumberFormat="1" applyFont="1" applyFill="1" applyBorder="1" applyAlignment="1" applyProtection="1">
      <alignment horizontal="center" vertical="center"/>
    </xf>
    <xf numFmtId="0" fontId="37" fillId="6" borderId="0" xfId="0" applyFont="1" applyFill="1" applyBorder="1" applyAlignment="1">
      <alignment horizontal="left" wrapText="1"/>
    </xf>
    <xf numFmtId="49" fontId="26" fillId="14" borderId="0" xfId="0" applyNumberFormat="1" applyFont="1" applyFill="1" applyBorder="1" applyAlignment="1">
      <alignment horizontal="center"/>
    </xf>
    <xf numFmtId="49" fontId="26" fillId="14" borderId="8" xfId="0" applyNumberFormat="1" applyFont="1" applyFill="1" applyBorder="1" applyAlignment="1">
      <alignment horizontal="center"/>
    </xf>
    <xf numFmtId="49" fontId="26" fillId="14" borderId="0" xfId="0" applyNumberFormat="1" applyFont="1" applyFill="1" applyBorder="1" applyAlignment="1">
      <alignment horizontal="center" wrapText="1"/>
    </xf>
    <xf numFmtId="49" fontId="26" fillId="14" borderId="8" xfId="0" applyNumberFormat="1" applyFont="1" applyFill="1" applyBorder="1" applyAlignment="1">
      <alignment horizontal="center" wrapText="1"/>
    </xf>
    <xf numFmtId="49" fontId="26" fillId="14" borderId="0" xfId="0" applyNumberFormat="1" applyFont="1" applyFill="1" applyBorder="1" applyAlignment="1">
      <alignment horizontal="center" vertical="center" wrapText="1"/>
    </xf>
    <xf numFmtId="49" fontId="26" fillId="14" borderId="8" xfId="0" applyNumberFormat="1" applyFont="1" applyFill="1" applyBorder="1" applyAlignment="1">
      <alignment horizontal="center" vertical="center" wrapText="1"/>
    </xf>
    <xf numFmtId="49" fontId="26" fillId="14" borderId="0" xfId="0" applyNumberFormat="1" applyFont="1" applyFill="1" applyBorder="1" applyAlignment="1">
      <alignment horizontal="center" vertical="center"/>
    </xf>
    <xf numFmtId="49" fontId="26" fillId="14" borderId="8" xfId="0" applyNumberFormat="1" applyFont="1" applyFill="1" applyBorder="1" applyAlignment="1">
      <alignment horizontal="center" vertical="center"/>
    </xf>
    <xf numFmtId="0" fontId="26" fillId="14" borderId="8" xfId="0" applyFont="1" applyFill="1" applyBorder="1" applyAlignment="1">
      <alignment horizontal="center" wrapText="1"/>
    </xf>
    <xf numFmtId="0" fontId="56" fillId="11" borderId="0" xfId="0" applyFont="1" applyFill="1" applyBorder="1" applyAlignment="1">
      <alignment horizontal="center" vertical="center"/>
    </xf>
    <xf numFmtId="0" fontId="6" fillId="6" borderId="0" xfId="6" applyFill="1" applyBorder="1" applyAlignment="1">
      <alignment horizontal="center" wrapText="1"/>
    </xf>
    <xf numFmtId="0" fontId="6" fillId="6" borderId="21" xfId="6" applyFill="1" applyBorder="1" applyAlignment="1">
      <alignment horizontal="center" wrapText="1"/>
    </xf>
    <xf numFmtId="0" fontId="41" fillId="6" borderId="0" xfId="0" applyFont="1" applyFill="1" applyBorder="1" applyAlignment="1">
      <alignment horizontal="left" wrapText="1"/>
    </xf>
    <xf numFmtId="0" fontId="60" fillId="6" borderId="0" xfId="6" applyFont="1" applyFill="1" applyBorder="1" applyAlignment="1" applyProtection="1">
      <alignment horizontal="center" wrapText="1"/>
      <protection locked="0"/>
    </xf>
    <xf numFmtId="0" fontId="37" fillId="6" borderId="7" xfId="0" applyFont="1" applyFill="1" applyBorder="1" applyAlignment="1">
      <alignment horizontal="center"/>
    </xf>
    <xf numFmtId="0" fontId="4" fillId="6" borderId="0" xfId="0" applyFont="1" applyFill="1" applyBorder="1" applyAlignment="1" applyProtection="1">
      <alignment horizontal="left"/>
      <protection locked="0"/>
    </xf>
    <xf numFmtId="0" fontId="4" fillId="6" borderId="0" xfId="0" applyFont="1" applyFill="1" applyBorder="1" applyAlignment="1" applyProtection="1">
      <alignment horizontal="left" wrapText="1"/>
      <protection locked="0"/>
    </xf>
    <xf numFmtId="0" fontId="40" fillId="6" borderId="0" xfId="0" applyFont="1" applyFill="1" applyBorder="1" applyAlignment="1" applyProtection="1">
      <alignment horizontal="justify" wrapText="1"/>
      <protection locked="0"/>
    </xf>
    <xf numFmtId="0" fontId="40" fillId="6" borderId="0" xfId="0" applyFont="1" applyFill="1" applyBorder="1" applyAlignment="1" applyProtection="1">
      <alignment horizontal="justify"/>
      <protection locked="0"/>
    </xf>
    <xf numFmtId="0" fontId="40" fillId="6" borderId="0" xfId="0" applyFont="1" applyFill="1" applyBorder="1" applyAlignment="1" applyProtection="1">
      <alignment horizontal="left" vertical="justify"/>
      <protection locked="0"/>
    </xf>
    <xf numFmtId="0" fontId="49" fillId="6" borderId="0" xfId="0" applyFont="1" applyFill="1" applyBorder="1" applyAlignment="1" applyProtection="1">
      <alignment horizontal="left" vertical="justify"/>
      <protection locked="0"/>
    </xf>
    <xf numFmtId="0" fontId="40" fillId="17" borderId="0" xfId="0" applyFont="1" applyFill="1" applyBorder="1" applyAlignment="1" applyProtection="1">
      <alignment horizontal="center"/>
      <protection locked="0"/>
    </xf>
    <xf numFmtId="0" fontId="40" fillId="17" borderId="0" xfId="0" applyFont="1" applyFill="1" applyBorder="1" applyAlignment="1" applyProtection="1">
      <alignment horizontal="center" vertical="center"/>
      <protection locked="0"/>
    </xf>
    <xf numFmtId="0" fontId="40" fillId="6" borderId="0" xfId="0" applyFont="1" applyFill="1" applyBorder="1" applyAlignment="1">
      <alignment horizontal="center"/>
    </xf>
    <xf numFmtId="0" fontId="21" fillId="11" borderId="14" xfId="7" applyFont="1" applyFill="1" applyBorder="1" applyAlignment="1" applyProtection="1">
      <alignment horizontal="center" vertical="center"/>
    </xf>
    <xf numFmtId="0" fontId="21" fillId="11" borderId="15" xfId="7" applyFont="1" applyFill="1" applyBorder="1" applyAlignment="1" applyProtection="1">
      <alignment horizontal="center" vertical="center"/>
    </xf>
    <xf numFmtId="0" fontId="21" fillId="11" borderId="16" xfId="7" applyFont="1" applyFill="1" applyBorder="1" applyAlignment="1" applyProtection="1">
      <alignment horizontal="center" vertical="center"/>
    </xf>
    <xf numFmtId="0" fontId="3" fillId="6" borderId="0" xfId="0" applyFont="1" applyFill="1" applyBorder="1" applyAlignment="1" applyProtection="1">
      <alignment horizontal="left"/>
      <protection locked="0"/>
    </xf>
    <xf numFmtId="0" fontId="4" fillId="6" borderId="0" xfId="0" applyFont="1" applyFill="1" applyBorder="1" applyAlignment="1" applyProtection="1">
      <alignment horizontal="justify" wrapText="1"/>
      <protection locked="0"/>
    </xf>
    <xf numFmtId="0" fontId="49" fillId="6" borderId="0" xfId="0" applyFont="1" applyFill="1" applyBorder="1" applyAlignment="1" applyProtection="1">
      <alignment horizontal="left"/>
      <protection locked="0"/>
    </xf>
    <xf numFmtId="0" fontId="40" fillId="6" borderId="0" xfId="0" applyFont="1" applyFill="1" applyBorder="1" applyAlignment="1" applyProtection="1">
      <alignment horizontal="left"/>
      <protection locked="0"/>
    </xf>
    <xf numFmtId="0" fontId="40" fillId="6" borderId="0" xfId="0" applyFont="1" applyFill="1" applyBorder="1" applyAlignment="1" applyProtection="1">
      <alignment horizontal="left" vertical="justify" wrapText="1"/>
      <protection locked="0"/>
    </xf>
    <xf numFmtId="0" fontId="3" fillId="6" borderId="15" xfId="0" applyFont="1" applyFill="1" applyBorder="1" applyAlignment="1">
      <alignment horizontal="center" vertical="justify" wrapText="1"/>
    </xf>
    <xf numFmtId="0" fontId="40" fillId="17" borderId="0" xfId="0" applyFont="1" applyFill="1" applyBorder="1" applyAlignment="1" applyProtection="1">
      <alignment horizontal="center" vertical="center" wrapText="1"/>
      <protection locked="0"/>
    </xf>
    <xf numFmtId="0" fontId="49" fillId="17" borderId="0" xfId="0" applyFont="1" applyFill="1" applyBorder="1" applyAlignment="1" applyProtection="1">
      <alignment horizontal="center" vertical="center"/>
      <protection locked="0"/>
    </xf>
    <xf numFmtId="0" fontId="26" fillId="6" borderId="22" xfId="0" applyFont="1" applyFill="1" applyBorder="1" applyAlignment="1">
      <alignment horizontal="center"/>
    </xf>
    <xf numFmtId="0" fontId="26" fillId="6" borderId="23" xfId="0" applyFont="1" applyFill="1" applyBorder="1" applyAlignment="1">
      <alignment horizontal="center"/>
    </xf>
    <xf numFmtId="0" fontId="26" fillId="6" borderId="24" xfId="0" applyFont="1" applyFill="1" applyBorder="1" applyAlignment="1">
      <alignment horizontal="center"/>
    </xf>
    <xf numFmtId="1" fontId="40" fillId="6" borderId="0" xfId="0" applyNumberFormat="1" applyFont="1" applyFill="1" applyBorder="1" applyAlignment="1" applyProtection="1">
      <alignment horizontal="center" vertical="center"/>
      <protection locked="0"/>
    </xf>
    <xf numFmtId="0" fontId="21" fillId="11" borderId="13" xfId="7" applyFont="1" applyFill="1" applyBorder="1" applyAlignment="1" applyProtection="1">
      <alignment horizontal="center" vertical="center"/>
    </xf>
    <xf numFmtId="0" fontId="21" fillId="11" borderId="19" xfId="7" applyFont="1" applyFill="1" applyBorder="1" applyAlignment="1" applyProtection="1">
      <alignment horizontal="center" vertical="center"/>
    </xf>
    <xf numFmtId="0" fontId="21" fillId="11" borderId="1" xfId="7" applyFont="1" applyFill="1" applyBorder="1" applyAlignment="1" applyProtection="1">
      <alignment horizontal="center" vertical="center"/>
    </xf>
    <xf numFmtId="0" fontId="49" fillId="17" borderId="0" xfId="0" applyFont="1" applyFill="1" applyBorder="1" applyAlignment="1" applyProtection="1">
      <alignment horizontal="center"/>
      <protection locked="0"/>
    </xf>
    <xf numFmtId="0" fontId="35" fillId="11" borderId="0" xfId="0" applyFont="1" applyFill="1" applyBorder="1" applyAlignment="1">
      <alignment horizontal="center" vertical="center"/>
    </xf>
    <xf numFmtId="0" fontId="4" fillId="6" borderId="22" xfId="7" applyNumberFormat="1" applyFont="1" applyFill="1" applyBorder="1" applyAlignment="1" applyProtection="1">
      <alignment horizontal="left" vertical="center"/>
    </xf>
    <xf numFmtId="0" fontId="4" fillId="6" borderId="23" xfId="7" applyNumberFormat="1" applyFont="1" applyFill="1" applyBorder="1" applyAlignment="1" applyProtection="1">
      <alignment horizontal="left" vertical="center"/>
    </xf>
    <xf numFmtId="0" fontId="4" fillId="6" borderId="24" xfId="7" applyNumberFormat="1" applyFont="1" applyFill="1" applyBorder="1" applyAlignment="1" applyProtection="1">
      <alignment horizontal="left" vertical="center"/>
    </xf>
    <xf numFmtId="0" fontId="26" fillId="24" borderId="15" xfId="0" applyFont="1" applyFill="1" applyBorder="1" applyAlignment="1">
      <alignment horizontal="center"/>
    </xf>
    <xf numFmtId="0" fontId="26" fillId="24" borderId="12" xfId="0" applyFont="1" applyFill="1" applyBorder="1" applyAlignment="1">
      <alignment horizontal="center"/>
    </xf>
    <xf numFmtId="0" fontId="37" fillId="24" borderId="22" xfId="0" applyFont="1" applyFill="1" applyBorder="1" applyAlignment="1">
      <alignment horizontal="left"/>
    </xf>
    <xf numFmtId="0" fontId="37" fillId="24" borderId="23" xfId="0" applyFont="1" applyFill="1" applyBorder="1" applyAlignment="1">
      <alignment horizontal="left"/>
    </xf>
    <xf numFmtId="0" fontId="37" fillId="24" borderId="24" xfId="0" applyFont="1" applyFill="1" applyBorder="1" applyAlignment="1">
      <alignment horizontal="left"/>
    </xf>
    <xf numFmtId="0" fontId="41" fillId="24" borderId="15" xfId="0" applyFont="1" applyFill="1" applyBorder="1" applyAlignment="1">
      <alignment horizontal="left"/>
    </xf>
    <xf numFmtId="0" fontId="26" fillId="24" borderId="0" xfId="0" applyFont="1" applyFill="1" applyAlignment="1">
      <alignment horizontal="left"/>
    </xf>
    <xf numFmtId="0" fontId="52" fillId="25" borderId="13" xfId="7" applyFont="1" applyFill="1" applyBorder="1" applyAlignment="1" applyProtection="1">
      <alignment horizontal="center" vertical="center"/>
    </xf>
    <xf numFmtId="0" fontId="52" fillId="25" borderId="19" xfId="7" applyFont="1" applyFill="1" applyBorder="1" applyAlignment="1" applyProtection="1">
      <alignment horizontal="center" vertical="center"/>
    </xf>
    <xf numFmtId="0" fontId="52" fillId="25" borderId="1" xfId="7" applyFont="1" applyFill="1" applyBorder="1" applyAlignment="1" applyProtection="1">
      <alignment horizontal="center" vertical="center"/>
    </xf>
    <xf numFmtId="0" fontId="49" fillId="24" borderId="22" xfId="7" applyNumberFormat="1" applyFont="1" applyFill="1" applyBorder="1" applyAlignment="1" applyProtection="1">
      <alignment horizontal="center" vertical="center"/>
    </xf>
    <xf numFmtId="0" fontId="49" fillId="24" borderId="23" xfId="7" applyNumberFormat="1" applyFont="1" applyFill="1" applyBorder="1" applyAlignment="1" applyProtection="1">
      <alignment horizontal="center" vertical="center"/>
    </xf>
    <xf numFmtId="0" fontId="49" fillId="24" borderId="24" xfId="7" applyNumberFormat="1" applyFont="1" applyFill="1" applyBorder="1" applyAlignment="1" applyProtection="1">
      <alignment horizontal="center" vertical="center"/>
    </xf>
    <xf numFmtId="0" fontId="26" fillId="24" borderId="0" xfId="0" applyFont="1" applyFill="1" applyBorder="1" applyAlignment="1">
      <alignment horizontal="justify" vertical="center" wrapText="1"/>
    </xf>
    <xf numFmtId="0" fontId="26" fillId="24" borderId="0" xfId="0" applyFont="1" applyFill="1" applyBorder="1" applyAlignment="1">
      <alignment horizontal="center"/>
    </xf>
    <xf numFmtId="0" fontId="37" fillId="24" borderId="0" xfId="0" applyFont="1" applyFill="1" applyBorder="1" applyAlignment="1">
      <alignment horizontal="left"/>
    </xf>
    <xf numFmtId="0" fontId="56" fillId="25" borderId="0" xfId="0" applyFont="1" applyFill="1" applyBorder="1" applyAlignment="1">
      <alignment horizontal="center" vertical="center"/>
    </xf>
    <xf numFmtId="0" fontId="26" fillId="24" borderId="22" xfId="0" applyFont="1" applyFill="1" applyBorder="1" applyAlignment="1">
      <alignment horizontal="center"/>
    </xf>
    <xf numFmtId="0" fontId="26" fillId="24" borderId="23" xfId="0" applyFont="1" applyFill="1" applyBorder="1" applyAlignment="1">
      <alignment horizontal="center"/>
    </xf>
    <xf numFmtId="0" fontId="26" fillId="24" borderId="24" xfId="0" applyFont="1" applyFill="1" applyBorder="1" applyAlignment="1">
      <alignment horizontal="center"/>
    </xf>
    <xf numFmtId="0" fontId="57" fillId="24" borderId="22" xfId="0" applyFont="1" applyFill="1" applyBorder="1" applyAlignment="1">
      <alignment horizontal="center" vertical="center"/>
    </xf>
    <xf numFmtId="0" fontId="57" fillId="24" borderId="23" xfId="0" applyFont="1" applyFill="1" applyBorder="1" applyAlignment="1">
      <alignment horizontal="center" vertical="center"/>
    </xf>
    <xf numFmtId="0" fontId="57" fillId="24" borderId="24" xfId="0" applyFont="1" applyFill="1" applyBorder="1" applyAlignment="1">
      <alignment horizontal="center" vertical="center"/>
    </xf>
    <xf numFmtId="49" fontId="4" fillId="26" borderId="0" xfId="7" applyNumberFormat="1" applyFont="1" applyFill="1" applyBorder="1" applyAlignment="1" applyProtection="1">
      <alignment horizontal="left" vertical="center" wrapText="1"/>
    </xf>
    <xf numFmtId="0" fontId="40" fillId="24" borderId="22" xfId="7" applyNumberFormat="1" applyFont="1" applyFill="1" applyBorder="1" applyAlignment="1" applyProtection="1">
      <alignment horizontal="center" vertical="center"/>
    </xf>
    <xf numFmtId="0" fontId="40" fillId="24" borderId="23" xfId="7" applyNumberFormat="1" applyFont="1" applyFill="1" applyBorder="1" applyAlignment="1" applyProtection="1">
      <alignment horizontal="center" vertical="center"/>
    </xf>
    <xf numFmtId="0" fontId="40" fillId="24" borderId="24" xfId="7" applyNumberFormat="1" applyFont="1" applyFill="1" applyBorder="1" applyAlignment="1" applyProtection="1">
      <alignment horizontal="center" vertical="center"/>
    </xf>
    <xf numFmtId="0" fontId="40" fillId="24" borderId="22" xfId="7" applyNumberFormat="1" applyFont="1" applyFill="1" applyBorder="1" applyAlignment="1" applyProtection="1">
      <alignment horizontal="left" vertical="center"/>
    </xf>
    <xf numFmtId="0" fontId="40" fillId="24" borderId="23" xfId="7" applyNumberFormat="1" applyFont="1" applyFill="1" applyBorder="1" applyAlignment="1" applyProtection="1">
      <alignment horizontal="left" vertical="center"/>
    </xf>
    <xf numFmtId="0" fontId="40" fillId="24" borderId="24" xfId="7" applyNumberFormat="1" applyFont="1" applyFill="1" applyBorder="1" applyAlignment="1" applyProtection="1">
      <alignment horizontal="left" vertical="center"/>
    </xf>
    <xf numFmtId="1" fontId="40" fillId="24" borderId="22" xfId="7" applyNumberFormat="1" applyFont="1" applyFill="1" applyBorder="1" applyAlignment="1" applyProtection="1">
      <alignment horizontal="center" vertical="center"/>
    </xf>
    <xf numFmtId="1" fontId="40" fillId="24" borderId="23" xfId="7" applyNumberFormat="1" applyFont="1" applyFill="1" applyBorder="1" applyAlignment="1" applyProtection="1">
      <alignment horizontal="center" vertical="center"/>
    </xf>
    <xf numFmtId="1" fontId="40" fillId="24" borderId="24" xfId="7" applyNumberFormat="1" applyFont="1" applyFill="1" applyBorder="1" applyAlignment="1" applyProtection="1">
      <alignment horizontal="center" vertical="center"/>
    </xf>
    <xf numFmtId="0" fontId="37" fillId="24" borderId="0" xfId="0" applyFont="1" applyFill="1" applyBorder="1" applyAlignment="1">
      <alignment horizontal="left" wrapText="1"/>
    </xf>
    <xf numFmtId="14" fontId="26" fillId="24" borderId="0" xfId="0" applyNumberFormat="1" applyFont="1" applyFill="1" applyBorder="1" applyAlignment="1">
      <alignment horizontal="center"/>
    </xf>
    <xf numFmtId="0" fontId="26" fillId="24" borderId="0" xfId="0" applyFont="1" applyFill="1" applyAlignment="1">
      <alignment horizontal="center"/>
    </xf>
    <xf numFmtId="0" fontId="58" fillId="24" borderId="22" xfId="0" applyFont="1" applyFill="1" applyBorder="1" applyAlignment="1">
      <alignment horizontal="center" vertical="center"/>
    </xf>
    <xf numFmtId="0" fontId="58" fillId="24" borderId="23" xfId="0" applyFont="1" applyFill="1" applyBorder="1" applyAlignment="1">
      <alignment horizontal="center" vertical="center"/>
    </xf>
    <xf numFmtId="0" fontId="58" fillId="24" borderId="24" xfId="0" applyFont="1" applyFill="1" applyBorder="1" applyAlignment="1">
      <alignment horizontal="center" vertical="center"/>
    </xf>
    <xf numFmtId="0" fontId="3" fillId="24" borderId="22" xfId="7" applyNumberFormat="1" applyFont="1" applyFill="1" applyBorder="1" applyAlignment="1" applyProtection="1">
      <alignment horizontal="center" vertical="center"/>
    </xf>
    <xf numFmtId="0" fontId="3" fillId="24" borderId="23" xfId="7" applyNumberFormat="1" applyFont="1" applyFill="1" applyBorder="1" applyAlignment="1" applyProtection="1">
      <alignment horizontal="center" vertical="center"/>
    </xf>
    <xf numFmtId="0" fontId="3" fillId="24" borderId="24" xfId="7" applyNumberFormat="1" applyFont="1" applyFill="1" applyBorder="1" applyAlignment="1" applyProtection="1">
      <alignment horizontal="center" vertical="center"/>
    </xf>
    <xf numFmtId="0" fontId="37" fillId="6" borderId="0" xfId="0" applyFont="1" applyFill="1" applyAlignment="1">
      <alignment horizontal="center"/>
    </xf>
    <xf numFmtId="14" fontId="26" fillId="6" borderId="0" xfId="0" applyNumberFormat="1" applyFont="1" applyFill="1" applyBorder="1" applyAlignment="1">
      <alignment horizontal="left"/>
    </xf>
    <xf numFmtId="0" fontId="21" fillId="19" borderId="13" xfId="7" applyFont="1" applyFill="1" applyBorder="1" applyAlignment="1" applyProtection="1">
      <alignment horizontal="center" vertical="center"/>
    </xf>
    <xf numFmtId="0" fontId="21" fillId="19" borderId="19" xfId="7" applyFont="1" applyFill="1" applyBorder="1" applyAlignment="1" applyProtection="1">
      <alignment horizontal="center" vertical="center"/>
    </xf>
    <xf numFmtId="0" fontId="21" fillId="19" borderId="1" xfId="7" applyFont="1" applyFill="1" applyBorder="1" applyAlignment="1" applyProtection="1">
      <alignment horizontal="center" vertical="center"/>
    </xf>
    <xf numFmtId="0" fontId="3" fillId="17" borderId="0" xfId="7" applyNumberFormat="1" applyFont="1" applyFill="1" applyBorder="1" applyAlignment="1" applyProtection="1">
      <alignment horizontal="center" vertical="center"/>
      <protection locked="0"/>
    </xf>
    <xf numFmtId="0" fontId="26" fillId="6" borderId="0" xfId="0" applyFont="1" applyFill="1" applyAlignment="1">
      <alignment horizontal="center" wrapText="1"/>
    </xf>
    <xf numFmtId="0" fontId="26" fillId="17" borderId="0" xfId="0" applyFont="1" applyFill="1" applyAlignment="1" applyProtection="1">
      <alignment horizontal="center"/>
      <protection locked="0"/>
    </xf>
    <xf numFmtId="0" fontId="26" fillId="6" borderId="0" xfId="0" applyFont="1" applyFill="1" applyAlignment="1">
      <alignment horizontal="center"/>
    </xf>
    <xf numFmtId="0" fontId="56" fillId="19" borderId="0" xfId="0" applyFont="1" applyFill="1" applyBorder="1" applyAlignment="1">
      <alignment horizontal="center" vertical="center"/>
    </xf>
    <xf numFmtId="0" fontId="26" fillId="6" borderId="0" xfId="0" applyFont="1" applyFill="1" applyBorder="1" applyAlignment="1">
      <alignment horizontal="left" vertical="center" wrapText="1"/>
    </xf>
    <xf numFmtId="0" fontId="4" fillId="6" borderId="0" xfId="7" applyFont="1" applyFill="1" applyBorder="1" applyAlignment="1" applyProtection="1">
      <alignment horizontal="center" vertical="justify" wrapText="1"/>
    </xf>
    <xf numFmtId="0" fontId="11" fillId="11" borderId="13" xfId="0" applyFont="1" applyFill="1" applyBorder="1" applyAlignment="1">
      <alignment horizontal="center"/>
    </xf>
    <xf numFmtId="0" fontId="11" fillId="11" borderId="19" xfId="0" applyFont="1" applyFill="1" applyBorder="1" applyAlignment="1">
      <alignment horizontal="center"/>
    </xf>
    <xf numFmtId="0" fontId="11" fillId="11" borderId="1" xfId="0" applyFont="1" applyFill="1" applyBorder="1" applyAlignment="1">
      <alignment horizontal="center"/>
    </xf>
  </cellXfs>
  <cellStyles count="24">
    <cellStyle name="cf1" xfId="18" xr:uid="{00000000-0005-0000-0000-000000000000}"/>
    <cellStyle name="Ellenőrzőcella" xfId="1" builtinId="23"/>
    <cellStyle name="Ezres" xfId="2" builtinId="3"/>
    <cellStyle name="Ezres 2" xfId="3" xr:uid="{00000000-0005-0000-0000-000003000000}"/>
    <cellStyle name="Ezres 2 2" xfId="4" xr:uid="{00000000-0005-0000-0000-000004000000}"/>
    <cellStyle name="Ezres 2 2 2" xfId="14" xr:uid="{00000000-0005-0000-0000-000005000000}"/>
    <cellStyle name="Ezres 2 3" xfId="13" xr:uid="{00000000-0005-0000-0000-000006000000}"/>
    <cellStyle name="Ezres 2 4" xfId="23" xr:uid="{00000000-0005-0000-0000-000007000000}"/>
    <cellStyle name="Ezres 3" xfId="5" xr:uid="{00000000-0005-0000-0000-000008000000}"/>
    <cellStyle name="Ezres 3 2" xfId="15" xr:uid="{00000000-0005-0000-0000-000009000000}"/>
    <cellStyle name="Ezres 4" xfId="12" xr:uid="{00000000-0005-0000-0000-00000A000000}"/>
    <cellStyle name="Ezres 5" xfId="20" xr:uid="{00000000-0005-0000-0000-00000B000000}"/>
    <cellStyle name="Hivatkozás" xfId="6" builtinId="8"/>
    <cellStyle name="Hivatkozás 2" xfId="21" xr:uid="{00000000-0005-0000-0000-00000D000000}"/>
    <cellStyle name="Normál" xfId="0" builtinId="0"/>
    <cellStyle name="Normál 2" xfId="7" xr:uid="{00000000-0005-0000-0000-00000F000000}"/>
    <cellStyle name="Normál 2 2" xfId="19" xr:uid="{00000000-0005-0000-0000-000010000000}"/>
    <cellStyle name="Normál 3" xfId="8" xr:uid="{00000000-0005-0000-0000-000011000000}"/>
    <cellStyle name="Normál 3 2" xfId="22" xr:uid="{00000000-0005-0000-0000-000012000000}"/>
    <cellStyle name="Normál 4" xfId="17" xr:uid="{00000000-0005-0000-0000-000013000000}"/>
    <cellStyle name="Rossz" xfId="16" builtinId="27"/>
    <cellStyle name="Százalék" xfId="9" builtinId="5"/>
    <cellStyle name="Százalék 2" xfId="10" xr:uid="{00000000-0005-0000-0000-000016000000}"/>
    <cellStyle name="Százalék 2 2" xfId="11" xr:uid="{00000000-0005-0000-0000-000017000000}"/>
  </cellStyles>
  <dxfs count="250">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ill>
        <patternFill patternType="gray0625">
          <bgColor theme="0"/>
        </patternFill>
      </fill>
    </dxf>
    <dxf>
      <fill>
        <patternFill patternType="solid"/>
      </fill>
    </dxf>
    <dxf>
      <fill>
        <patternFill patternType="solid"/>
      </fill>
    </dxf>
    <dxf>
      <fill>
        <patternFill patternType="solid"/>
      </fill>
    </dxf>
    <dxf>
      <fill>
        <patternFill patternType="solid"/>
      </fill>
    </dxf>
    <dxf>
      <fill>
        <patternFill patternType="solid"/>
      </fill>
    </dxf>
    <dxf>
      <fill>
        <patternFill patternType="gray0625"/>
      </fill>
    </dxf>
    <dxf>
      <fill>
        <patternFill patternType="solid"/>
      </fill>
    </dxf>
    <dxf>
      <fill>
        <patternFill patternType="solid"/>
      </fill>
    </dxf>
    <dxf>
      <fill>
        <patternFill patternType="solid"/>
      </fill>
    </dxf>
    <dxf>
      <fill>
        <patternFill patternType="gray0625"/>
      </fill>
    </dxf>
    <dxf>
      <fill>
        <patternFill patternType="gray0625"/>
      </fill>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border>
        <left style="thin">
          <color auto="1"/>
        </left>
        <vertical/>
        <horizontal/>
      </border>
    </dxf>
    <dxf>
      <font>
        <color theme="0"/>
      </font>
      <fill>
        <patternFill>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patternType="solid">
          <fgColor theme="0"/>
          <bgColor theme="0"/>
        </patternFill>
      </fill>
    </dxf>
    <dxf>
      <font>
        <color theme="0"/>
      </font>
      <fill>
        <patternFill>
          <fgColor theme="0"/>
          <bgColor theme="0"/>
        </patternFill>
      </fill>
    </dxf>
    <dxf>
      <fill>
        <patternFill patternType="gray0625">
          <fgColor auto="1"/>
        </patternFill>
      </fill>
    </dxf>
    <dxf>
      <font>
        <color theme="0"/>
      </font>
      <fill>
        <patternFill>
          <fgColor theme="0"/>
        </patternFill>
      </fill>
      <border>
        <left/>
        <right/>
        <top/>
        <bottom/>
        <vertical/>
        <horizontal/>
      </border>
    </dxf>
    <dxf>
      <font>
        <color theme="0"/>
      </font>
      <fill>
        <patternFill patternType="gray0625">
          <fgColor auto="1"/>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patternType="gray0625">
          <bgColor theme="0"/>
        </patternFill>
      </fill>
      <border>
        <left/>
        <right/>
        <top/>
        <bottom/>
      </border>
    </dxf>
    <dxf>
      <font>
        <color auto="1"/>
      </font>
      <fill>
        <patternFill>
          <fgColor theme="0"/>
          <bgColor theme="0"/>
        </patternFill>
      </fill>
      <border>
        <left/>
        <right/>
        <top/>
        <bottom/>
        <vertical/>
        <horizontal/>
      </border>
    </dxf>
    <dxf>
      <font>
        <color auto="1"/>
      </font>
      <fill>
        <patternFill>
          <fgColor theme="0"/>
          <bgColor theme="0"/>
        </patternFill>
      </fill>
      <border>
        <left/>
        <right/>
        <top/>
        <bottom/>
        <vertical/>
        <horizontal/>
      </border>
    </dxf>
    <dxf>
      <font>
        <color theme="0"/>
      </font>
      <fill>
        <patternFill patternType="gray0625">
          <fgColor auto="1"/>
        </patternFill>
      </fill>
    </dxf>
    <dxf>
      <font>
        <u val="none"/>
        <color theme="0"/>
      </font>
      <fill>
        <patternFill patternType="gray0625">
          <fgColor auto="1"/>
          <bgColor theme="0"/>
        </patternFill>
      </fill>
      <border>
        <left/>
        <right/>
        <top/>
        <bottom/>
        <vertical/>
        <horizontal/>
      </border>
    </dxf>
    <dxf>
      <font>
        <u val="none"/>
        <color theme="0"/>
      </font>
      <fill>
        <patternFill patternType="gray0625">
          <bgColor theme="0"/>
        </patternFill>
      </fill>
      <border>
        <left/>
        <right/>
        <top/>
        <bottom/>
        <vertical/>
        <horizontal/>
      </border>
    </dxf>
    <dxf>
      <font>
        <color auto="1"/>
      </font>
      <fill>
        <patternFill patternType="gray0625">
          <fgColor auto="1"/>
          <bgColor theme="0"/>
        </patternFill>
      </fill>
      <border>
        <left/>
        <right/>
        <top/>
        <bottom/>
        <vertical/>
        <horizontal/>
      </border>
    </dxf>
    <dxf>
      <fill>
        <patternFill patternType="gray0625"/>
      </fill>
    </dxf>
    <dxf>
      <fill>
        <patternFill patternType="gray0625"/>
      </fill>
    </dxf>
    <dxf>
      <fill>
        <patternFill patternType="gray0625">
          <fgColor auto="1"/>
        </patternFill>
      </fill>
    </dxf>
    <dxf>
      <fill>
        <patternFill patternType="gray0625"/>
      </fill>
    </dxf>
    <dxf>
      <fill>
        <patternFill patternType="gray0625"/>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gColor auto="1"/>
        </patternFill>
      </fill>
    </dxf>
    <dxf>
      <fill>
        <patternFill patternType="gray0625"/>
      </fill>
    </dxf>
    <dxf>
      <fill>
        <patternFill patternType="gray0625"/>
      </fill>
    </dxf>
    <dxf>
      <fill>
        <patternFill patternType="gray0625"/>
      </fill>
    </dxf>
    <dxf>
      <fill>
        <patternFill patternType="gray0625"/>
      </fill>
    </dxf>
    <dxf>
      <fill>
        <patternFill patternType="gray0625"/>
      </fill>
    </dxf>
    <dxf>
      <font>
        <color theme="0"/>
      </font>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gray0625">
          <fgColor auto="1"/>
        </patternFill>
      </fill>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fgColor theme="0"/>
          <bgColor theme="0"/>
        </patternFill>
      </fill>
      <border>
        <right style="thin">
          <color auto="1"/>
        </right>
        <vertical/>
        <horizontal/>
      </border>
    </dxf>
    <dxf>
      <font>
        <color theme="0"/>
      </font>
      <fill>
        <patternFill>
          <fgColor theme="0"/>
          <bgColor theme="0"/>
        </patternFill>
      </fill>
      <border>
        <right style="thin">
          <color auto="1"/>
        </right>
        <vertical/>
        <horizontal/>
      </border>
    </dxf>
    <dxf>
      <fill>
        <patternFill>
          <fgColor theme="0"/>
          <bgColor theme="0"/>
        </patternFill>
      </fill>
      <border>
        <left style="thin">
          <color auto="1"/>
        </left>
        <vertical/>
        <horizontal/>
      </border>
    </dxf>
    <dxf>
      <fill>
        <patternFill>
          <fgColor theme="0"/>
          <bgColor theme="0"/>
        </patternFill>
      </fill>
      <border>
        <left style="thin">
          <color auto="1"/>
        </left>
        <vertical/>
        <horizontal/>
      </border>
    </dxf>
    <dxf>
      <font>
        <color theme="0"/>
      </font>
      <fill>
        <patternFill>
          <fgColor theme="0"/>
          <bgColor theme="0"/>
        </patternFill>
      </fill>
      <border>
        <left/>
        <right/>
        <vertical/>
        <horizontal/>
      </border>
    </dxf>
    <dxf>
      <font>
        <color theme="0"/>
      </font>
      <fill>
        <patternFill>
          <fgColor theme="0"/>
          <bgColor theme="0"/>
        </patternFill>
      </fill>
      <border>
        <left/>
        <right/>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ont>
        <color theme="0"/>
      </font>
      <fill>
        <patternFill patternType="solid">
          <fgColor theme="0"/>
          <bgColor theme="0"/>
        </patternFill>
      </fill>
    </dxf>
    <dxf>
      <font>
        <color theme="0"/>
      </font>
      <fill>
        <patternFill patternType="solid">
          <fgColor theme="0"/>
          <bgColor theme="0"/>
        </patternFill>
      </fill>
    </dxf>
    <dxf>
      <numFmt numFmtId="176" formatCode="#,##0\ [$HUF]"/>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numFmt numFmtId="167" formatCode="#,##0\ &quot;Ft&quot;"/>
    </dxf>
    <dxf>
      <font>
        <color theme="0"/>
      </font>
      <fill>
        <patternFill patternType="solid">
          <fgColor theme="0"/>
          <bgColor theme="0"/>
        </patternFill>
      </fill>
    </dxf>
    <dxf>
      <font>
        <color theme="0"/>
      </font>
      <fill>
        <patternFill patternType="solid">
          <fgColor theme="0"/>
          <bgColor theme="0"/>
        </patternFill>
      </fill>
    </dxf>
    <dxf>
      <numFmt numFmtId="176" formatCode="#,##0\ [$HUF]"/>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numFmt numFmtId="167" formatCode="#,##0\ &quot;Ft&quot;"/>
    </dxf>
    <dxf>
      <font>
        <color theme="0"/>
      </font>
      <fill>
        <patternFill patternType="solid">
          <fgColor theme="0"/>
          <bgColor theme="0"/>
        </patternFill>
      </fill>
    </dxf>
    <dxf>
      <font>
        <color theme="0"/>
      </font>
      <fill>
        <patternFill patternType="solid">
          <fgColor theme="0"/>
          <bgColor theme="0"/>
        </patternFill>
      </fill>
    </dxf>
    <dxf>
      <numFmt numFmtId="176" formatCode="#,##0\ [$HUF]"/>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numFmt numFmtId="167" formatCode="#,##0\ &quot;Ft&quot;"/>
    </dxf>
    <dxf>
      <font>
        <color theme="0"/>
      </font>
      <fill>
        <patternFill patternType="solid">
          <fgColor theme="0"/>
          <bgColor theme="0"/>
        </patternFill>
      </fill>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numFmt numFmtId="176" formatCode="#,##0\ [$HUF]"/>
    </dxf>
    <dxf>
      <numFmt numFmtId="167" formatCode="#,##0\ &quot;Ft&quot;"/>
    </dxf>
    <dxf>
      <numFmt numFmtId="176" formatCode="#,##0\ [$HUF]"/>
    </dxf>
    <dxf>
      <numFmt numFmtId="167" formatCode="#,##0\ &quot;Ft&quot;"/>
    </dxf>
    <dxf>
      <numFmt numFmtId="176" formatCode="#,##0\ [$HUF]"/>
    </dxf>
    <dxf>
      <numFmt numFmtId="167" formatCode="#,##0\ &quot;Ft&quot;"/>
    </dxf>
    <dxf>
      <numFmt numFmtId="176" formatCode="#,##0\ [$HUF]"/>
    </dxf>
    <dxf>
      <font>
        <color theme="0"/>
      </font>
      <fill>
        <patternFill patternType="solid">
          <fgColor theme="0"/>
          <bgColor theme="0"/>
        </patternFill>
      </fill>
      <border>
        <left/>
        <right/>
        <top/>
        <bottom/>
        <vertical/>
        <horizontal/>
      </border>
    </dxf>
    <dxf>
      <numFmt numFmtId="167" formatCode="#,##0\ &quot;Ft&quot;"/>
    </dxf>
    <dxf>
      <numFmt numFmtId="176" formatCode="#,##0\ [$HUF]"/>
    </dxf>
    <dxf>
      <font>
        <color theme="0"/>
      </font>
      <fill>
        <patternFill patternType="solid">
          <fgColor theme="0"/>
        </patternFill>
      </fill>
    </dxf>
    <dxf>
      <font>
        <color theme="0"/>
      </font>
      <fill>
        <patternFill>
          <fgColor theme="0"/>
        </patternFill>
      </fill>
    </dxf>
    <dxf>
      <font>
        <color theme="0"/>
      </font>
      <fill>
        <patternFill patternType="solid">
          <fgColor theme="0"/>
        </patternFill>
      </fill>
    </dxf>
    <dxf>
      <font>
        <color rgb="FFFF0000"/>
      </font>
      <fill>
        <patternFill>
          <fgColor theme="0"/>
        </patternFill>
      </fill>
    </dxf>
    <dxf>
      <font>
        <color theme="0"/>
      </font>
      <fill>
        <patternFill patternType="solid">
          <fgColor theme="0"/>
          <bgColor theme="0"/>
        </patternFill>
      </fill>
    </dxf>
    <dxf>
      <font>
        <color theme="0"/>
      </font>
      <fill>
        <patternFill patternType="solid">
          <fgColor theme="0"/>
        </patternFill>
      </fill>
    </dxf>
    <dxf>
      <font>
        <color theme="0"/>
      </font>
      <fill>
        <patternFill patternType="solid">
          <f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patternFill>
      </fill>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numFmt numFmtId="177" formatCode="#,##0.00\ &quot;Ft&quot;"/>
    </dxf>
    <dxf>
      <numFmt numFmtId="175" formatCode="#,##0.00\ [$EUR]"/>
    </dxf>
    <dxf>
      <font>
        <u val="none"/>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numFmt numFmtId="167" formatCode="#,##0\ &quot;Ft&quot;"/>
    </dxf>
    <dxf>
      <numFmt numFmtId="178" formatCode="#,##0\ [$EUR]"/>
    </dxf>
    <dxf>
      <numFmt numFmtId="167" formatCode="#,##0\ &quot;Ft&quot;"/>
    </dxf>
    <dxf>
      <numFmt numFmtId="178" formatCode="#,##0\ [$EUR]"/>
    </dxf>
    <dxf>
      <numFmt numFmtId="167" formatCode="#,##0\ &quot;Ft&quot;"/>
    </dxf>
    <dxf>
      <numFmt numFmtId="178" formatCode="#,##0\ [$EU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style="thin">
          <color auto="1"/>
        </left>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gray0625"/>
      </fill>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right style="thin">
          <color auto="1"/>
        </right>
        <vertical/>
        <horizontal/>
      </border>
    </dxf>
    <dxf>
      <font>
        <color theme="0"/>
      </font>
      <fill>
        <patternFill>
          <fgColor theme="0"/>
          <bgColor theme="0"/>
        </patternFill>
      </fill>
      <border>
        <left style="thin">
          <color auto="1"/>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right style="thin">
          <color auto="1"/>
        </right>
        <vertical/>
        <horizontal/>
      </border>
    </dxf>
    <dxf>
      <font>
        <color theme="0"/>
      </font>
      <fill>
        <patternFill>
          <fgColor theme="0"/>
          <bgColor theme="0"/>
        </patternFill>
      </fill>
      <border>
        <left style="thin">
          <color auto="1"/>
        </left>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patternFill>
      </fill>
      <border>
        <left/>
        <right/>
        <top/>
        <bottom/>
        <vertical/>
        <horizontal/>
      </border>
    </dxf>
    <dxf>
      <font>
        <color theme="0"/>
      </font>
      <fill>
        <patternFill>
          <fgColor theme="0"/>
          <bgColor theme="0"/>
        </patternFill>
      </fill>
      <border>
        <left/>
        <right/>
        <top/>
        <bottom/>
        <vertical/>
        <horizontal/>
      </border>
    </dxf>
    <dxf>
      <fill>
        <patternFill patternType="gray0625">
          <fgColor auto="1"/>
        </patternFill>
      </fill>
    </dxf>
    <dxf>
      <font>
        <color theme="0"/>
      </font>
      <fill>
        <patternFill patternType="solid">
          <fgColor theme="0"/>
          <bgColor theme="0"/>
        </patternFill>
      </fill>
      <border>
        <left/>
        <right/>
        <top/>
        <bottom/>
        <vertical/>
        <horizontal/>
      </border>
    </dxf>
    <dxf>
      <fill>
        <patternFill>
          <bgColor theme="0" tint="-0.499984740745262"/>
        </patternFill>
      </fill>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numFmt numFmtId="167" formatCode="#,##0\ &quot;Ft&quot;"/>
    </dxf>
    <dxf>
      <numFmt numFmtId="176" formatCode="#,##0\ [$HUF]"/>
    </dxf>
    <dxf>
      <numFmt numFmtId="167" formatCode="#,##0\ &quot;Ft&quot;"/>
    </dxf>
    <dxf>
      <numFmt numFmtId="176" formatCode="#,##0\ [$HUF]"/>
    </dxf>
    <dxf>
      <numFmt numFmtId="167" formatCode="#,##0\ &quot;Ft&quot;"/>
    </dxf>
    <dxf>
      <border>
        <left style="thin">
          <color auto="1"/>
        </left>
        <right style="thin">
          <color auto="1"/>
        </right>
        <top style="thin">
          <color auto="1"/>
        </top>
        <bottom style="thin">
          <color auto="1"/>
        </bottom>
        <vertical/>
        <horizontal/>
      </border>
    </dxf>
    <dxf>
      <font>
        <color rgb="FFC00000"/>
      </font>
    </dxf>
    <dxf>
      <font>
        <color theme="0"/>
      </font>
      <fill>
        <patternFill patternType="solid">
          <fgColor theme="0"/>
          <bgColor theme="0"/>
        </patternFill>
      </fill>
    </dxf>
    <dxf>
      <font>
        <color theme="0"/>
      </font>
      <fill>
        <patternFill patternType="solid">
          <fgColor theme="0"/>
          <bgColor auto="1"/>
        </patternFill>
      </fill>
    </dxf>
    <dxf>
      <font>
        <u val="none"/>
        <color theme="0"/>
      </font>
      <fill>
        <patternFill>
          <fgColor theme="0"/>
          <bgColor theme="0"/>
        </patternFill>
      </fill>
      <border>
        <left/>
        <right/>
        <top/>
        <bottom/>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border>
        <bottom style="thin">
          <color auto="1"/>
        </bottom>
        <vertical/>
        <horizontal/>
      </border>
    </dxf>
    <dxf>
      <font>
        <color theme="0"/>
      </font>
      <fill>
        <patternFill patternType="solid">
          <fgColor theme="0"/>
          <bgColor theme="0"/>
        </patternFill>
      </fill>
      <border>
        <left/>
        <right/>
        <top/>
        <bottom/>
        <vertical/>
        <horizontal/>
      </border>
    </dxf>
  </dxfs>
  <tableStyles count="0" defaultTableStyle="TableStyleMedium2" defaultPivotStyle="PivotStyleLight16"/>
  <colors>
    <mruColors>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Radio" firstButton="1"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1B684.B10024D0" TargetMode="External"/><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0</xdr:col>
      <xdr:colOff>238126</xdr:colOff>
      <xdr:row>2</xdr:row>
      <xdr:rowOff>9525</xdr:rowOff>
    </xdr:from>
    <xdr:to>
      <xdr:col>4</xdr:col>
      <xdr:colOff>588170</xdr:colOff>
      <xdr:row>7</xdr:row>
      <xdr:rowOff>23356</xdr:rowOff>
    </xdr:to>
    <xdr:pic>
      <xdr:nvPicPr>
        <xdr:cNvPr id="3" name="Kép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6" y="390525"/>
          <a:ext cx="3028950" cy="1023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66</xdr:col>
      <xdr:colOff>119062</xdr:colOff>
      <xdr:row>316</xdr:row>
      <xdr:rowOff>47625</xdr:rowOff>
    </xdr:from>
    <xdr:ext cx="184731" cy="264560"/>
    <xdr:sp macro="" textlink="">
      <xdr:nvSpPr>
        <xdr:cNvPr id="2" name="Szövegdoboz 1">
          <a:extLst>
            <a:ext uri="{FF2B5EF4-FFF2-40B4-BE49-F238E27FC236}">
              <a16:creationId xmlns:a16="http://schemas.microsoft.com/office/drawing/2014/main" id="{00000000-0008-0000-0200-000002000000}"/>
            </a:ext>
          </a:extLst>
        </xdr:cNvPr>
        <xdr:cNvSpPr txBox="1"/>
      </xdr:nvSpPr>
      <xdr:spPr>
        <a:xfrm>
          <a:off x="15335250" y="3243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mc:AlternateContent xmlns:mc="http://schemas.openxmlformats.org/markup-compatibility/2006">
    <mc:Choice xmlns:a14="http://schemas.microsoft.com/office/drawing/2010/main" Requires="a14">
      <xdr:twoCellAnchor editAs="oneCell">
        <xdr:from>
          <xdr:col>4</xdr:col>
          <xdr:colOff>0</xdr:colOff>
          <xdr:row>284</xdr:row>
          <xdr:rowOff>152400</xdr:rowOff>
        </xdr:from>
        <xdr:to>
          <xdr:col>4</xdr:col>
          <xdr:colOff>215900</xdr:colOff>
          <xdr:row>285</xdr:row>
          <xdr:rowOff>139700</xdr:rowOff>
        </xdr:to>
        <xdr:sp macro="" textlink="">
          <xdr:nvSpPr>
            <xdr:cNvPr id="4126" name="CheckBox1" hidden="1">
              <a:extLst>
                <a:ext uri="{63B3BB69-23CF-44E3-9099-C40C66FF867C}">
                  <a14:compatExt spid="_x0000_s4126"/>
                </a:ext>
                <a:ext uri="{FF2B5EF4-FFF2-40B4-BE49-F238E27FC236}">
                  <a16:creationId xmlns:a16="http://schemas.microsoft.com/office/drawing/2014/main" id="{00000000-0008-0000-0200-00001E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286</xdr:row>
          <xdr:rowOff>12700</xdr:rowOff>
        </xdr:from>
        <xdr:to>
          <xdr:col>4</xdr:col>
          <xdr:colOff>215900</xdr:colOff>
          <xdr:row>287</xdr:row>
          <xdr:rowOff>25400</xdr:rowOff>
        </xdr:to>
        <xdr:sp macro="" textlink="">
          <xdr:nvSpPr>
            <xdr:cNvPr id="4127" name="CheckBox2" hidden="1">
              <a:extLst>
                <a:ext uri="{63B3BB69-23CF-44E3-9099-C40C66FF867C}">
                  <a14:compatExt spid="_x0000_s4127"/>
                </a:ext>
                <a:ext uri="{FF2B5EF4-FFF2-40B4-BE49-F238E27FC236}">
                  <a16:creationId xmlns:a16="http://schemas.microsoft.com/office/drawing/2014/main" id="{00000000-0008-0000-0200-00001F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287</xdr:row>
          <xdr:rowOff>88900</xdr:rowOff>
        </xdr:from>
        <xdr:to>
          <xdr:col>4</xdr:col>
          <xdr:colOff>152400</xdr:colOff>
          <xdr:row>288</xdr:row>
          <xdr:rowOff>50800</xdr:rowOff>
        </xdr:to>
        <xdr:sp macro="" textlink="">
          <xdr:nvSpPr>
            <xdr:cNvPr id="4128" name="CheckBox3" hidden="1">
              <a:extLst>
                <a:ext uri="{63B3BB69-23CF-44E3-9099-C40C66FF867C}">
                  <a14:compatExt spid="_x0000_s4128"/>
                </a:ext>
                <a:ext uri="{FF2B5EF4-FFF2-40B4-BE49-F238E27FC236}">
                  <a16:creationId xmlns:a16="http://schemas.microsoft.com/office/drawing/2014/main" id="{00000000-0008-0000-0200-000020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290</xdr:row>
          <xdr:rowOff>127000</xdr:rowOff>
        </xdr:from>
        <xdr:to>
          <xdr:col>4</xdr:col>
          <xdr:colOff>165100</xdr:colOff>
          <xdr:row>291</xdr:row>
          <xdr:rowOff>139700</xdr:rowOff>
        </xdr:to>
        <xdr:sp macro="" textlink="">
          <xdr:nvSpPr>
            <xdr:cNvPr id="4129" name="CheckBox4" hidden="1">
              <a:extLst>
                <a:ext uri="{63B3BB69-23CF-44E3-9099-C40C66FF867C}">
                  <a14:compatExt spid="_x0000_s4129"/>
                </a:ext>
                <a:ext uri="{FF2B5EF4-FFF2-40B4-BE49-F238E27FC236}">
                  <a16:creationId xmlns:a16="http://schemas.microsoft.com/office/drawing/2014/main" id="{00000000-0008-0000-0200-00002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40</xdr:col>
      <xdr:colOff>190500</xdr:colOff>
      <xdr:row>115</xdr:row>
      <xdr:rowOff>95250</xdr:rowOff>
    </xdr:from>
    <xdr:ext cx="184731" cy="264560"/>
    <xdr:sp macro="" textlink="">
      <xdr:nvSpPr>
        <xdr:cNvPr id="3" name="Szövegdoboz 2">
          <a:extLst>
            <a:ext uri="{FF2B5EF4-FFF2-40B4-BE49-F238E27FC236}">
              <a16:creationId xmlns:a16="http://schemas.microsoft.com/office/drawing/2014/main" id="{00000000-0008-0000-0200-000003000000}"/>
            </a:ext>
          </a:extLst>
        </xdr:cNvPr>
        <xdr:cNvSpPr txBox="1"/>
      </xdr:nvSpPr>
      <xdr:spPr>
        <a:xfrm>
          <a:off x="10055679" y="219483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114300</xdr:rowOff>
    </xdr:from>
    <xdr:to>
      <xdr:col>1</xdr:col>
      <xdr:colOff>561975</xdr:colOff>
      <xdr:row>0</xdr:row>
      <xdr:rowOff>495300</xdr:rowOff>
    </xdr:to>
    <xdr:pic>
      <xdr:nvPicPr>
        <xdr:cNvPr id="5123" name="Kép 1" descr="http://net.jogtar.hu/jr/gen/gp2_299_A1100037$BKOR__12_a1200381kor$A28734$A2a$Amk174$BBMP_0.png">
          <a:extLst>
            <a:ext uri="{FF2B5EF4-FFF2-40B4-BE49-F238E27FC236}">
              <a16:creationId xmlns:a16="http://schemas.microsoft.com/office/drawing/2014/main" id="{00000000-0008-0000-0300-0000031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90500" y="114300"/>
          <a:ext cx="2352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165100</xdr:colOff>
          <xdr:row>9</xdr:row>
          <xdr:rowOff>215900</xdr:rowOff>
        </xdr:from>
        <xdr:to>
          <xdr:col>4</xdr:col>
          <xdr:colOff>355600</xdr:colOff>
          <xdr:row>10</xdr:row>
          <xdr:rowOff>88900</xdr:rowOff>
        </xdr:to>
        <xdr:sp macro="" textlink="">
          <xdr:nvSpPr>
            <xdr:cNvPr id="12304" name="CheckBox1" hidden="1">
              <a:extLst>
                <a:ext uri="{63B3BB69-23CF-44E3-9099-C40C66FF867C}">
                  <a14:compatExt spid="_x0000_s12304"/>
                </a:ext>
                <a:ext uri="{FF2B5EF4-FFF2-40B4-BE49-F238E27FC236}">
                  <a16:creationId xmlns:a16="http://schemas.microsoft.com/office/drawing/2014/main" id="{00000000-0008-0000-04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139700</xdr:colOff>
          <xdr:row>10</xdr:row>
          <xdr:rowOff>215900</xdr:rowOff>
        </xdr:from>
        <xdr:to>
          <xdr:col>4</xdr:col>
          <xdr:colOff>330200</xdr:colOff>
          <xdr:row>11</xdr:row>
          <xdr:rowOff>101600</xdr:rowOff>
        </xdr:to>
        <xdr:sp macro="" textlink="">
          <xdr:nvSpPr>
            <xdr:cNvPr id="12305" name="CheckBox2" hidden="1">
              <a:extLst>
                <a:ext uri="{63B3BB69-23CF-44E3-9099-C40C66FF867C}">
                  <a14:compatExt spid="_x0000_s12305"/>
                </a:ext>
                <a:ext uri="{FF2B5EF4-FFF2-40B4-BE49-F238E27FC236}">
                  <a16:creationId xmlns:a16="http://schemas.microsoft.com/office/drawing/2014/main" id="{00000000-0008-0000-04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11</xdr:row>
          <xdr:rowOff>215900</xdr:rowOff>
        </xdr:from>
        <xdr:to>
          <xdr:col>4</xdr:col>
          <xdr:colOff>292100</xdr:colOff>
          <xdr:row>12</xdr:row>
          <xdr:rowOff>101600</xdr:rowOff>
        </xdr:to>
        <xdr:sp macro="" textlink="">
          <xdr:nvSpPr>
            <xdr:cNvPr id="12306" name="CheckBox3" hidden="1">
              <a:extLst>
                <a:ext uri="{63B3BB69-23CF-44E3-9099-C40C66FF867C}">
                  <a14:compatExt spid="_x0000_s12306"/>
                </a:ext>
                <a:ext uri="{FF2B5EF4-FFF2-40B4-BE49-F238E27FC236}">
                  <a16:creationId xmlns:a16="http://schemas.microsoft.com/office/drawing/2014/main" id="{00000000-0008-0000-04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139700</xdr:colOff>
          <xdr:row>12</xdr:row>
          <xdr:rowOff>190500</xdr:rowOff>
        </xdr:from>
        <xdr:to>
          <xdr:col>4</xdr:col>
          <xdr:colOff>330200</xdr:colOff>
          <xdr:row>13</xdr:row>
          <xdr:rowOff>88900</xdr:rowOff>
        </xdr:to>
        <xdr:sp macro="" textlink="">
          <xdr:nvSpPr>
            <xdr:cNvPr id="12307" name="CheckBox4" hidden="1">
              <a:extLst>
                <a:ext uri="{63B3BB69-23CF-44E3-9099-C40C66FF867C}">
                  <a14:compatExt spid="_x0000_s12307"/>
                </a:ext>
                <a:ext uri="{FF2B5EF4-FFF2-40B4-BE49-F238E27FC236}">
                  <a16:creationId xmlns:a16="http://schemas.microsoft.com/office/drawing/2014/main" id="{00000000-0008-0000-04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xdr:row>
          <xdr:rowOff>165100</xdr:rowOff>
        </xdr:from>
        <xdr:to>
          <xdr:col>4</xdr:col>
          <xdr:colOff>304800</xdr:colOff>
          <xdr:row>14</xdr:row>
          <xdr:rowOff>76200</xdr:rowOff>
        </xdr:to>
        <xdr:sp macro="" textlink="">
          <xdr:nvSpPr>
            <xdr:cNvPr id="12308" name="CheckBox5" hidden="1">
              <a:extLst>
                <a:ext uri="{63B3BB69-23CF-44E3-9099-C40C66FF867C}">
                  <a14:compatExt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139700</xdr:colOff>
          <xdr:row>14</xdr:row>
          <xdr:rowOff>165100</xdr:rowOff>
        </xdr:from>
        <xdr:to>
          <xdr:col>4</xdr:col>
          <xdr:colOff>317500</xdr:colOff>
          <xdr:row>15</xdr:row>
          <xdr:rowOff>63500</xdr:rowOff>
        </xdr:to>
        <xdr:sp macro="" textlink="">
          <xdr:nvSpPr>
            <xdr:cNvPr id="12309" name="CheckBox6" hidden="1">
              <a:extLst>
                <a:ext uri="{63B3BB69-23CF-44E3-9099-C40C66FF867C}">
                  <a14:compatExt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139700</xdr:colOff>
          <xdr:row>15</xdr:row>
          <xdr:rowOff>177800</xdr:rowOff>
        </xdr:from>
        <xdr:to>
          <xdr:col>4</xdr:col>
          <xdr:colOff>292100</xdr:colOff>
          <xdr:row>16</xdr:row>
          <xdr:rowOff>76200</xdr:rowOff>
        </xdr:to>
        <xdr:sp macro="" textlink="">
          <xdr:nvSpPr>
            <xdr:cNvPr id="12310" name="CheckBox7" hidden="1">
              <a:extLst>
                <a:ext uri="{63B3BB69-23CF-44E3-9099-C40C66FF867C}">
                  <a14:compatExt spid="_x0000_s12310"/>
                </a:ext>
                <a:ext uri="{FF2B5EF4-FFF2-40B4-BE49-F238E27FC236}">
                  <a16:creationId xmlns:a16="http://schemas.microsoft.com/office/drawing/2014/main" id="{00000000-0008-0000-04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16</xdr:row>
          <xdr:rowOff>165100</xdr:rowOff>
        </xdr:from>
        <xdr:to>
          <xdr:col>4</xdr:col>
          <xdr:colOff>292100</xdr:colOff>
          <xdr:row>17</xdr:row>
          <xdr:rowOff>165100</xdr:rowOff>
        </xdr:to>
        <xdr:sp macro="" textlink="">
          <xdr:nvSpPr>
            <xdr:cNvPr id="12311" name="CheckBox8"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101600</xdr:colOff>
          <xdr:row>17</xdr:row>
          <xdr:rowOff>177800</xdr:rowOff>
        </xdr:from>
        <xdr:to>
          <xdr:col>4</xdr:col>
          <xdr:colOff>292100</xdr:colOff>
          <xdr:row>18</xdr:row>
          <xdr:rowOff>101600</xdr:rowOff>
        </xdr:to>
        <xdr:sp macro="" textlink="">
          <xdr:nvSpPr>
            <xdr:cNvPr id="12312" name="CheckBox9" hidden="1">
              <a:extLst>
                <a:ext uri="{63B3BB69-23CF-44E3-9099-C40C66FF867C}">
                  <a14:compatExt spid="_x0000_s12312"/>
                </a:ext>
                <a:ext uri="{FF2B5EF4-FFF2-40B4-BE49-F238E27FC236}">
                  <a16:creationId xmlns:a16="http://schemas.microsoft.com/office/drawing/2014/main" id="{00000000-0008-0000-04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101600</xdr:colOff>
          <xdr:row>18</xdr:row>
          <xdr:rowOff>165100</xdr:rowOff>
        </xdr:from>
        <xdr:to>
          <xdr:col>4</xdr:col>
          <xdr:colOff>279400</xdr:colOff>
          <xdr:row>19</xdr:row>
          <xdr:rowOff>165100</xdr:rowOff>
        </xdr:to>
        <xdr:sp macro="" textlink="">
          <xdr:nvSpPr>
            <xdr:cNvPr id="12313" name="CheckBox10" hidden="1">
              <a:extLst>
                <a:ext uri="{63B3BB69-23CF-44E3-9099-C40C66FF867C}">
                  <a14:compatExt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19</xdr:row>
          <xdr:rowOff>139700</xdr:rowOff>
        </xdr:from>
        <xdr:to>
          <xdr:col>4</xdr:col>
          <xdr:colOff>254000</xdr:colOff>
          <xdr:row>20</xdr:row>
          <xdr:rowOff>165100</xdr:rowOff>
        </xdr:to>
        <xdr:sp macro="" textlink="">
          <xdr:nvSpPr>
            <xdr:cNvPr id="12314" name="CheckBox11"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101600</xdr:colOff>
          <xdr:row>20</xdr:row>
          <xdr:rowOff>215900</xdr:rowOff>
        </xdr:from>
        <xdr:to>
          <xdr:col>4</xdr:col>
          <xdr:colOff>254000</xdr:colOff>
          <xdr:row>21</xdr:row>
          <xdr:rowOff>63500</xdr:rowOff>
        </xdr:to>
        <xdr:sp macro="" textlink="">
          <xdr:nvSpPr>
            <xdr:cNvPr id="12315" name="CheckBox12" hidden="1">
              <a:extLst>
                <a:ext uri="{63B3BB69-23CF-44E3-9099-C40C66FF867C}">
                  <a14:compatExt spid="_x0000_s12315"/>
                </a:ext>
                <a:ext uri="{FF2B5EF4-FFF2-40B4-BE49-F238E27FC236}">
                  <a16:creationId xmlns:a16="http://schemas.microsoft.com/office/drawing/2014/main" id="{00000000-0008-0000-04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88900</xdr:rowOff>
        </xdr:from>
        <xdr:to>
          <xdr:col>6</xdr:col>
          <xdr:colOff>0</xdr:colOff>
          <xdr:row>6</xdr:row>
          <xdr:rowOff>25400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hu-HU" sz="1100" b="0" i="0" u="none" strike="noStrike" baseline="0">
                  <a:solidFill>
                    <a:srgbClr val="000000"/>
                  </a:solidFill>
                  <a:latin typeface="Calibri" pitchFamily="2" charset="0"/>
                  <a:cs typeface="Calibri" pitchFamily="2" charset="0"/>
                </a:rPr>
                <a:t>Inicializálás, mentés, mentés xlsx-be, levédés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63500</xdr:colOff>
          <xdr:row>37</xdr:row>
          <xdr:rowOff>12700</xdr:rowOff>
        </xdr:from>
        <xdr:to>
          <xdr:col>3</xdr:col>
          <xdr:colOff>139700</xdr:colOff>
          <xdr:row>38</xdr:row>
          <xdr:rowOff>63500</xdr:rowOff>
        </xdr:to>
        <xdr:sp macro="" textlink="">
          <xdr:nvSpPr>
            <xdr:cNvPr id="21513" name="Option Button 9" hidden="1">
              <a:extLst>
                <a:ext uri="{63B3BB69-23CF-44E3-9099-C40C66FF867C}">
                  <a14:compatExt spid="_x0000_s21513"/>
                </a:ext>
                <a:ext uri="{FF2B5EF4-FFF2-40B4-BE49-F238E27FC236}">
                  <a16:creationId xmlns:a16="http://schemas.microsoft.com/office/drawing/2014/main" id="{00000000-0008-0000-0A00-000009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63500</xdr:colOff>
          <xdr:row>39</xdr:row>
          <xdr:rowOff>0</xdr:rowOff>
        </xdr:from>
        <xdr:to>
          <xdr:col>3</xdr:col>
          <xdr:colOff>101600</xdr:colOff>
          <xdr:row>40</xdr:row>
          <xdr:rowOff>25400</xdr:rowOff>
        </xdr:to>
        <xdr:sp macro="" textlink="">
          <xdr:nvSpPr>
            <xdr:cNvPr id="21514" name="Option Button 10" hidden="1">
              <a:extLst>
                <a:ext uri="{63B3BB69-23CF-44E3-9099-C40C66FF867C}">
                  <a14:compatExt spid="_x0000_s21514"/>
                </a:ext>
                <a:ext uri="{FF2B5EF4-FFF2-40B4-BE49-F238E27FC236}">
                  <a16:creationId xmlns:a16="http://schemas.microsoft.com/office/drawing/2014/main" id="{00000000-0008-0000-0A00-00000A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63500</xdr:colOff>
          <xdr:row>40</xdr:row>
          <xdr:rowOff>177800</xdr:rowOff>
        </xdr:from>
        <xdr:to>
          <xdr:col>3</xdr:col>
          <xdr:colOff>139700</xdr:colOff>
          <xdr:row>42</xdr:row>
          <xdr:rowOff>38100</xdr:rowOff>
        </xdr:to>
        <xdr:sp macro="" textlink="">
          <xdr:nvSpPr>
            <xdr:cNvPr id="21515" name="Option Button 11" hidden="1">
              <a:extLst>
                <a:ext uri="{63B3BB69-23CF-44E3-9099-C40C66FF867C}">
                  <a14:compatExt spid="_x0000_s21515"/>
                </a:ext>
                <a:ext uri="{FF2B5EF4-FFF2-40B4-BE49-F238E27FC236}">
                  <a16:creationId xmlns:a16="http://schemas.microsoft.com/office/drawing/2014/main" id="{00000000-0008-0000-0A00-00000B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63500</xdr:colOff>
          <xdr:row>43</xdr:row>
          <xdr:rowOff>101600</xdr:rowOff>
        </xdr:from>
        <xdr:to>
          <xdr:col>3</xdr:col>
          <xdr:colOff>139700</xdr:colOff>
          <xdr:row>43</xdr:row>
          <xdr:rowOff>330200</xdr:rowOff>
        </xdr:to>
        <xdr:sp macro="" textlink="">
          <xdr:nvSpPr>
            <xdr:cNvPr id="21516" name="Option Button 12" hidden="1">
              <a:extLst>
                <a:ext uri="{63B3BB69-23CF-44E3-9099-C40C66FF867C}">
                  <a14:compatExt spid="_x0000_s21516"/>
                </a:ext>
                <a:ext uri="{FF2B5EF4-FFF2-40B4-BE49-F238E27FC236}">
                  <a16:creationId xmlns:a16="http://schemas.microsoft.com/office/drawing/2014/main" id="{00000000-0008-0000-0A00-00000C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45</xdr:row>
          <xdr:rowOff>63500</xdr:rowOff>
        </xdr:from>
        <xdr:to>
          <xdr:col>3</xdr:col>
          <xdr:colOff>152400</xdr:colOff>
          <xdr:row>45</xdr:row>
          <xdr:rowOff>292100</xdr:rowOff>
        </xdr:to>
        <xdr:sp macro="" textlink="">
          <xdr:nvSpPr>
            <xdr:cNvPr id="21517" name="Option Button 13" hidden="1">
              <a:extLst>
                <a:ext uri="{63B3BB69-23CF-44E3-9099-C40C66FF867C}">
                  <a14:compatExt spid="_x0000_s21517"/>
                </a:ext>
                <a:ext uri="{FF2B5EF4-FFF2-40B4-BE49-F238E27FC236}">
                  <a16:creationId xmlns:a16="http://schemas.microsoft.com/office/drawing/2014/main" id="{00000000-0008-0000-0A00-00000D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aloghne/AppData/Local/Microsoft/Windows/Temporary%20Internet%20Files/Content.Outlook/FPJLBJ7C/M&#225;solat%20eredetijeTT_kkv_versenykepessegi_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orvathz/AppData/Local/Microsoft/Windows/Temporary%20Internet%20Files/Content.Outlook/FYMRD7QR/Adatl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20;zleti_D/Term&#233;kfejleszt&#233;si_O/L&#237;zing%20refin/10_K&#233;relem/MFB%20LRP/M&#225;solat%20eredetijeTT%20kalkul&#225;tor%20vsk%20beruh&#225;z&#225;si_Edi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kkv"/>
      <sheetName val="TT_kkv_varia"/>
    </sheetNames>
    <sheetDataSet>
      <sheetData sheetId="0"/>
      <sheetData sheetId="1">
        <row r="21">
          <cell r="C21">
            <v>8.9999999999999998E-4</v>
          </cell>
        </row>
        <row r="23">
          <cell r="C23">
            <v>1.09E-2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in_adatlap_vállakozás_adatok"/>
      <sheetName val="Marketing nyilatkozat"/>
      <sheetName val="általános de minimis nyil."/>
      <sheetName val="regio.csop,ment_Nyilatkozatok"/>
      <sheetName val="Munka1"/>
      <sheetName val="regionális beruházási támogatás"/>
      <sheetName val="Munka2"/>
    </sheetNames>
    <sheetDataSet>
      <sheetData sheetId="0">
        <row r="106">
          <cell r="BA106" t="str">
            <v>kitöltendő legördülő cella</v>
          </cell>
        </row>
        <row r="107">
          <cell r="BA107" t="str">
            <v>Észak-Magyarország</v>
          </cell>
        </row>
        <row r="108">
          <cell r="BA108" t="str">
            <v>Észak-Alföld</v>
          </cell>
        </row>
        <row r="109">
          <cell r="BA109" t="str">
            <v xml:space="preserve">Dél-Alföld </v>
          </cell>
        </row>
        <row r="110">
          <cell r="BA110" t="str">
            <v>Dél-Dunántúl</v>
          </cell>
        </row>
        <row r="111">
          <cell r="BA111" t="str">
            <v>Közép-Dunántúl</v>
          </cell>
        </row>
        <row r="112">
          <cell r="BA112" t="str">
            <v>Nyugat-Dunántúl</v>
          </cell>
        </row>
        <row r="113">
          <cell r="BA113" t="str">
            <v>Közép-Magyarországi nem támogatható települések</v>
          </cell>
        </row>
        <row r="114">
          <cell r="BA114" t="str">
            <v>Közép-Magyarországi támogatható települések</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ámogatás intenzitás"/>
      <sheetName val="beruházás adatai"/>
      <sheetName val="Cashflow, Támogatástartalom"/>
      <sheetName val="Segédtáblákk"/>
      <sheetName val="Inicializálás"/>
      <sheetName val="Munka1"/>
    </sheetNames>
    <sheetDataSet>
      <sheetData sheetId="0" refreshError="1"/>
      <sheetData sheetId="1" refreshError="1"/>
      <sheetData sheetId="2" refreshError="1"/>
      <sheetData sheetId="3">
        <row r="1">
          <cell r="C1" t="str">
            <v>Nfel nem sorolt települések</v>
          </cell>
          <cell r="D1">
            <v>0</v>
          </cell>
        </row>
        <row r="2">
          <cell r="C2" t="str">
            <v>Kfel nem sorolt települések</v>
          </cell>
          <cell r="D2">
            <v>0</v>
          </cell>
        </row>
        <row r="3">
          <cell r="C3" t="str">
            <v>Mfel nem sorolt települések</v>
          </cell>
          <cell r="D3">
            <v>0</v>
          </cell>
        </row>
        <row r="4">
          <cell r="C4" t="str">
            <v>MAbony</v>
          </cell>
          <cell r="D4">
            <v>0.55000000000000004</v>
          </cell>
        </row>
        <row r="5">
          <cell r="C5" t="str">
            <v>MAlsónémedi</v>
          </cell>
          <cell r="D5">
            <v>0.55000000000000004</v>
          </cell>
        </row>
        <row r="6">
          <cell r="C6" t="str">
            <v>MÁporka</v>
          </cell>
          <cell r="D6">
            <v>0.55000000000000004</v>
          </cell>
        </row>
        <row r="7">
          <cell r="C7" t="str">
            <v>MAszód</v>
          </cell>
          <cell r="D7">
            <v>0.55000000000000004</v>
          </cell>
        </row>
        <row r="8">
          <cell r="C8" t="str">
            <v>MBag</v>
          </cell>
          <cell r="D8">
            <v>0.55000000000000004</v>
          </cell>
        </row>
        <row r="9">
          <cell r="C9" t="str">
            <v>MBernecebaráti</v>
          </cell>
          <cell r="D9">
            <v>0.55000000000000004</v>
          </cell>
        </row>
        <row r="10">
          <cell r="C10" t="str">
            <v>MCegléd</v>
          </cell>
          <cell r="D10">
            <v>0.55000000000000004</v>
          </cell>
        </row>
        <row r="11">
          <cell r="C11" t="str">
            <v>MCsemő</v>
          </cell>
          <cell r="D11">
            <v>0.55000000000000004</v>
          </cell>
        </row>
        <row r="12">
          <cell r="C12" t="str">
            <v>MDabas</v>
          </cell>
          <cell r="D12">
            <v>0.55000000000000004</v>
          </cell>
        </row>
        <row r="13">
          <cell r="C13" t="str">
            <v>MDomony</v>
          </cell>
          <cell r="D13">
            <v>0.55000000000000004</v>
          </cell>
        </row>
        <row r="14">
          <cell r="C14" t="str">
            <v>MDömsöd</v>
          </cell>
          <cell r="D14">
            <v>0.55000000000000004</v>
          </cell>
        </row>
        <row r="15">
          <cell r="C15" t="str">
            <v>MDunaharaszti</v>
          </cell>
          <cell r="D15">
            <v>0.55000000000000004</v>
          </cell>
        </row>
        <row r="16">
          <cell r="C16" t="str">
            <v>MEcser</v>
          </cell>
          <cell r="D16">
            <v>0.55000000000000004</v>
          </cell>
        </row>
        <row r="17">
          <cell r="C17" t="str">
            <v>MÉrd</v>
          </cell>
          <cell r="D17">
            <v>0.55000000000000004</v>
          </cell>
        </row>
        <row r="18">
          <cell r="C18" t="str">
            <v>MFarmos</v>
          </cell>
          <cell r="D18">
            <v>0.55000000000000004</v>
          </cell>
        </row>
        <row r="19">
          <cell r="C19" t="str">
            <v>MFelsőpakony</v>
          </cell>
          <cell r="D19">
            <v>0.55000000000000004</v>
          </cell>
        </row>
        <row r="20">
          <cell r="C20" t="str">
            <v>MGalgagyörk</v>
          </cell>
          <cell r="D20">
            <v>0.55000000000000004</v>
          </cell>
        </row>
        <row r="21">
          <cell r="C21" t="str">
            <v>MGalgahévíz</v>
          </cell>
          <cell r="D21">
            <v>0.55000000000000004</v>
          </cell>
        </row>
        <row r="22">
          <cell r="C22" t="str">
            <v>MGalgamácsa</v>
          </cell>
          <cell r="D22">
            <v>0.55000000000000004</v>
          </cell>
        </row>
        <row r="23">
          <cell r="C23" t="str">
            <v>MGöd</v>
          </cell>
          <cell r="D23">
            <v>0.55000000000000004</v>
          </cell>
        </row>
        <row r="24">
          <cell r="C24" t="str">
            <v>MGödöllő</v>
          </cell>
          <cell r="D24">
            <v>0.55000000000000004</v>
          </cell>
        </row>
        <row r="25">
          <cell r="C25" t="str">
            <v>MGyál</v>
          </cell>
          <cell r="D25">
            <v>0.55000000000000004</v>
          </cell>
        </row>
        <row r="26">
          <cell r="C26" t="str">
            <v>MGyömrő</v>
          </cell>
          <cell r="D26">
            <v>0.55000000000000004</v>
          </cell>
        </row>
        <row r="27">
          <cell r="C27" t="str">
            <v>MHalásztelek</v>
          </cell>
          <cell r="D27">
            <v>0.55000000000000004</v>
          </cell>
        </row>
        <row r="28">
          <cell r="C28" t="str">
            <v>MHévízgyörk</v>
          </cell>
          <cell r="D28">
            <v>0.55000000000000004</v>
          </cell>
        </row>
        <row r="29">
          <cell r="C29" t="str">
            <v>MIklad</v>
          </cell>
          <cell r="D29">
            <v>0.55000000000000004</v>
          </cell>
        </row>
        <row r="30">
          <cell r="C30" t="str">
            <v>MIpolydamásd</v>
          </cell>
          <cell r="D30">
            <v>0.55000000000000004</v>
          </cell>
        </row>
        <row r="31">
          <cell r="C31" t="str">
            <v>MIpolytölgyes</v>
          </cell>
          <cell r="D31">
            <v>0.55000000000000004</v>
          </cell>
        </row>
        <row r="32">
          <cell r="C32" t="str">
            <v>MJászkarajenő</v>
          </cell>
          <cell r="D32">
            <v>0.55000000000000004</v>
          </cell>
        </row>
        <row r="33">
          <cell r="C33" t="str">
            <v>MKartal</v>
          </cell>
          <cell r="D33">
            <v>0.55000000000000004</v>
          </cell>
        </row>
        <row r="34">
          <cell r="C34" t="str">
            <v>MKemence</v>
          </cell>
          <cell r="D34">
            <v>0.55000000000000004</v>
          </cell>
        </row>
        <row r="35">
          <cell r="C35" t="str">
            <v>MKiskunlacháza</v>
          </cell>
          <cell r="D35">
            <v>0.55000000000000004</v>
          </cell>
        </row>
        <row r="36">
          <cell r="C36" t="str">
            <v>MKisnémedi</v>
          </cell>
          <cell r="D36">
            <v>0.55000000000000004</v>
          </cell>
        </row>
        <row r="37">
          <cell r="C37" t="str">
            <v>MKocsér</v>
          </cell>
          <cell r="D37">
            <v>0.55000000000000004</v>
          </cell>
        </row>
        <row r="38">
          <cell r="C38" t="str">
            <v>MKóspallag</v>
          </cell>
          <cell r="D38">
            <v>0.55000000000000004</v>
          </cell>
        </row>
        <row r="39">
          <cell r="C39" t="str">
            <v>MKőröstetétlen</v>
          </cell>
          <cell r="D39">
            <v>0.55000000000000004</v>
          </cell>
        </row>
        <row r="40">
          <cell r="C40" t="str">
            <v>MLetkés</v>
          </cell>
          <cell r="D40">
            <v>0.55000000000000004</v>
          </cell>
        </row>
        <row r="41">
          <cell r="C41" t="str">
            <v>MLórév</v>
          </cell>
          <cell r="D41">
            <v>0.55000000000000004</v>
          </cell>
        </row>
        <row r="42">
          <cell r="C42" t="str">
            <v>MMaglód</v>
          </cell>
          <cell r="D42">
            <v>0.55000000000000004</v>
          </cell>
        </row>
        <row r="43">
          <cell r="C43" t="str">
            <v>MMakád</v>
          </cell>
          <cell r="D43">
            <v>0.55000000000000004</v>
          </cell>
        </row>
        <row r="44">
          <cell r="C44" t="str">
            <v>MMárianosztra</v>
          </cell>
          <cell r="D44">
            <v>0.55000000000000004</v>
          </cell>
        </row>
        <row r="45">
          <cell r="C45" t="str">
            <v>MMikebuda</v>
          </cell>
          <cell r="D45">
            <v>0.55000000000000004</v>
          </cell>
        </row>
        <row r="46">
          <cell r="C46" t="str">
            <v>MMonor</v>
          </cell>
          <cell r="D46">
            <v>0.55000000000000004</v>
          </cell>
        </row>
        <row r="47">
          <cell r="C47" t="str">
            <v>MNagybörzsöny</v>
          </cell>
          <cell r="D47">
            <v>0.55000000000000004</v>
          </cell>
        </row>
        <row r="48">
          <cell r="C48" t="str">
            <v>MNagykáta</v>
          </cell>
          <cell r="D48">
            <v>0.55000000000000004</v>
          </cell>
        </row>
        <row r="49">
          <cell r="C49" t="str">
            <v>MNagykőrös</v>
          </cell>
          <cell r="D49">
            <v>0.55000000000000004</v>
          </cell>
        </row>
        <row r="50">
          <cell r="C50" t="str">
            <v>MNagytarcsa</v>
          </cell>
          <cell r="D50">
            <v>0.55000000000000004</v>
          </cell>
        </row>
        <row r="51">
          <cell r="C51" t="str">
            <v>MNyársapát</v>
          </cell>
          <cell r="D51">
            <v>0.55000000000000004</v>
          </cell>
        </row>
        <row r="52">
          <cell r="C52" t="str">
            <v>MÓcsa</v>
          </cell>
          <cell r="D52">
            <v>0.55000000000000004</v>
          </cell>
        </row>
        <row r="53">
          <cell r="C53" t="str">
            <v>MÖrkény</v>
          </cell>
          <cell r="D53">
            <v>0.55000000000000004</v>
          </cell>
        </row>
        <row r="54">
          <cell r="C54" t="str">
            <v>MPécel</v>
          </cell>
          <cell r="D54">
            <v>0.55000000000000004</v>
          </cell>
        </row>
        <row r="55">
          <cell r="C55" t="str">
            <v>MPerőcsény</v>
          </cell>
          <cell r="D55">
            <v>0.55000000000000004</v>
          </cell>
        </row>
        <row r="56">
          <cell r="C56" t="str">
            <v>MPéteri</v>
          </cell>
          <cell r="D56">
            <v>0.55000000000000004</v>
          </cell>
        </row>
        <row r="57">
          <cell r="C57" t="str">
            <v>MPiliscsaba</v>
          </cell>
          <cell r="D57">
            <v>0.4</v>
          </cell>
        </row>
        <row r="58">
          <cell r="C58" t="str">
            <v>MPilisjászújfalu</v>
          </cell>
          <cell r="D58">
            <v>0.4</v>
          </cell>
        </row>
        <row r="59">
          <cell r="C59" t="str">
            <v>MPüspökhatvan</v>
          </cell>
          <cell r="D59">
            <v>0.55000000000000004</v>
          </cell>
        </row>
        <row r="60">
          <cell r="C60" t="str">
            <v>MPüspökszilágy</v>
          </cell>
          <cell r="D60">
            <v>0.55000000000000004</v>
          </cell>
        </row>
        <row r="61">
          <cell r="C61" t="str">
            <v>MRáckeve</v>
          </cell>
          <cell r="D61">
            <v>0.55000000000000004</v>
          </cell>
        </row>
        <row r="62">
          <cell r="C62" t="str">
            <v>MSzentmártonkáta</v>
          </cell>
          <cell r="D62">
            <v>0.55000000000000004</v>
          </cell>
        </row>
        <row r="63">
          <cell r="C63" t="str">
            <v>MSzigetbecse</v>
          </cell>
          <cell r="D63">
            <v>0.55000000000000004</v>
          </cell>
        </row>
        <row r="64">
          <cell r="C64" t="str">
            <v>MSzigetszentmiklós</v>
          </cell>
          <cell r="D64">
            <v>0.55000000000000004</v>
          </cell>
        </row>
        <row r="65">
          <cell r="C65" t="str">
            <v>MSzob</v>
          </cell>
          <cell r="D65">
            <v>0.55000000000000004</v>
          </cell>
        </row>
        <row r="66">
          <cell r="C66" t="str">
            <v>MSzokolya</v>
          </cell>
          <cell r="D66">
            <v>0.55000000000000004</v>
          </cell>
        </row>
        <row r="67">
          <cell r="C67" t="str">
            <v>MSződliget</v>
          </cell>
          <cell r="D67">
            <v>0.55000000000000004</v>
          </cell>
        </row>
        <row r="68">
          <cell r="C68" t="str">
            <v>MTáborfalva</v>
          </cell>
          <cell r="D68">
            <v>0.55000000000000004</v>
          </cell>
        </row>
        <row r="69">
          <cell r="C69" t="str">
            <v>MTápióbicske</v>
          </cell>
          <cell r="D69">
            <v>0.55000000000000004</v>
          </cell>
        </row>
        <row r="70">
          <cell r="C70" t="str">
            <v>MTápiógyörgye</v>
          </cell>
          <cell r="D70">
            <v>0.55000000000000004</v>
          </cell>
        </row>
        <row r="71">
          <cell r="C71" t="str">
            <v>MTápióság</v>
          </cell>
          <cell r="D71">
            <v>0.55000000000000004</v>
          </cell>
        </row>
        <row r="72">
          <cell r="C72" t="str">
            <v>MTápiószele</v>
          </cell>
          <cell r="D72">
            <v>0.55000000000000004</v>
          </cell>
        </row>
        <row r="73">
          <cell r="C73" t="str">
            <v>MTápiószentmárton</v>
          </cell>
          <cell r="D73">
            <v>0.55000000000000004</v>
          </cell>
        </row>
        <row r="74">
          <cell r="C74" t="str">
            <v>MTápiószőlős</v>
          </cell>
          <cell r="D74">
            <v>0.55000000000000004</v>
          </cell>
        </row>
        <row r="75">
          <cell r="C75" t="str">
            <v>MTatárszentgyörgy</v>
          </cell>
          <cell r="D75">
            <v>0.55000000000000004</v>
          </cell>
        </row>
        <row r="76">
          <cell r="C76" t="str">
            <v>MTésa</v>
          </cell>
          <cell r="D76">
            <v>0.55000000000000004</v>
          </cell>
        </row>
        <row r="77">
          <cell r="C77" t="str">
            <v>MTörtel</v>
          </cell>
          <cell r="D77">
            <v>0.55000000000000004</v>
          </cell>
        </row>
        <row r="78">
          <cell r="C78" t="str">
            <v>MTura</v>
          </cell>
          <cell r="D78">
            <v>0.55000000000000004</v>
          </cell>
        </row>
        <row r="79">
          <cell r="C79" t="str">
            <v>MÚjhartyán</v>
          </cell>
          <cell r="D79">
            <v>0.55000000000000004</v>
          </cell>
        </row>
        <row r="80">
          <cell r="C80" t="str">
            <v>MÚjszilvás</v>
          </cell>
          <cell r="D80">
            <v>0.55000000000000004</v>
          </cell>
        </row>
        <row r="81">
          <cell r="C81" t="str">
            <v>MÜllő</v>
          </cell>
          <cell r="D81">
            <v>0.55000000000000004</v>
          </cell>
        </row>
        <row r="82">
          <cell r="C82" t="str">
            <v>MVác</v>
          </cell>
          <cell r="D82">
            <v>0.55000000000000004</v>
          </cell>
        </row>
        <row r="83">
          <cell r="C83" t="str">
            <v>MVáckisújfalu</v>
          </cell>
          <cell r="D83">
            <v>0.55000000000000004</v>
          </cell>
        </row>
        <row r="84">
          <cell r="C84" t="str">
            <v>MValkó</v>
          </cell>
          <cell r="D84">
            <v>0.55000000000000004</v>
          </cell>
        </row>
        <row r="85">
          <cell r="C85" t="str">
            <v>MVámosmikola</v>
          </cell>
          <cell r="D85">
            <v>0.55000000000000004</v>
          </cell>
        </row>
        <row r="86">
          <cell r="C86" t="str">
            <v>MVecsés</v>
          </cell>
          <cell r="D86">
            <v>0.55000000000000004</v>
          </cell>
        </row>
        <row r="87">
          <cell r="C87" t="str">
            <v>MVerőce</v>
          </cell>
          <cell r="D87">
            <v>0.55000000000000004</v>
          </cell>
        </row>
        <row r="88">
          <cell r="C88" t="str">
            <v xml:space="preserve">MVerseg </v>
          </cell>
          <cell r="D88">
            <v>0.55000000000000004</v>
          </cell>
        </row>
        <row r="89">
          <cell r="C89" t="str">
            <v>MZebegény</v>
          </cell>
          <cell r="D89">
            <v>0.55000000000000004</v>
          </cell>
        </row>
        <row r="90">
          <cell r="C90" t="str">
            <v>MÉszak Magyarország</v>
          </cell>
          <cell r="D90">
            <v>0.7</v>
          </cell>
        </row>
        <row r="91">
          <cell r="C91" t="str">
            <v>MÉszak Alföld</v>
          </cell>
          <cell r="D91">
            <v>0.7</v>
          </cell>
        </row>
        <row r="92">
          <cell r="C92" t="str">
            <v>MDél Alföld</v>
          </cell>
          <cell r="D92">
            <v>0.7</v>
          </cell>
        </row>
        <row r="93">
          <cell r="C93" t="str">
            <v>MDél Dunántúl</v>
          </cell>
          <cell r="D93">
            <v>0.7</v>
          </cell>
        </row>
        <row r="94">
          <cell r="C94" t="str">
            <v>MKözép Dunántúl</v>
          </cell>
          <cell r="D94">
            <v>0.55000000000000004</v>
          </cell>
        </row>
        <row r="95">
          <cell r="C95" t="str">
            <v>MNyugat Dunántúl</v>
          </cell>
          <cell r="D95">
            <v>0.45</v>
          </cell>
        </row>
        <row r="96">
          <cell r="C96" t="str">
            <v>KAbony</v>
          </cell>
          <cell r="D96">
            <v>0.45</v>
          </cell>
        </row>
        <row r="97">
          <cell r="C97" t="str">
            <v>KAlsónémedi</v>
          </cell>
          <cell r="D97">
            <v>0.45</v>
          </cell>
        </row>
        <row r="98">
          <cell r="C98" t="str">
            <v>KÁporka</v>
          </cell>
          <cell r="D98">
            <v>0.45</v>
          </cell>
        </row>
        <row r="99">
          <cell r="C99" t="str">
            <v>KAszód</v>
          </cell>
          <cell r="D99">
            <v>0.45</v>
          </cell>
        </row>
        <row r="100">
          <cell r="C100" t="str">
            <v>KBag</v>
          </cell>
          <cell r="D100">
            <v>0.45</v>
          </cell>
        </row>
        <row r="101">
          <cell r="C101" t="str">
            <v>KBernecebaráti</v>
          </cell>
          <cell r="D101">
            <v>0.45</v>
          </cell>
        </row>
        <row r="102">
          <cell r="C102" t="str">
            <v>KCegléd</v>
          </cell>
          <cell r="D102">
            <v>0.45</v>
          </cell>
        </row>
        <row r="103">
          <cell r="C103" t="str">
            <v>KCsemő</v>
          </cell>
          <cell r="D103">
            <v>0.45</v>
          </cell>
        </row>
        <row r="104">
          <cell r="C104" t="str">
            <v>KDabas</v>
          </cell>
          <cell r="D104">
            <v>0.45</v>
          </cell>
        </row>
        <row r="105">
          <cell r="C105" t="str">
            <v>KDomony</v>
          </cell>
          <cell r="D105">
            <v>0.45</v>
          </cell>
        </row>
        <row r="106">
          <cell r="C106" t="str">
            <v>KDömsöd</v>
          </cell>
          <cell r="D106">
            <v>0.45</v>
          </cell>
        </row>
        <row r="107">
          <cell r="C107" t="str">
            <v>KDunaharaszti</v>
          </cell>
          <cell r="D107">
            <v>0.45</v>
          </cell>
        </row>
        <row r="108">
          <cell r="C108" t="str">
            <v>KEcser</v>
          </cell>
          <cell r="D108">
            <v>0.45</v>
          </cell>
        </row>
        <row r="109">
          <cell r="C109" t="str">
            <v>KÉrd</v>
          </cell>
          <cell r="D109">
            <v>0.45</v>
          </cell>
        </row>
        <row r="110">
          <cell r="C110" t="str">
            <v>KFarmos</v>
          </cell>
          <cell r="D110">
            <v>0.45</v>
          </cell>
        </row>
        <row r="111">
          <cell r="C111" t="str">
            <v>KFelsőpakony</v>
          </cell>
          <cell r="D111">
            <v>0.45</v>
          </cell>
        </row>
        <row r="112">
          <cell r="C112" t="str">
            <v>KGalgagyörk</v>
          </cell>
          <cell r="D112">
            <v>0.45</v>
          </cell>
        </row>
        <row r="113">
          <cell r="C113" t="str">
            <v>KGalgahévíz</v>
          </cell>
          <cell r="D113">
            <v>0.45</v>
          </cell>
        </row>
        <row r="114">
          <cell r="C114" t="str">
            <v>KGalgamácsa</v>
          </cell>
          <cell r="D114">
            <v>0.45</v>
          </cell>
        </row>
        <row r="115">
          <cell r="C115" t="str">
            <v>KGöd</v>
          </cell>
          <cell r="D115">
            <v>0.45</v>
          </cell>
        </row>
        <row r="116">
          <cell r="C116" t="str">
            <v>KGödöllő</v>
          </cell>
          <cell r="D116">
            <v>0.45</v>
          </cell>
        </row>
        <row r="117">
          <cell r="C117" t="str">
            <v>KGyál</v>
          </cell>
          <cell r="D117">
            <v>0.45</v>
          </cell>
        </row>
        <row r="118">
          <cell r="C118" t="str">
            <v>KGyömrő</v>
          </cell>
          <cell r="D118">
            <v>0.45</v>
          </cell>
        </row>
        <row r="119">
          <cell r="C119" t="str">
            <v>KHalásztelek</v>
          </cell>
          <cell r="D119">
            <v>0.45</v>
          </cell>
        </row>
        <row r="120">
          <cell r="C120" t="str">
            <v>KHévízgyörk</v>
          </cell>
          <cell r="D120">
            <v>0.45</v>
          </cell>
        </row>
        <row r="121">
          <cell r="C121" t="str">
            <v>KIklad</v>
          </cell>
          <cell r="D121">
            <v>0.45</v>
          </cell>
        </row>
        <row r="122">
          <cell r="C122" t="str">
            <v>KIpolydamásd</v>
          </cell>
          <cell r="D122">
            <v>0.45</v>
          </cell>
        </row>
        <row r="123">
          <cell r="C123" t="str">
            <v>KIpolytölgyes</v>
          </cell>
          <cell r="D123">
            <v>0.45</v>
          </cell>
        </row>
        <row r="124">
          <cell r="C124" t="str">
            <v>KJászkarajenő</v>
          </cell>
          <cell r="D124">
            <v>0.45</v>
          </cell>
        </row>
        <row r="125">
          <cell r="C125" t="str">
            <v>KKartal</v>
          </cell>
          <cell r="D125">
            <v>0.45</v>
          </cell>
        </row>
        <row r="126">
          <cell r="C126" t="str">
            <v>KKemence</v>
          </cell>
          <cell r="D126">
            <v>0.45</v>
          </cell>
        </row>
        <row r="127">
          <cell r="C127" t="str">
            <v>KKiskunlacháza</v>
          </cell>
          <cell r="D127">
            <v>0.45</v>
          </cell>
        </row>
        <row r="128">
          <cell r="C128" t="str">
            <v>KKisnémedi</v>
          </cell>
          <cell r="D128">
            <v>0.45</v>
          </cell>
        </row>
        <row r="129">
          <cell r="C129" t="str">
            <v>KKocsér</v>
          </cell>
          <cell r="D129">
            <v>0.45</v>
          </cell>
        </row>
        <row r="130">
          <cell r="C130" t="str">
            <v>KKóspallag</v>
          </cell>
          <cell r="D130">
            <v>0.45</v>
          </cell>
        </row>
        <row r="131">
          <cell r="C131" t="str">
            <v>KKőröstetétlen</v>
          </cell>
          <cell r="D131">
            <v>0.45</v>
          </cell>
        </row>
        <row r="132">
          <cell r="C132" t="str">
            <v>KLetkés</v>
          </cell>
          <cell r="D132">
            <v>0.45</v>
          </cell>
        </row>
        <row r="133">
          <cell r="C133" t="str">
            <v>KLórév</v>
          </cell>
          <cell r="D133">
            <v>0.45</v>
          </cell>
        </row>
        <row r="134">
          <cell r="C134" t="str">
            <v>KMaglód</v>
          </cell>
          <cell r="D134">
            <v>0.45</v>
          </cell>
        </row>
        <row r="135">
          <cell r="C135" t="str">
            <v>KMakád</v>
          </cell>
          <cell r="D135">
            <v>0.45</v>
          </cell>
        </row>
        <row r="136">
          <cell r="C136" t="str">
            <v>KMárianosztra</v>
          </cell>
          <cell r="D136">
            <v>0.45</v>
          </cell>
        </row>
        <row r="137">
          <cell r="C137" t="str">
            <v>KMikebuda</v>
          </cell>
          <cell r="D137">
            <v>0.45</v>
          </cell>
        </row>
        <row r="138">
          <cell r="C138" t="str">
            <v>KMonor</v>
          </cell>
          <cell r="D138">
            <v>0.45</v>
          </cell>
        </row>
        <row r="139">
          <cell r="C139" t="str">
            <v>KNagybörzsöny</v>
          </cell>
          <cell r="D139">
            <v>0.45</v>
          </cell>
        </row>
        <row r="140">
          <cell r="C140" t="str">
            <v>KNagykáta</v>
          </cell>
          <cell r="D140">
            <v>0.45</v>
          </cell>
        </row>
        <row r="141">
          <cell r="C141" t="str">
            <v>KNagykőrös</v>
          </cell>
          <cell r="D141">
            <v>0.45</v>
          </cell>
        </row>
        <row r="142">
          <cell r="C142" t="str">
            <v>KNagytarcsa</v>
          </cell>
          <cell r="D142">
            <v>0.45</v>
          </cell>
        </row>
        <row r="143">
          <cell r="C143" t="str">
            <v>KNyársapát</v>
          </cell>
          <cell r="D143">
            <v>0.45</v>
          </cell>
        </row>
        <row r="144">
          <cell r="C144" t="str">
            <v>KÓcsa</v>
          </cell>
          <cell r="D144">
            <v>0.45</v>
          </cell>
        </row>
        <row r="145">
          <cell r="C145" t="str">
            <v>KÖrkény</v>
          </cell>
          <cell r="D145">
            <v>0.45</v>
          </cell>
        </row>
        <row r="146">
          <cell r="C146" t="str">
            <v>KPécel</v>
          </cell>
          <cell r="D146">
            <v>0.45</v>
          </cell>
        </row>
        <row r="147">
          <cell r="C147" t="str">
            <v>KPerőcsény</v>
          </cell>
          <cell r="D147">
            <v>0.45</v>
          </cell>
        </row>
        <row r="148">
          <cell r="C148" t="str">
            <v>KPéteri</v>
          </cell>
          <cell r="D148">
            <v>0.45</v>
          </cell>
        </row>
        <row r="149">
          <cell r="C149" t="str">
            <v>KPiliscsaba</v>
          </cell>
          <cell r="D149">
            <v>0.3</v>
          </cell>
        </row>
        <row r="150">
          <cell r="C150" t="str">
            <v>KPilisjászújfalu</v>
          </cell>
          <cell r="D150">
            <v>0.3</v>
          </cell>
        </row>
        <row r="151">
          <cell r="C151" t="str">
            <v>KPüspökhatvan</v>
          </cell>
          <cell r="D151">
            <v>0.45</v>
          </cell>
        </row>
        <row r="152">
          <cell r="C152" t="str">
            <v>KPüspökszilágy</v>
          </cell>
          <cell r="D152">
            <v>0.45</v>
          </cell>
        </row>
        <row r="153">
          <cell r="C153" t="str">
            <v>KRáckeve</v>
          </cell>
          <cell r="D153">
            <v>0.45</v>
          </cell>
        </row>
        <row r="154">
          <cell r="C154" t="str">
            <v>KSzentmártonkáta</v>
          </cell>
          <cell r="D154">
            <v>0.45</v>
          </cell>
        </row>
        <row r="155">
          <cell r="C155" t="str">
            <v>KSzigetbecse</v>
          </cell>
          <cell r="D155">
            <v>0.45</v>
          </cell>
        </row>
        <row r="156">
          <cell r="C156" t="str">
            <v>KSzigetszentmiklós</v>
          </cell>
          <cell r="D156">
            <v>0.45</v>
          </cell>
        </row>
        <row r="157">
          <cell r="C157" t="str">
            <v>KSzob</v>
          </cell>
          <cell r="D157">
            <v>0.45</v>
          </cell>
        </row>
        <row r="158">
          <cell r="C158" t="str">
            <v>KSzokolya</v>
          </cell>
          <cell r="D158">
            <v>0.45</v>
          </cell>
        </row>
        <row r="159">
          <cell r="C159" t="str">
            <v>KSződliget</v>
          </cell>
          <cell r="D159">
            <v>0.45</v>
          </cell>
        </row>
        <row r="160">
          <cell r="C160" t="str">
            <v>KTáborfalva</v>
          </cell>
          <cell r="D160">
            <v>0.45</v>
          </cell>
        </row>
        <row r="161">
          <cell r="C161" t="str">
            <v>KTápióbicske</v>
          </cell>
          <cell r="D161">
            <v>0.45</v>
          </cell>
        </row>
        <row r="162">
          <cell r="C162" t="str">
            <v>KTápiógyörgye</v>
          </cell>
          <cell r="D162">
            <v>0.45</v>
          </cell>
        </row>
        <row r="163">
          <cell r="C163" t="str">
            <v>KTápióság</v>
          </cell>
          <cell r="D163">
            <v>0.45</v>
          </cell>
        </row>
        <row r="164">
          <cell r="C164" t="str">
            <v>KTápiószele</v>
          </cell>
          <cell r="D164">
            <v>0.45</v>
          </cell>
        </row>
        <row r="165">
          <cell r="C165" t="str">
            <v>KTápiószentmárton</v>
          </cell>
          <cell r="D165">
            <v>0.45</v>
          </cell>
        </row>
        <row r="166">
          <cell r="C166" t="str">
            <v>KTápiószőlős</v>
          </cell>
          <cell r="D166">
            <v>0.45</v>
          </cell>
        </row>
        <row r="167">
          <cell r="C167" t="str">
            <v>KTatárszentgyörgy</v>
          </cell>
          <cell r="D167">
            <v>0.45</v>
          </cell>
        </row>
        <row r="168">
          <cell r="C168" t="str">
            <v>KTésa</v>
          </cell>
          <cell r="D168">
            <v>0.45</v>
          </cell>
        </row>
        <row r="169">
          <cell r="C169" t="str">
            <v>KTörtel</v>
          </cell>
          <cell r="D169">
            <v>0.45</v>
          </cell>
        </row>
        <row r="170">
          <cell r="C170" t="str">
            <v>KTura</v>
          </cell>
          <cell r="D170">
            <v>0.45</v>
          </cell>
        </row>
        <row r="171">
          <cell r="C171" t="str">
            <v>KÚjhartyán</v>
          </cell>
          <cell r="D171">
            <v>0.45</v>
          </cell>
        </row>
        <row r="172">
          <cell r="C172" t="str">
            <v>KÚjszilvás</v>
          </cell>
          <cell r="D172">
            <v>0.45</v>
          </cell>
        </row>
        <row r="173">
          <cell r="C173" t="str">
            <v>KÜllő</v>
          </cell>
          <cell r="D173">
            <v>0.45</v>
          </cell>
        </row>
        <row r="174">
          <cell r="C174" t="str">
            <v>KVác</v>
          </cell>
          <cell r="D174">
            <v>0.45</v>
          </cell>
        </row>
        <row r="175">
          <cell r="C175" t="str">
            <v>KVáckisújfalu</v>
          </cell>
          <cell r="D175">
            <v>0.45</v>
          </cell>
        </row>
        <row r="176">
          <cell r="C176" t="str">
            <v>KValkó</v>
          </cell>
          <cell r="D176">
            <v>0.45</v>
          </cell>
        </row>
        <row r="177">
          <cell r="C177" t="str">
            <v>KVámosmikola</v>
          </cell>
          <cell r="D177">
            <v>0.45</v>
          </cell>
        </row>
        <row r="178">
          <cell r="C178" t="str">
            <v>KVecsés</v>
          </cell>
          <cell r="D178">
            <v>0.45</v>
          </cell>
        </row>
        <row r="179">
          <cell r="C179" t="str">
            <v>KVerőce</v>
          </cell>
          <cell r="D179">
            <v>0.45</v>
          </cell>
        </row>
        <row r="180">
          <cell r="C180" t="str">
            <v xml:space="preserve">KVerseg </v>
          </cell>
          <cell r="D180">
            <v>0.45</v>
          </cell>
        </row>
        <row r="181">
          <cell r="C181" t="str">
            <v>KZebegény</v>
          </cell>
          <cell r="D181">
            <v>0.45</v>
          </cell>
        </row>
        <row r="182">
          <cell r="C182" t="str">
            <v>KÉszak Magyarország</v>
          </cell>
          <cell r="D182">
            <v>0.6</v>
          </cell>
        </row>
        <row r="183">
          <cell r="C183" t="str">
            <v>KÉszak Alföld</v>
          </cell>
          <cell r="D183">
            <v>0.6</v>
          </cell>
        </row>
        <row r="184">
          <cell r="C184" t="str">
            <v>KDél Alföld</v>
          </cell>
          <cell r="D184">
            <v>0.6</v>
          </cell>
        </row>
        <row r="185">
          <cell r="C185" t="str">
            <v>KDél Dunántúl</v>
          </cell>
          <cell r="D185">
            <v>0.6</v>
          </cell>
        </row>
        <row r="186">
          <cell r="C186" t="str">
            <v>KKözép Dunántúl</v>
          </cell>
          <cell r="D186">
            <v>0.45</v>
          </cell>
        </row>
        <row r="187">
          <cell r="C187" t="str">
            <v>KNyugat Dunántúl</v>
          </cell>
          <cell r="D187">
            <v>0.35</v>
          </cell>
        </row>
        <row r="188">
          <cell r="C188" t="str">
            <v>NAbony</v>
          </cell>
          <cell r="D188">
            <v>0.35</v>
          </cell>
        </row>
        <row r="189">
          <cell r="C189" t="str">
            <v>NAlsónémedi</v>
          </cell>
          <cell r="D189">
            <v>0.35</v>
          </cell>
        </row>
        <row r="190">
          <cell r="C190" t="str">
            <v>NÁporka</v>
          </cell>
          <cell r="D190">
            <v>0.35</v>
          </cell>
        </row>
        <row r="191">
          <cell r="C191" t="str">
            <v>NAszód</v>
          </cell>
          <cell r="D191">
            <v>0.35</v>
          </cell>
        </row>
        <row r="192">
          <cell r="C192" t="str">
            <v>NBag</v>
          </cell>
          <cell r="D192">
            <v>0.35</v>
          </cell>
        </row>
        <row r="193">
          <cell r="C193" t="str">
            <v>NBernecebaráti</v>
          </cell>
          <cell r="D193">
            <v>0.35</v>
          </cell>
        </row>
        <row r="194">
          <cell r="C194" t="str">
            <v>NCegléd</v>
          </cell>
          <cell r="D194">
            <v>0.35</v>
          </cell>
        </row>
        <row r="195">
          <cell r="C195" t="str">
            <v>NCsemő</v>
          </cell>
          <cell r="D195">
            <v>0.35</v>
          </cell>
        </row>
        <row r="196">
          <cell r="C196" t="str">
            <v>NDabas</v>
          </cell>
          <cell r="D196">
            <v>0.35</v>
          </cell>
        </row>
        <row r="197">
          <cell r="C197" t="str">
            <v>NDomony</v>
          </cell>
          <cell r="D197">
            <v>0.35</v>
          </cell>
        </row>
        <row r="198">
          <cell r="C198" t="str">
            <v>NDömsöd</v>
          </cell>
          <cell r="D198">
            <v>0.35</v>
          </cell>
        </row>
        <row r="199">
          <cell r="C199" t="str">
            <v>NDunaharaszti</v>
          </cell>
          <cell r="D199">
            <v>0.35</v>
          </cell>
        </row>
        <row r="200">
          <cell r="C200" t="str">
            <v>NEcser</v>
          </cell>
          <cell r="D200">
            <v>0.35</v>
          </cell>
        </row>
        <row r="201">
          <cell r="C201" t="str">
            <v>NÉrd</v>
          </cell>
          <cell r="D201">
            <v>0.35</v>
          </cell>
        </row>
        <row r="202">
          <cell r="C202" t="str">
            <v>NFarmos</v>
          </cell>
          <cell r="D202">
            <v>0.35</v>
          </cell>
        </row>
        <row r="203">
          <cell r="C203" t="str">
            <v>NFelsőpakony</v>
          </cell>
          <cell r="D203">
            <v>0.35</v>
          </cell>
        </row>
        <row r="204">
          <cell r="C204" t="str">
            <v>NGalgagyörk</v>
          </cell>
          <cell r="D204">
            <v>0.35</v>
          </cell>
        </row>
        <row r="205">
          <cell r="C205" t="str">
            <v>NGalgahévíz</v>
          </cell>
          <cell r="D205">
            <v>0.35</v>
          </cell>
        </row>
        <row r="206">
          <cell r="C206" t="str">
            <v>NGalgamácsa</v>
          </cell>
          <cell r="D206">
            <v>0.35</v>
          </cell>
        </row>
        <row r="207">
          <cell r="C207" t="str">
            <v>NGöd</v>
          </cell>
          <cell r="D207">
            <v>0.35</v>
          </cell>
        </row>
        <row r="208">
          <cell r="C208" t="str">
            <v>NGödöllő</v>
          </cell>
          <cell r="D208">
            <v>0.35</v>
          </cell>
        </row>
        <row r="209">
          <cell r="C209" t="str">
            <v>NGyál</v>
          </cell>
          <cell r="D209">
            <v>0.35</v>
          </cell>
        </row>
        <row r="210">
          <cell r="C210" t="str">
            <v>NGyömrő</v>
          </cell>
          <cell r="D210">
            <v>0.35</v>
          </cell>
        </row>
        <row r="211">
          <cell r="C211" t="str">
            <v>NHalásztelek</v>
          </cell>
          <cell r="D211">
            <v>0.35</v>
          </cell>
        </row>
        <row r="212">
          <cell r="C212" t="str">
            <v>NHévízgyörk</v>
          </cell>
          <cell r="D212">
            <v>0.35</v>
          </cell>
        </row>
        <row r="213">
          <cell r="C213" t="str">
            <v>NIklad</v>
          </cell>
          <cell r="D213">
            <v>0.35</v>
          </cell>
        </row>
        <row r="214">
          <cell r="C214" t="str">
            <v>NIpolydamásd</v>
          </cell>
          <cell r="D214">
            <v>0.35</v>
          </cell>
        </row>
        <row r="215">
          <cell r="C215" t="str">
            <v>NIpolytölgyes</v>
          </cell>
          <cell r="D215">
            <v>0.35</v>
          </cell>
        </row>
        <row r="216">
          <cell r="C216" t="str">
            <v>NJászkarajenő</v>
          </cell>
          <cell r="D216">
            <v>0.35</v>
          </cell>
        </row>
        <row r="217">
          <cell r="C217" t="str">
            <v>NKartal</v>
          </cell>
          <cell r="D217">
            <v>0.35</v>
          </cell>
        </row>
        <row r="218">
          <cell r="C218" t="str">
            <v>NKemence</v>
          </cell>
          <cell r="D218">
            <v>0.35</v>
          </cell>
        </row>
        <row r="219">
          <cell r="C219" t="str">
            <v>NKiskunlacháza</v>
          </cell>
          <cell r="D219">
            <v>0.35</v>
          </cell>
        </row>
        <row r="220">
          <cell r="C220" t="str">
            <v>NKisnémedi</v>
          </cell>
          <cell r="D220">
            <v>0.35</v>
          </cell>
        </row>
        <row r="221">
          <cell r="C221" t="str">
            <v>NKocsér</v>
          </cell>
          <cell r="D221">
            <v>0.35</v>
          </cell>
        </row>
        <row r="222">
          <cell r="C222" t="str">
            <v>NKóspallag</v>
          </cell>
          <cell r="D222">
            <v>0.35</v>
          </cell>
        </row>
        <row r="223">
          <cell r="C223" t="str">
            <v>NKőröstetétlen</v>
          </cell>
          <cell r="D223">
            <v>0.35</v>
          </cell>
        </row>
        <row r="224">
          <cell r="C224" t="str">
            <v>NLetkés</v>
          </cell>
          <cell r="D224">
            <v>0.35</v>
          </cell>
        </row>
        <row r="225">
          <cell r="C225" t="str">
            <v>NLórév</v>
          </cell>
          <cell r="D225">
            <v>0.35</v>
          </cell>
        </row>
        <row r="226">
          <cell r="C226" t="str">
            <v>NMaglód</v>
          </cell>
          <cell r="D226">
            <v>0.35</v>
          </cell>
        </row>
        <row r="227">
          <cell r="C227" t="str">
            <v>NMakád</v>
          </cell>
          <cell r="D227">
            <v>0.35</v>
          </cell>
        </row>
        <row r="228">
          <cell r="C228" t="str">
            <v>NMárianosztra</v>
          </cell>
          <cell r="D228">
            <v>0.35</v>
          </cell>
        </row>
        <row r="229">
          <cell r="C229" t="str">
            <v>NMikebuda</v>
          </cell>
          <cell r="D229">
            <v>0.35</v>
          </cell>
        </row>
        <row r="230">
          <cell r="C230" t="str">
            <v>NMonor</v>
          </cell>
          <cell r="D230">
            <v>0.35</v>
          </cell>
        </row>
        <row r="231">
          <cell r="C231" t="str">
            <v>NNagybörzsöny</v>
          </cell>
          <cell r="D231">
            <v>0.35</v>
          </cell>
        </row>
        <row r="232">
          <cell r="C232" t="str">
            <v>NNagykáta</v>
          </cell>
          <cell r="D232">
            <v>0.35</v>
          </cell>
        </row>
        <row r="233">
          <cell r="C233" t="str">
            <v>NNagykőrös</v>
          </cell>
          <cell r="D233">
            <v>0.35</v>
          </cell>
        </row>
        <row r="234">
          <cell r="C234" t="str">
            <v>NNagytarcsa</v>
          </cell>
          <cell r="D234">
            <v>0.35</v>
          </cell>
        </row>
        <row r="235">
          <cell r="C235" t="str">
            <v>NNyársapát</v>
          </cell>
          <cell r="D235">
            <v>0.35</v>
          </cell>
        </row>
        <row r="236">
          <cell r="C236" t="str">
            <v>NÓcsa</v>
          </cell>
          <cell r="D236">
            <v>0.35</v>
          </cell>
        </row>
        <row r="237">
          <cell r="C237" t="str">
            <v>NÖrkény</v>
          </cell>
          <cell r="D237">
            <v>0.35</v>
          </cell>
        </row>
        <row r="238">
          <cell r="C238" t="str">
            <v>NPécel</v>
          </cell>
          <cell r="D238">
            <v>0.35</v>
          </cell>
        </row>
        <row r="239">
          <cell r="C239" t="str">
            <v>NPerőcsény</v>
          </cell>
          <cell r="D239">
            <v>0.35</v>
          </cell>
        </row>
        <row r="240">
          <cell r="C240" t="str">
            <v>NPéteri</v>
          </cell>
          <cell r="D240">
            <v>0.35</v>
          </cell>
        </row>
        <row r="241">
          <cell r="C241" t="str">
            <v>NPiliscsaba</v>
          </cell>
          <cell r="D241">
            <v>0.2</v>
          </cell>
        </row>
        <row r="242">
          <cell r="C242" t="str">
            <v>NPilisjászújfalu</v>
          </cell>
          <cell r="D242">
            <v>0.2</v>
          </cell>
        </row>
        <row r="243">
          <cell r="C243" t="str">
            <v>NPüspökhatvan</v>
          </cell>
          <cell r="D243">
            <v>0.35</v>
          </cell>
        </row>
        <row r="244">
          <cell r="C244" t="str">
            <v>NPüspökszilágy</v>
          </cell>
          <cell r="D244">
            <v>0.35</v>
          </cell>
        </row>
        <row r="245">
          <cell r="C245" t="str">
            <v>NRáckeve</v>
          </cell>
          <cell r="D245">
            <v>0.35</v>
          </cell>
        </row>
        <row r="246">
          <cell r="C246" t="str">
            <v>NSzentmártonkáta</v>
          </cell>
          <cell r="D246">
            <v>0.35</v>
          </cell>
        </row>
        <row r="247">
          <cell r="C247" t="str">
            <v>NSzigetbecse</v>
          </cell>
          <cell r="D247">
            <v>0.35</v>
          </cell>
        </row>
        <row r="248">
          <cell r="C248" t="str">
            <v>NSzigetszentmiklós</v>
          </cell>
          <cell r="D248">
            <v>0.35</v>
          </cell>
        </row>
        <row r="249">
          <cell r="C249" t="str">
            <v>NSzob</v>
          </cell>
          <cell r="D249">
            <v>0.35</v>
          </cell>
        </row>
        <row r="250">
          <cell r="C250" t="str">
            <v>NSzokolya</v>
          </cell>
          <cell r="D250">
            <v>0.35</v>
          </cell>
        </row>
        <row r="251">
          <cell r="C251" t="str">
            <v>NSződliget</v>
          </cell>
          <cell r="D251">
            <v>0.35</v>
          </cell>
        </row>
        <row r="252">
          <cell r="C252" t="str">
            <v>NTáborfalva</v>
          </cell>
          <cell r="D252">
            <v>0.35</v>
          </cell>
        </row>
        <row r="253">
          <cell r="C253" t="str">
            <v>NTápióbicske</v>
          </cell>
          <cell r="D253">
            <v>0.35</v>
          </cell>
        </row>
        <row r="254">
          <cell r="C254" t="str">
            <v>NTápiógyörgye</v>
          </cell>
          <cell r="D254">
            <v>0.35</v>
          </cell>
        </row>
        <row r="255">
          <cell r="C255" t="str">
            <v>NTápióság</v>
          </cell>
          <cell r="D255">
            <v>0.35</v>
          </cell>
        </row>
        <row r="256">
          <cell r="C256" t="str">
            <v>NTápiószele</v>
          </cell>
          <cell r="D256">
            <v>0.35</v>
          </cell>
        </row>
        <row r="257">
          <cell r="C257" t="str">
            <v>NTápiószentmárton</v>
          </cell>
          <cell r="D257">
            <v>0.35</v>
          </cell>
        </row>
        <row r="258">
          <cell r="C258" t="str">
            <v>NTápiószőlős</v>
          </cell>
          <cell r="D258">
            <v>0.35</v>
          </cell>
        </row>
        <row r="259">
          <cell r="C259" t="str">
            <v>NTatárszentgyörgy</v>
          </cell>
          <cell r="D259">
            <v>0.35</v>
          </cell>
        </row>
        <row r="260">
          <cell r="C260" t="str">
            <v>NTésa</v>
          </cell>
          <cell r="D260">
            <v>0.35</v>
          </cell>
        </row>
        <row r="261">
          <cell r="C261" t="str">
            <v>NTörtel</v>
          </cell>
          <cell r="D261">
            <v>0.35</v>
          </cell>
        </row>
        <row r="262">
          <cell r="C262" t="str">
            <v>NTura</v>
          </cell>
          <cell r="D262">
            <v>0.35</v>
          </cell>
        </row>
        <row r="263">
          <cell r="C263" t="str">
            <v>NÚjhartyán</v>
          </cell>
          <cell r="D263">
            <v>0.35</v>
          </cell>
        </row>
        <row r="264">
          <cell r="C264" t="str">
            <v>NÚjszilvás</v>
          </cell>
          <cell r="D264">
            <v>0.35</v>
          </cell>
        </row>
        <row r="265">
          <cell r="C265" t="str">
            <v>NÜllő</v>
          </cell>
          <cell r="D265">
            <v>0.35</v>
          </cell>
        </row>
        <row r="266">
          <cell r="C266" t="str">
            <v>NVác</v>
          </cell>
          <cell r="D266">
            <v>0.35</v>
          </cell>
        </row>
        <row r="267">
          <cell r="C267" t="str">
            <v>NVáckisújfalu</v>
          </cell>
          <cell r="D267">
            <v>0.35</v>
          </cell>
        </row>
        <row r="268">
          <cell r="C268" t="str">
            <v>NValkó</v>
          </cell>
          <cell r="D268">
            <v>0.35</v>
          </cell>
        </row>
        <row r="269">
          <cell r="C269" t="str">
            <v>NVámosmikola</v>
          </cell>
          <cell r="D269">
            <v>0.35</v>
          </cell>
        </row>
        <row r="270">
          <cell r="C270" t="str">
            <v>NVecsés</v>
          </cell>
          <cell r="D270">
            <v>0.35</v>
          </cell>
        </row>
        <row r="271">
          <cell r="C271" t="str">
            <v>NVerőce</v>
          </cell>
          <cell r="D271">
            <v>0.35</v>
          </cell>
        </row>
        <row r="272">
          <cell r="C272" t="str">
            <v xml:space="preserve">NVerseg </v>
          </cell>
          <cell r="D272">
            <v>0.35</v>
          </cell>
        </row>
        <row r="273">
          <cell r="C273" t="str">
            <v>NZebegény</v>
          </cell>
          <cell r="D273">
            <v>0.35</v>
          </cell>
        </row>
        <row r="274">
          <cell r="C274" t="str">
            <v>NÉszak Magyarország</v>
          </cell>
          <cell r="D274">
            <v>0.5</v>
          </cell>
        </row>
        <row r="275">
          <cell r="C275" t="str">
            <v>NÉszak Alföld</v>
          </cell>
          <cell r="D275">
            <v>0.5</v>
          </cell>
        </row>
        <row r="276">
          <cell r="C276" t="str">
            <v>NDél Alföld</v>
          </cell>
          <cell r="D276">
            <v>0.5</v>
          </cell>
        </row>
        <row r="277">
          <cell r="C277" t="str">
            <v>NDél Dunántúl</v>
          </cell>
          <cell r="D277">
            <v>0.5</v>
          </cell>
        </row>
        <row r="278">
          <cell r="C278" t="str">
            <v>NKözép Dunántúl</v>
          </cell>
          <cell r="D278">
            <v>0.35</v>
          </cell>
        </row>
        <row r="279">
          <cell r="C279" t="str">
            <v>NNyugat Dunántúl</v>
          </cell>
          <cell r="D279">
            <v>0.25</v>
          </cell>
        </row>
      </sheetData>
      <sheetData sheetId="4" refreshError="1"/>
      <sheetData sheetId="5"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6.vml"/><Relationship Id="rId7" Type="http://schemas.openxmlformats.org/officeDocument/2006/relationships/ctrlProp" Target="../ctrlProps/ctrlProp5.x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mnb.hu/arfolyam-lekerdezes" TargetMode="External"/><Relationship Id="rId13" Type="http://schemas.openxmlformats.org/officeDocument/2006/relationships/vmlDrawing" Target="../drawings/vmlDrawing1.vml"/><Relationship Id="rId3" Type="http://schemas.openxmlformats.org/officeDocument/2006/relationships/hyperlink" Target="https://www.emmi-benchmarks.eu/euribor-org/euribor-rates.html" TargetMode="External"/><Relationship Id="rId7" Type="http://schemas.openxmlformats.org/officeDocument/2006/relationships/hyperlink" Target="http://hu.euro-rates.info/" TargetMode="External"/><Relationship Id="rId12" Type="http://schemas.openxmlformats.org/officeDocument/2006/relationships/drawing" Target="../drawings/drawing2.xml"/><Relationship Id="rId2" Type="http://schemas.openxmlformats.org/officeDocument/2006/relationships/hyperlink" Target="http://tvi.kormany.hu/referencia-rata" TargetMode="External"/><Relationship Id="rId1" Type="http://schemas.openxmlformats.org/officeDocument/2006/relationships/hyperlink" Target="http://ec.europa.eu/competition/state_aid/legislation/reference_rates.html" TargetMode="External"/><Relationship Id="rId6" Type="http://schemas.openxmlformats.org/officeDocument/2006/relationships/hyperlink" Target="https://www.emmi-benchmarks.eu/euribor-org/euribor-rates.html" TargetMode="External"/><Relationship Id="rId11" Type="http://schemas.openxmlformats.org/officeDocument/2006/relationships/printerSettings" Target="../printerSettings/printerSettings3.bin"/><Relationship Id="rId5" Type="http://schemas.openxmlformats.org/officeDocument/2006/relationships/hyperlink" Target="https://www.mnb.hu/monetaris-politika/penzpiaci-informaciok/referenciamutato-jegyzesi-bizottsag/bubor" TargetMode="External"/><Relationship Id="rId10" Type="http://schemas.openxmlformats.org/officeDocument/2006/relationships/hyperlink" Target="http://hu.euro-rates.info/" TargetMode="External"/><Relationship Id="rId4" Type="http://schemas.openxmlformats.org/officeDocument/2006/relationships/hyperlink" Target="https://www.mnb.hu/monetaris-politika/penzpiaci-informaciok/referenciamutato-jegyzesi-bizottsag/bubor" TargetMode="External"/><Relationship Id="rId9" Type="http://schemas.openxmlformats.org/officeDocument/2006/relationships/hyperlink" Target="https://mnb.hu/arfolyam-lekerdeze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mnb.hu/arfolyam-lekerdezes" TargetMode="External"/><Relationship Id="rId7" Type="http://schemas.openxmlformats.org/officeDocument/2006/relationships/drawing" Target="../drawings/drawing5.xml"/><Relationship Id="rId2" Type="http://schemas.openxmlformats.org/officeDocument/2006/relationships/hyperlink" Target="http://tvi.kormany.hu/referencia-rata" TargetMode="External"/><Relationship Id="rId1" Type="http://schemas.openxmlformats.org/officeDocument/2006/relationships/hyperlink" Target="http://ec.europa.eu/competition/state_aid/legislation/reference_rates.html" TargetMode="External"/><Relationship Id="rId6" Type="http://schemas.openxmlformats.org/officeDocument/2006/relationships/printerSettings" Target="../printerSettings/printerSettings9.bin"/><Relationship Id="rId5" Type="http://schemas.openxmlformats.org/officeDocument/2006/relationships/hyperlink" Target="https://www.mnb.hu/monetaris-politika/penzpiaci-informaciok/referenciamutato-jegyzesi-bizottsag/bubor" TargetMode="External"/><Relationship Id="rId10" Type="http://schemas.openxmlformats.org/officeDocument/2006/relationships/comments" Target="../comments3.xml"/><Relationship Id="rId4" Type="http://schemas.openxmlformats.org/officeDocument/2006/relationships/hyperlink" Target="https://www.emmi-benchmarks.eu/euribor-org/euribor-rates.html" TargetMode="External"/><Relationship Id="rId9"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6">
    <tabColor theme="3" tint="-0.499984740745262"/>
    <pageSetUpPr fitToPage="1"/>
  </sheetPr>
  <dimension ref="B4:O32"/>
  <sheetViews>
    <sheetView tabSelected="1" zoomScale="80" zoomScaleNormal="80" zoomScaleSheetLayoutView="70" workbookViewId="0">
      <selection activeCell="B23" sqref="B23"/>
    </sheetView>
  </sheetViews>
  <sheetFormatPr baseColWidth="10" defaultColWidth="9.1640625" defaultRowHeight="15" x14ac:dyDescent="0.2"/>
  <cols>
    <col min="1" max="1" width="9.1640625" style="59"/>
    <col min="2" max="2" width="12.6640625" style="59" bestFit="1" customWidth="1"/>
    <col min="3" max="6" width="9.1640625" style="59"/>
    <col min="7" max="11" width="13.5" style="59" customWidth="1"/>
    <col min="12" max="18" width="9.1640625" style="59"/>
    <col min="19" max="19" width="32.6640625" style="59" customWidth="1"/>
    <col min="20" max="20" width="21.6640625" style="59" customWidth="1"/>
    <col min="21" max="16384" width="9.1640625" style="59"/>
  </cols>
  <sheetData>
    <row r="4" spans="2:15" ht="20" x14ac:dyDescent="0.2">
      <c r="F4" s="1145"/>
      <c r="G4" s="1145"/>
      <c r="H4" s="1145"/>
      <c r="I4" s="1145"/>
      <c r="J4" s="1145"/>
      <c r="K4" s="1145"/>
      <c r="L4" s="1145"/>
    </row>
    <row r="8" spans="2:15" ht="16" thickBot="1" x14ac:dyDescent="0.25"/>
    <row r="9" spans="2:15" ht="19" thickBot="1" x14ac:dyDescent="0.25">
      <c r="F9" s="1146" t="s">
        <v>988</v>
      </c>
      <c r="G9" s="1147"/>
      <c r="H9" s="1147"/>
      <c r="I9" s="1147"/>
      <c r="J9" s="1147"/>
      <c r="K9" s="1147"/>
      <c r="L9" s="1148"/>
    </row>
    <row r="11" spans="2:15" x14ac:dyDescent="0.2">
      <c r="B11" s="281" t="s">
        <v>486</v>
      </c>
      <c r="C11" s="223"/>
      <c r="D11" s="223"/>
      <c r="E11" s="223"/>
      <c r="F11" s="223"/>
      <c r="G11" s="223"/>
      <c r="H11" s="223"/>
      <c r="I11" s="223"/>
      <c r="J11" s="223"/>
      <c r="K11" s="223"/>
      <c r="L11" s="223"/>
      <c r="M11" s="223"/>
      <c r="N11" s="223"/>
      <c r="O11" s="223"/>
    </row>
    <row r="12" spans="2:15" x14ac:dyDescent="0.2">
      <c r="B12" s="1099" t="s">
        <v>1033</v>
      </c>
      <c r="C12" s="223"/>
      <c r="D12" s="223"/>
      <c r="E12" s="223"/>
      <c r="F12" s="223"/>
      <c r="G12" s="223"/>
      <c r="H12" s="223"/>
      <c r="I12" s="223"/>
      <c r="J12" s="223"/>
      <c r="K12" s="223"/>
      <c r="L12" s="223"/>
      <c r="M12" s="223"/>
      <c r="N12" s="223"/>
      <c r="O12" s="223"/>
    </row>
    <row r="13" spans="2:15" x14ac:dyDescent="0.2">
      <c r="B13" s="281"/>
      <c r="C13" s="223"/>
      <c r="D13" s="223"/>
      <c r="E13" s="223"/>
      <c r="F13" s="223"/>
      <c r="G13" s="223"/>
      <c r="H13" s="223"/>
      <c r="I13" s="223"/>
      <c r="J13" s="223"/>
      <c r="K13" s="223"/>
      <c r="L13" s="223"/>
      <c r="M13" s="223"/>
      <c r="N13" s="223"/>
      <c r="O13" s="223"/>
    </row>
    <row r="14" spans="2:15" x14ac:dyDescent="0.2">
      <c r="B14" s="68" t="s">
        <v>1085</v>
      </c>
      <c r="C14" s="223"/>
      <c r="D14" s="223"/>
      <c r="E14" s="223"/>
      <c r="F14" s="223"/>
      <c r="G14" s="223"/>
      <c r="H14" s="223"/>
      <c r="I14" s="223"/>
      <c r="J14" s="223"/>
      <c r="K14" s="223"/>
      <c r="L14" s="223"/>
      <c r="M14" s="223"/>
      <c r="N14" s="223"/>
      <c r="O14" s="223"/>
    </row>
    <row r="15" spans="2:15" x14ac:dyDescent="0.2">
      <c r="B15" s="68" t="s">
        <v>580</v>
      </c>
      <c r="C15" s="223"/>
      <c r="D15" s="223"/>
      <c r="E15" s="223"/>
      <c r="F15" s="223"/>
      <c r="G15" s="223"/>
      <c r="H15" s="223"/>
      <c r="I15" s="223"/>
      <c r="J15" s="223"/>
      <c r="K15" s="223"/>
      <c r="L15" s="223"/>
      <c r="M15" s="223"/>
      <c r="N15" s="223"/>
      <c r="O15" s="223"/>
    </row>
    <row r="16" spans="2:15" x14ac:dyDescent="0.2">
      <c r="B16" s="68" t="s">
        <v>1079</v>
      </c>
      <c r="C16" s="223"/>
      <c r="D16" s="223"/>
      <c r="E16" s="223"/>
      <c r="F16" s="223"/>
      <c r="G16" s="223"/>
      <c r="H16" s="223"/>
      <c r="I16" s="223"/>
      <c r="J16" s="223"/>
      <c r="K16" s="223"/>
      <c r="L16" s="223"/>
      <c r="M16" s="223"/>
      <c r="N16" s="223"/>
      <c r="O16" s="223"/>
    </row>
    <row r="17" spans="2:15" x14ac:dyDescent="0.2">
      <c r="B17" s="68" t="s">
        <v>987</v>
      </c>
      <c r="C17" s="223"/>
      <c r="D17" s="223"/>
      <c r="E17" s="223"/>
      <c r="F17" s="223"/>
      <c r="G17" s="223"/>
      <c r="H17" s="223"/>
      <c r="I17" s="223"/>
      <c r="J17" s="223"/>
      <c r="K17" s="223"/>
      <c r="L17" s="223"/>
      <c r="M17" s="223"/>
      <c r="N17" s="223"/>
      <c r="O17" s="223"/>
    </row>
    <row r="18" spans="2:15" x14ac:dyDescent="0.2">
      <c r="C18" s="223"/>
      <c r="D18" s="223"/>
      <c r="E18" s="223"/>
      <c r="F18" s="223"/>
      <c r="G18" s="223"/>
      <c r="H18" s="223"/>
      <c r="I18" s="223"/>
      <c r="J18" s="223"/>
      <c r="K18" s="223"/>
      <c r="L18" s="223"/>
      <c r="M18" s="223"/>
      <c r="N18" s="223"/>
      <c r="O18" s="223"/>
    </row>
    <row r="19" spans="2:15" x14ac:dyDescent="0.2">
      <c r="B19" s="68" t="s">
        <v>487</v>
      </c>
      <c r="C19" s="223"/>
      <c r="D19" s="223"/>
      <c r="E19" s="223"/>
      <c r="F19" s="223"/>
      <c r="G19" s="223"/>
      <c r="H19" s="223"/>
      <c r="I19" s="223"/>
      <c r="J19" s="223"/>
      <c r="K19" s="223"/>
      <c r="L19" s="223"/>
      <c r="M19" s="223"/>
      <c r="N19" s="223"/>
      <c r="O19" s="223"/>
    </row>
    <row r="20" spans="2:15" x14ac:dyDescent="0.2">
      <c r="C20" s="223"/>
      <c r="D20" s="223"/>
      <c r="E20" s="223"/>
      <c r="F20" s="223"/>
      <c r="G20" s="223"/>
      <c r="H20" s="223"/>
      <c r="I20" s="223"/>
      <c r="J20" s="223"/>
      <c r="K20" s="223"/>
      <c r="L20" s="223"/>
      <c r="M20" s="223"/>
      <c r="N20" s="223"/>
      <c r="O20" s="223"/>
    </row>
    <row r="21" spans="2:15" x14ac:dyDescent="0.2">
      <c r="B21" s="1132">
        <v>44126</v>
      </c>
      <c r="C21" s="223"/>
      <c r="D21" s="223"/>
      <c r="E21" s="223"/>
      <c r="F21" s="223"/>
      <c r="G21" s="223"/>
      <c r="H21" s="223"/>
      <c r="I21" s="223"/>
      <c r="J21" s="223"/>
      <c r="K21" s="223"/>
      <c r="L21" s="223"/>
      <c r="M21" s="223"/>
      <c r="N21" s="223"/>
      <c r="O21" s="223"/>
    </row>
    <row r="22" spans="2:15" x14ac:dyDescent="0.2">
      <c r="B22" s="1131"/>
      <c r="C22" s="223"/>
      <c r="D22" s="223"/>
      <c r="E22" s="223"/>
      <c r="F22" s="223"/>
      <c r="G22" s="223"/>
      <c r="H22" s="223"/>
      <c r="I22" s="223"/>
      <c r="J22" s="223"/>
      <c r="K22" s="223"/>
      <c r="L22" s="223"/>
      <c r="M22" s="223"/>
      <c r="N22" s="223"/>
      <c r="O22" s="223"/>
    </row>
    <row r="23" spans="2:15" x14ac:dyDescent="0.2">
      <c r="B23" s="1133" t="s">
        <v>1153</v>
      </c>
      <c r="C23" s="223"/>
      <c r="D23" s="223"/>
      <c r="E23" s="223"/>
      <c r="F23" s="223"/>
      <c r="G23" s="223"/>
      <c r="H23" s="223"/>
      <c r="I23" s="223"/>
      <c r="J23" s="223"/>
      <c r="K23" s="223"/>
      <c r="L23" s="223"/>
      <c r="M23" s="223"/>
      <c r="N23" s="223"/>
      <c r="O23" s="223"/>
    </row>
    <row r="24" spans="2:15" x14ac:dyDescent="0.2">
      <c r="B24" s="223"/>
      <c r="C24" s="223"/>
      <c r="D24" s="223"/>
      <c r="E24" s="223"/>
      <c r="F24" s="223"/>
      <c r="G24" s="223"/>
      <c r="H24" s="223"/>
      <c r="I24" s="223"/>
      <c r="J24" s="223"/>
      <c r="K24" s="223"/>
      <c r="L24" s="223"/>
      <c r="M24" s="223"/>
      <c r="N24" s="223"/>
      <c r="O24" s="223"/>
    </row>
    <row r="25" spans="2:15" x14ac:dyDescent="0.2">
      <c r="B25" s="223"/>
      <c r="C25" s="223"/>
      <c r="D25" s="223"/>
      <c r="E25" s="223"/>
      <c r="F25" s="223"/>
      <c r="G25" s="223"/>
      <c r="H25" s="223"/>
      <c r="I25" s="223"/>
      <c r="J25" s="223"/>
      <c r="K25" s="223"/>
      <c r="L25" s="223"/>
      <c r="M25" s="223"/>
      <c r="N25" s="223"/>
      <c r="O25" s="223"/>
    </row>
    <row r="26" spans="2:15" x14ac:dyDescent="0.2">
      <c r="B26" s="223"/>
      <c r="C26" s="223"/>
      <c r="D26" s="223"/>
      <c r="E26" s="223"/>
      <c r="F26" s="223"/>
      <c r="G26" s="223"/>
      <c r="H26" s="223"/>
      <c r="I26" s="223"/>
      <c r="J26" s="223"/>
      <c r="K26" s="223"/>
      <c r="L26" s="223"/>
      <c r="M26" s="223"/>
      <c r="N26" s="223"/>
      <c r="O26" s="223"/>
    </row>
    <row r="27" spans="2:15" x14ac:dyDescent="0.2">
      <c r="B27" s="223"/>
      <c r="C27" s="223"/>
      <c r="D27" s="223"/>
      <c r="E27" s="223"/>
      <c r="F27" s="223"/>
      <c r="G27" s="223"/>
      <c r="H27" s="223"/>
      <c r="I27" s="223"/>
      <c r="J27" s="223"/>
      <c r="K27" s="223"/>
      <c r="L27" s="223"/>
      <c r="M27" s="223"/>
      <c r="N27" s="223"/>
      <c r="O27" s="223"/>
    </row>
    <row r="28" spans="2:15" x14ac:dyDescent="0.2">
      <c r="B28" s="223"/>
      <c r="C28" s="223"/>
      <c r="D28" s="223"/>
      <c r="E28" s="223"/>
      <c r="F28" s="223"/>
      <c r="G28" s="223"/>
      <c r="H28" s="223"/>
      <c r="I28" s="223"/>
      <c r="J28" s="223"/>
      <c r="K28" s="223"/>
      <c r="L28" s="223"/>
      <c r="M28" s="223"/>
      <c r="N28" s="223"/>
      <c r="O28" s="223"/>
    </row>
    <row r="29" spans="2:15" x14ac:dyDescent="0.2">
      <c r="B29" s="223"/>
      <c r="C29" s="223"/>
      <c r="D29" s="223"/>
      <c r="E29" s="223"/>
      <c r="F29" s="223"/>
      <c r="G29" s="223"/>
      <c r="H29" s="223"/>
      <c r="I29" s="223"/>
      <c r="J29" s="223"/>
      <c r="K29" s="223"/>
      <c r="L29" s="223"/>
      <c r="M29" s="223"/>
      <c r="N29" s="223"/>
      <c r="O29" s="223"/>
    </row>
    <row r="30" spans="2:15" x14ac:dyDescent="0.2">
      <c r="B30" s="223"/>
      <c r="C30" s="223"/>
      <c r="D30" s="223"/>
      <c r="E30" s="223"/>
      <c r="F30" s="223"/>
      <c r="G30" s="223"/>
      <c r="H30" s="223"/>
      <c r="I30" s="223"/>
      <c r="J30" s="223"/>
      <c r="K30" s="223"/>
      <c r="L30" s="223"/>
      <c r="M30" s="223"/>
      <c r="N30" s="223"/>
      <c r="O30" s="223"/>
    </row>
    <row r="31" spans="2:15" x14ac:dyDescent="0.2">
      <c r="B31" s="223"/>
      <c r="C31" s="223"/>
      <c r="D31" s="223"/>
      <c r="E31" s="223"/>
      <c r="F31" s="223"/>
      <c r="G31" s="223"/>
      <c r="H31" s="223"/>
      <c r="I31" s="223"/>
      <c r="J31" s="223"/>
      <c r="K31" s="223"/>
      <c r="L31" s="223"/>
      <c r="M31" s="223"/>
      <c r="N31" s="223"/>
      <c r="O31" s="223"/>
    </row>
    <row r="32" spans="2:15" x14ac:dyDescent="0.2">
      <c r="B32" s="223"/>
      <c r="C32" s="223"/>
      <c r="D32" s="223"/>
      <c r="E32" s="223"/>
      <c r="F32" s="223"/>
      <c r="G32" s="223"/>
      <c r="H32" s="223"/>
      <c r="I32" s="223"/>
      <c r="J32" s="223"/>
      <c r="K32" s="223"/>
      <c r="L32" s="223"/>
      <c r="M32" s="223"/>
      <c r="N32" s="223"/>
      <c r="O32" s="223"/>
    </row>
  </sheetData>
  <sheetProtection algorithmName="SHA-512" hashValue="rE/Rj6lapWmKBCVq0/WwwzuGCKmVlGJxpn9NCI6hrk98kwISLkswZ1LAfNc/g2yMyuWRZz+lI48kwXY4UKhRfA==" saltValue="I5TLrmjKRYkdp4A3QbJH5w==" spinCount="100000" sheet="1" objects="1" scenarios="1"/>
  <mergeCells count="2">
    <mergeCell ref="F4:L4"/>
    <mergeCell ref="F9:L9"/>
  </mergeCells>
  <pageMargins left="0.7" right="0.7" top="0.75" bottom="0.75" header="0.3" footer="0.3"/>
  <pageSetup paperSize="9" scale="58"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7">
    <tabColor theme="3" tint="0.79998168889431442"/>
    <pageSetUpPr fitToPage="1"/>
  </sheetPr>
  <dimension ref="B4:R30"/>
  <sheetViews>
    <sheetView zoomScale="70" zoomScaleNormal="70" zoomScalePageLayoutView="90" workbookViewId="0">
      <selection activeCell="L83" sqref="L83:L85"/>
    </sheetView>
  </sheetViews>
  <sheetFormatPr baseColWidth="10" defaultColWidth="9.1640625" defaultRowHeight="13" x14ac:dyDescent="0.15"/>
  <cols>
    <col min="1" max="1" width="1.83203125" style="167" customWidth="1"/>
    <col min="2" max="2" width="14" style="167" customWidth="1"/>
    <col min="3" max="3" width="8.6640625" style="167" hidden="1" customWidth="1"/>
    <col min="4" max="4" width="14.83203125" style="167" customWidth="1"/>
    <col min="5" max="5" width="13.83203125" style="167" customWidth="1"/>
    <col min="6" max="6" width="15" style="167" customWidth="1"/>
    <col min="7" max="7" width="14.5" style="167" customWidth="1"/>
    <col min="8" max="8" width="13" style="167" customWidth="1"/>
    <col min="9" max="10" width="14.6640625" style="167" customWidth="1"/>
    <col min="11" max="11" width="15" style="167" customWidth="1"/>
    <col min="12" max="12" width="13.1640625" style="167" customWidth="1"/>
    <col min="13" max="13" width="13" style="167" customWidth="1"/>
    <col min="14" max="16384" width="9.1640625" style="167"/>
  </cols>
  <sheetData>
    <row r="4" spans="2:18" ht="29.25" customHeight="1" x14ac:dyDescent="0.15">
      <c r="B4" s="1602" t="str">
        <f>+IF(Hitelprog_Rovid="","",Hitelprog_Rovid)</f>
        <v/>
      </c>
      <c r="C4" s="1602"/>
      <c r="D4" s="1602"/>
      <c r="E4" s="1602"/>
      <c r="F4" s="1602"/>
      <c r="G4" s="1602"/>
      <c r="H4" s="1602"/>
      <c r="I4" s="1602"/>
      <c r="J4" s="1602"/>
      <c r="K4" s="1602"/>
      <c r="L4" s="1602"/>
      <c r="M4" s="1602"/>
    </row>
    <row r="5" spans="2:18" ht="14" thickBot="1" x14ac:dyDescent="0.2">
      <c r="I5" s="45"/>
      <c r="J5" s="45"/>
      <c r="K5" s="45"/>
    </row>
    <row r="6" spans="2:18" ht="30" customHeight="1" thickBot="1" x14ac:dyDescent="0.2">
      <c r="E6" s="1490" t="s">
        <v>995</v>
      </c>
      <c r="F6" s="1491"/>
      <c r="G6" s="1491"/>
      <c r="H6" s="1491"/>
      <c r="I6" s="1491"/>
      <c r="J6" s="1491"/>
      <c r="K6" s="1492"/>
    </row>
    <row r="7" spans="2:18" x14ac:dyDescent="0.15">
      <c r="I7" s="45"/>
      <c r="J7" s="45"/>
      <c r="K7" s="45"/>
    </row>
    <row r="8" spans="2:18" x14ac:dyDescent="0.15">
      <c r="B8" s="1603" t="s">
        <v>396</v>
      </c>
      <c r="C8" s="1603"/>
      <c r="D8" s="1603"/>
      <c r="E8" s="1603"/>
      <c r="F8" s="1603"/>
      <c r="G8" s="1603"/>
      <c r="H8" s="1603"/>
      <c r="I8" s="1603"/>
      <c r="J8" s="1603"/>
      <c r="K8" s="1603"/>
      <c r="L8" s="1603"/>
      <c r="M8" s="1603"/>
    </row>
    <row r="9" spans="2:18" x14ac:dyDescent="0.15">
      <c r="B9" s="1603"/>
      <c r="C9" s="1603"/>
      <c r="D9" s="1603"/>
      <c r="E9" s="1603"/>
      <c r="F9" s="1603"/>
      <c r="G9" s="1603"/>
      <c r="H9" s="1603"/>
      <c r="I9" s="1603"/>
      <c r="J9" s="1603"/>
      <c r="K9" s="1603"/>
      <c r="L9" s="1603"/>
      <c r="M9" s="1603"/>
    </row>
    <row r="10" spans="2:18" ht="21.75" customHeight="1" x14ac:dyDescent="0.15">
      <c r="B10" s="45"/>
      <c r="C10" s="45"/>
      <c r="D10" s="45"/>
      <c r="E10" s="45"/>
      <c r="F10" s="45"/>
      <c r="G10" s="45"/>
      <c r="H10" s="45"/>
      <c r="I10" s="45"/>
      <c r="J10" s="45"/>
      <c r="K10" s="45"/>
      <c r="L10" s="168"/>
      <c r="M10" s="168"/>
    </row>
    <row r="11" spans="2:18" ht="14" thickBot="1" x14ac:dyDescent="0.2"/>
    <row r="12" spans="2:18" ht="15" customHeight="1" x14ac:dyDescent="0.15">
      <c r="B12" s="1608" t="s">
        <v>350</v>
      </c>
      <c r="C12" s="187" t="s">
        <v>301</v>
      </c>
      <c r="D12" s="1604" t="s">
        <v>365</v>
      </c>
      <c r="E12" s="1604" t="s">
        <v>357</v>
      </c>
      <c r="F12" s="1604" t="s">
        <v>366</v>
      </c>
      <c r="G12" s="1604" t="s">
        <v>358</v>
      </c>
      <c r="H12" s="1604" t="s">
        <v>359</v>
      </c>
      <c r="I12" s="1604" t="s">
        <v>360</v>
      </c>
      <c r="J12" s="1604" t="s">
        <v>361</v>
      </c>
      <c r="K12" s="1604" t="s">
        <v>362</v>
      </c>
      <c r="L12" s="1604" t="s">
        <v>363</v>
      </c>
      <c r="M12" s="1606" t="s">
        <v>364</v>
      </c>
      <c r="N12" s="186"/>
      <c r="O12" s="186"/>
      <c r="P12" s="186"/>
      <c r="Q12" s="186"/>
      <c r="R12" s="186"/>
    </row>
    <row r="13" spans="2:18" s="169" customFormat="1" ht="63" customHeight="1" x14ac:dyDescent="0.15">
      <c r="B13" s="1609"/>
      <c r="C13" s="188"/>
      <c r="D13" s="1605"/>
      <c r="E13" s="1605"/>
      <c r="F13" s="1605"/>
      <c r="G13" s="1605"/>
      <c r="H13" s="1605"/>
      <c r="I13" s="1605"/>
      <c r="J13" s="1605"/>
      <c r="K13" s="1605"/>
      <c r="L13" s="1605"/>
      <c r="M13" s="1607"/>
    </row>
    <row r="14" spans="2:18" x14ac:dyDescent="0.15">
      <c r="B14" s="435"/>
      <c r="C14" s="436"/>
      <c r="D14" s="436"/>
      <c r="E14" s="436"/>
      <c r="F14" s="436"/>
      <c r="G14" s="436"/>
      <c r="H14" s="436"/>
      <c r="I14" s="436"/>
      <c r="J14" s="436"/>
      <c r="K14" s="436"/>
      <c r="L14" s="170">
        <f t="shared" ref="L14:L21" si="0">D14+F14+H14+J14</f>
        <v>0</v>
      </c>
      <c r="M14" s="171">
        <f t="shared" ref="M14:M21" si="1">E14+G14+I14+K14</f>
        <v>0</v>
      </c>
    </row>
    <row r="15" spans="2:18" x14ac:dyDescent="0.15">
      <c r="B15" s="435"/>
      <c r="C15" s="436"/>
      <c r="D15" s="436"/>
      <c r="E15" s="436"/>
      <c r="F15" s="436"/>
      <c r="G15" s="436"/>
      <c r="H15" s="436"/>
      <c r="I15" s="436"/>
      <c r="J15" s="436"/>
      <c r="K15" s="436"/>
      <c r="L15" s="170">
        <f t="shared" si="0"/>
        <v>0</v>
      </c>
      <c r="M15" s="171">
        <f t="shared" si="1"/>
        <v>0</v>
      </c>
    </row>
    <row r="16" spans="2:18" x14ac:dyDescent="0.15">
      <c r="B16" s="435"/>
      <c r="C16" s="436"/>
      <c r="D16" s="436"/>
      <c r="E16" s="436"/>
      <c r="F16" s="436"/>
      <c r="G16" s="436"/>
      <c r="H16" s="436"/>
      <c r="I16" s="436"/>
      <c r="J16" s="436"/>
      <c r="K16" s="436"/>
      <c r="L16" s="170">
        <f t="shared" si="0"/>
        <v>0</v>
      </c>
      <c r="M16" s="171">
        <f t="shared" si="1"/>
        <v>0</v>
      </c>
    </row>
    <row r="17" spans="2:13" x14ac:dyDescent="0.15">
      <c r="B17" s="435"/>
      <c r="C17" s="436"/>
      <c r="D17" s="436"/>
      <c r="E17" s="436"/>
      <c r="F17" s="436"/>
      <c r="G17" s="436"/>
      <c r="H17" s="436"/>
      <c r="I17" s="436"/>
      <c r="J17" s="436"/>
      <c r="K17" s="436"/>
      <c r="L17" s="170">
        <f t="shared" si="0"/>
        <v>0</v>
      </c>
      <c r="M17" s="171">
        <f t="shared" si="1"/>
        <v>0</v>
      </c>
    </row>
    <row r="18" spans="2:13" x14ac:dyDescent="0.15">
      <c r="B18" s="435"/>
      <c r="C18" s="436"/>
      <c r="D18" s="436"/>
      <c r="E18" s="436"/>
      <c r="F18" s="436"/>
      <c r="G18" s="436"/>
      <c r="H18" s="436"/>
      <c r="I18" s="436"/>
      <c r="J18" s="436"/>
      <c r="K18" s="436"/>
      <c r="L18" s="170">
        <f t="shared" si="0"/>
        <v>0</v>
      </c>
      <c r="M18" s="171">
        <f t="shared" si="1"/>
        <v>0</v>
      </c>
    </row>
    <row r="19" spans="2:13" x14ac:dyDescent="0.15">
      <c r="B19" s="435"/>
      <c r="C19" s="436"/>
      <c r="D19" s="436"/>
      <c r="E19" s="436"/>
      <c r="F19" s="436"/>
      <c r="G19" s="436"/>
      <c r="H19" s="436"/>
      <c r="I19" s="436"/>
      <c r="J19" s="436"/>
      <c r="K19" s="436"/>
      <c r="L19" s="170">
        <f t="shared" si="0"/>
        <v>0</v>
      </c>
      <c r="M19" s="171">
        <f t="shared" si="1"/>
        <v>0</v>
      </c>
    </row>
    <row r="20" spans="2:13" x14ac:dyDescent="0.15">
      <c r="B20" s="435"/>
      <c r="C20" s="436"/>
      <c r="D20" s="436"/>
      <c r="E20" s="436"/>
      <c r="F20" s="436"/>
      <c r="G20" s="436"/>
      <c r="H20" s="436"/>
      <c r="I20" s="436"/>
      <c r="J20" s="436"/>
      <c r="K20" s="436"/>
      <c r="L20" s="170">
        <f t="shared" si="0"/>
        <v>0</v>
      </c>
      <c r="M20" s="171">
        <f t="shared" si="1"/>
        <v>0</v>
      </c>
    </row>
    <row r="21" spans="2:13" x14ac:dyDescent="0.15">
      <c r="B21" s="435"/>
      <c r="C21" s="436"/>
      <c r="D21" s="436"/>
      <c r="E21" s="436"/>
      <c r="F21" s="436"/>
      <c r="G21" s="436"/>
      <c r="H21" s="436"/>
      <c r="I21" s="436"/>
      <c r="J21" s="436"/>
      <c r="K21" s="436"/>
      <c r="L21" s="170">
        <f t="shared" si="0"/>
        <v>0</v>
      </c>
      <c r="M21" s="171">
        <f t="shared" si="1"/>
        <v>0</v>
      </c>
    </row>
    <row r="22" spans="2:13" ht="14" thickBot="1" x14ac:dyDescent="0.2">
      <c r="B22" s="172"/>
      <c r="C22" s="173"/>
      <c r="D22" s="173">
        <f>SUM(D14:D21)</f>
        <v>0</v>
      </c>
      <c r="E22" s="173">
        <f t="shared" ref="E22:K22" si="2">SUM(E14:E21)</f>
        <v>0</v>
      </c>
      <c r="F22" s="173">
        <f t="shared" si="2"/>
        <v>0</v>
      </c>
      <c r="G22" s="173">
        <f t="shared" si="2"/>
        <v>0</v>
      </c>
      <c r="H22" s="173">
        <f t="shared" si="2"/>
        <v>0</v>
      </c>
      <c r="I22" s="173">
        <f t="shared" si="2"/>
        <v>0</v>
      </c>
      <c r="J22" s="173">
        <f t="shared" si="2"/>
        <v>0</v>
      </c>
      <c r="K22" s="173">
        <f t="shared" si="2"/>
        <v>0</v>
      </c>
      <c r="L22" s="173">
        <f>D22+F22+H22+J22</f>
        <v>0</v>
      </c>
      <c r="M22" s="174">
        <f>E22+G22+I22+K22</f>
        <v>0</v>
      </c>
    </row>
    <row r="26" spans="2:13" x14ac:dyDescent="0.15">
      <c r="B26" s="168" t="s">
        <v>310</v>
      </c>
      <c r="D26" s="175" t="str">
        <f>+Eredményterv!F67</f>
        <v/>
      </c>
      <c r="G26" s="175"/>
    </row>
    <row r="28" spans="2:13" x14ac:dyDescent="0.15">
      <c r="E28" s="176"/>
      <c r="F28" s="176"/>
      <c r="G28" s="176"/>
      <c r="H28" s="176"/>
      <c r="I28" s="168"/>
    </row>
    <row r="29" spans="2:13" ht="15" customHeight="1" x14ac:dyDescent="0.15">
      <c r="E29" s="176"/>
      <c r="F29" s="176"/>
      <c r="G29" s="176"/>
      <c r="H29" s="176"/>
      <c r="I29" s="45" t="str">
        <f>IF(ISBLANK(pvnév),"",pvnév)</f>
        <v/>
      </c>
      <c r="J29" s="177"/>
      <c r="K29" s="177"/>
      <c r="L29" s="177"/>
      <c r="M29" s="168"/>
    </row>
    <row r="30" spans="2:13" x14ac:dyDescent="0.15">
      <c r="K30" s="167" t="str">
        <f>+'Refinanszírozási kérelem'!BO325</f>
        <v/>
      </c>
    </row>
  </sheetData>
  <mergeCells count="14">
    <mergeCell ref="B4:M4"/>
    <mergeCell ref="B8:M9"/>
    <mergeCell ref="D12:D13"/>
    <mergeCell ref="E12:E13"/>
    <mergeCell ref="F12:F13"/>
    <mergeCell ref="G12:G13"/>
    <mergeCell ref="H12:H13"/>
    <mergeCell ref="I12:I13"/>
    <mergeCell ref="J12:J13"/>
    <mergeCell ref="K12:K13"/>
    <mergeCell ref="L12:L13"/>
    <mergeCell ref="M12:M13"/>
    <mergeCell ref="B12:B13"/>
    <mergeCell ref="E6:K6"/>
  </mergeCells>
  <pageMargins left="0.7" right="0.84467592592592589" top="0.75" bottom="0.75" header="0.3" footer="0.3"/>
  <pageSetup paperSize="9" scale="77" orientation="landscape" r:id="rId1"/>
  <headerFooter>
    <oddHeader xml:space="preserve">&amp;C&amp;"-,Félkövér"Az MFB NHP FIX Lízing Refinanszírozási Program Útmutatójának 2. számú melléklete
Támogatás összesítő &amp;"-,Normál"
</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theme="3" tint="0.79998168889431442"/>
    <pageSetUpPr fitToPage="1"/>
  </sheetPr>
  <dimension ref="A1:EF267"/>
  <sheetViews>
    <sheetView view="pageBreakPreview" zoomScale="80" zoomScaleNormal="70" zoomScaleSheetLayoutView="80" workbookViewId="0">
      <selection activeCell="BH1" sqref="BH1:DV1048576"/>
    </sheetView>
  </sheetViews>
  <sheetFormatPr baseColWidth="10" defaultColWidth="9.1640625" defaultRowHeight="14" x14ac:dyDescent="0.15"/>
  <cols>
    <col min="1" max="1" width="14" style="223" customWidth="1"/>
    <col min="2" max="3" width="3" style="223" customWidth="1"/>
    <col min="4" max="4" width="3.6640625" style="223" customWidth="1"/>
    <col min="5" max="5" width="3.83203125" style="223" customWidth="1"/>
    <col min="6" max="35" width="3" style="223" customWidth="1"/>
    <col min="36" max="36" width="7.33203125" style="223" customWidth="1"/>
    <col min="37" max="37" width="6.5" style="223" customWidth="1"/>
    <col min="38" max="38" width="6.6640625" style="223" customWidth="1"/>
    <col min="39" max="58" width="3" style="223" customWidth="1"/>
    <col min="59" max="59" width="36.83203125" style="223" customWidth="1"/>
    <col min="60" max="60" width="4.33203125" style="223" hidden="1" customWidth="1"/>
    <col min="61" max="61" width="11.83203125" style="223" hidden="1" customWidth="1"/>
    <col min="62" max="62" width="13.6640625" style="223" hidden="1" customWidth="1"/>
    <col min="63" max="74" width="10.5" style="223" hidden="1" customWidth="1"/>
    <col min="75" max="86" width="9.1640625" style="223" hidden="1" customWidth="1"/>
    <col min="87" max="87" width="13.83203125" style="223" hidden="1" customWidth="1"/>
    <col min="88" max="126" width="9.1640625" style="223" hidden="1" customWidth="1"/>
    <col min="127" max="127" width="14.5" style="223" customWidth="1"/>
    <col min="128" max="134" width="9.1640625" style="223" customWidth="1"/>
    <col min="135" max="16384" width="9.1640625" style="223"/>
  </cols>
  <sheetData>
    <row r="1" spans="1:126" ht="14.25" customHeight="1" x14ac:dyDescent="0.15">
      <c r="B1" s="530"/>
      <c r="C1" s="530"/>
      <c r="D1" s="530"/>
      <c r="E1" s="530"/>
    </row>
    <row r="2" spans="1:126" ht="14.25" customHeight="1" x14ac:dyDescent="0.15">
      <c r="B2" s="1708" t="str">
        <f>+IF(Hitelprog_Rovid="kitöltendő legördülő cella","",Hitelprog_Rovid)</f>
        <v/>
      </c>
      <c r="C2" s="1708"/>
      <c r="D2" s="1708"/>
      <c r="E2" s="1708"/>
      <c r="F2" s="1708"/>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708"/>
      <c r="AZ2" s="1708"/>
      <c r="BA2" s="1708"/>
      <c r="BB2" s="1708"/>
      <c r="BC2" s="1708"/>
      <c r="BD2" s="1708"/>
      <c r="BE2" s="1708"/>
      <c r="BF2" s="1708"/>
      <c r="BG2" s="1708"/>
    </row>
    <row r="3" spans="1:126" ht="15" customHeight="1" thickBot="1" x14ac:dyDescent="0.2">
      <c r="B3" s="1708"/>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708"/>
      <c r="AZ3" s="1708"/>
      <c r="BA3" s="1708"/>
      <c r="BB3" s="1708"/>
      <c r="BC3" s="1708"/>
      <c r="BD3" s="1708"/>
      <c r="BE3" s="1708"/>
      <c r="BF3" s="1708"/>
      <c r="BG3" s="1708"/>
    </row>
    <row r="4" spans="1:126" ht="21" thickBot="1" x14ac:dyDescent="0.25">
      <c r="A4" s="1691"/>
      <c r="B4" s="1691"/>
      <c r="C4" s="1691"/>
      <c r="D4" s="1691"/>
      <c r="BI4" s="1149" t="s">
        <v>530</v>
      </c>
      <c r="BJ4" s="1150"/>
      <c r="BK4" s="1150"/>
      <c r="BL4" s="1150"/>
      <c r="BM4" s="1150"/>
      <c r="BN4" s="1150"/>
      <c r="BO4" s="1150"/>
      <c r="BP4" s="1150"/>
      <c r="BQ4" s="1150"/>
      <c r="BR4" s="1150"/>
      <c r="BS4" s="1150"/>
      <c r="BT4" s="1150"/>
      <c r="BU4" s="1150"/>
      <c r="BV4" s="1150"/>
      <c r="BW4" s="1150"/>
      <c r="BX4" s="1150"/>
      <c r="BY4" s="1150"/>
      <c r="BZ4" s="1150"/>
      <c r="CA4" s="1150"/>
      <c r="CB4" s="1150"/>
      <c r="CC4" s="1150"/>
      <c r="CD4" s="1150"/>
      <c r="CE4" s="1150"/>
      <c r="CF4" s="1150"/>
      <c r="CG4" s="1150"/>
      <c r="CH4" s="1150"/>
      <c r="CI4" s="1150"/>
      <c r="CJ4" s="1150"/>
      <c r="CK4" s="1150"/>
      <c r="CL4" s="1150"/>
      <c r="CM4" s="1150"/>
      <c r="CN4" s="1150"/>
      <c r="CO4" s="1150"/>
      <c r="CP4" s="1150"/>
      <c r="CQ4" s="1150"/>
      <c r="CR4" s="1150"/>
      <c r="CS4" s="1150"/>
      <c r="CT4" s="1150"/>
      <c r="CU4" s="1150"/>
      <c r="CV4" s="1150"/>
      <c r="CW4" s="1150"/>
      <c r="CX4" s="1150"/>
      <c r="CY4" s="1150"/>
      <c r="CZ4" s="1150"/>
      <c r="DA4" s="1150"/>
      <c r="DB4" s="1150"/>
      <c r="DC4" s="1150"/>
      <c r="DD4" s="1150"/>
      <c r="DE4" s="1150"/>
      <c r="DF4" s="1150"/>
      <c r="DG4" s="1150"/>
      <c r="DH4" s="1150"/>
      <c r="DI4" s="1150"/>
      <c r="DJ4" s="1150"/>
      <c r="DK4" s="1150"/>
      <c r="DL4" s="1150"/>
      <c r="DM4" s="1150"/>
      <c r="DN4" s="1150"/>
      <c r="DO4" s="1150"/>
      <c r="DP4" s="1150"/>
      <c r="DQ4" s="1150"/>
      <c r="DR4" s="1150"/>
      <c r="DS4" s="1150"/>
      <c r="DT4" s="1150"/>
      <c r="DU4" s="1150"/>
      <c r="DV4" s="1151"/>
    </row>
    <row r="5" spans="1:126" ht="28.5" customHeight="1" thickBot="1" x14ac:dyDescent="0.2">
      <c r="A5" s="1691"/>
      <c r="B5" s="1691"/>
      <c r="C5" s="1691"/>
      <c r="D5" s="1691"/>
      <c r="S5" s="1192" t="s">
        <v>996</v>
      </c>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4"/>
      <c r="BI5" s="487"/>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488"/>
    </row>
    <row r="6" spans="1:126" x14ac:dyDescent="0.15">
      <c r="A6" s="1691"/>
      <c r="B6" s="1691"/>
      <c r="C6" s="1691"/>
      <c r="D6" s="1691"/>
      <c r="BI6" s="487"/>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c r="DM6" s="252"/>
      <c r="DN6" s="252"/>
      <c r="DO6" s="252"/>
      <c r="DP6" s="252"/>
      <c r="DQ6" s="252"/>
      <c r="DR6" s="252"/>
      <c r="DS6" s="252"/>
      <c r="DT6" s="252"/>
      <c r="DU6" s="252"/>
      <c r="DV6" s="488"/>
    </row>
    <row r="7" spans="1:126" x14ac:dyDescent="0.15">
      <c r="A7" s="1691"/>
      <c r="B7" s="1691"/>
      <c r="C7" s="1691"/>
      <c r="D7" s="1691"/>
      <c r="BI7" s="487"/>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c r="DM7" s="252"/>
      <c r="DN7" s="252"/>
      <c r="DO7" s="252"/>
      <c r="DP7" s="252"/>
      <c r="DQ7" s="252"/>
      <c r="DR7" s="252"/>
      <c r="DS7" s="252"/>
      <c r="DT7" s="252"/>
      <c r="DU7" s="252"/>
      <c r="DV7" s="488"/>
    </row>
    <row r="8" spans="1:126" x14ac:dyDescent="0.15">
      <c r="A8" s="250"/>
      <c r="B8" s="1673" t="s">
        <v>841</v>
      </c>
      <c r="C8" s="1674"/>
      <c r="D8" s="1674"/>
      <c r="E8" s="1674"/>
      <c r="F8" s="1674"/>
      <c r="G8" s="1674"/>
      <c r="H8" s="1674"/>
      <c r="I8" s="1674"/>
      <c r="J8" s="1674"/>
      <c r="K8" s="1674"/>
      <c r="L8" s="1674"/>
      <c r="M8" s="1674"/>
      <c r="N8" s="1674"/>
      <c r="O8" s="1674"/>
      <c r="P8" s="1674"/>
      <c r="Q8" s="1674"/>
      <c r="R8" s="1674"/>
      <c r="S8" s="1674"/>
      <c r="T8" s="1674"/>
      <c r="U8" s="1674"/>
      <c r="V8" s="1674"/>
      <c r="W8" s="1674"/>
      <c r="X8" s="1674"/>
      <c r="Y8" s="1674"/>
      <c r="Z8" s="1674"/>
      <c r="AA8" s="1674"/>
      <c r="AB8" s="1674"/>
      <c r="AC8" s="1674"/>
      <c r="AD8" s="1674"/>
      <c r="AE8" s="1674"/>
      <c r="AF8" s="1674"/>
      <c r="AG8" s="1674"/>
      <c r="AH8" s="1674"/>
      <c r="AI8" s="1674"/>
      <c r="AJ8" s="1674"/>
      <c r="AK8" s="1674"/>
      <c r="AL8" s="1674"/>
      <c r="AM8" s="1674"/>
      <c r="AN8" s="1674"/>
      <c r="AO8" s="1674"/>
      <c r="AP8" s="1674"/>
      <c r="AQ8" s="1674"/>
      <c r="AR8" s="1674"/>
      <c r="AS8" s="1674"/>
      <c r="AT8" s="1674"/>
      <c r="AU8" s="1674"/>
      <c r="AV8" s="1674"/>
      <c r="AW8" s="1674"/>
      <c r="AX8" s="1674"/>
      <c r="AY8" s="1674"/>
      <c r="AZ8" s="1674"/>
      <c r="BA8" s="1674"/>
      <c r="BB8" s="1674"/>
      <c r="BC8" s="1674"/>
      <c r="BD8" s="1674"/>
      <c r="BE8" s="1674"/>
      <c r="BF8" s="1674"/>
      <c r="BG8" s="1675"/>
      <c r="BH8" s="265"/>
      <c r="BI8" s="487"/>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c r="DM8" s="252"/>
      <c r="DN8" s="252"/>
      <c r="DO8" s="252"/>
      <c r="DP8" s="252"/>
      <c r="DQ8" s="252"/>
      <c r="DR8" s="252"/>
      <c r="DS8" s="252"/>
      <c r="DT8" s="252"/>
      <c r="DU8" s="252"/>
      <c r="DV8" s="488"/>
    </row>
    <row r="9" spans="1:126" ht="15" thickBot="1" x14ac:dyDescent="0.2">
      <c r="A9" s="250"/>
      <c r="B9" s="306"/>
      <c r="C9" s="307"/>
      <c r="D9" s="307"/>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8"/>
      <c r="BG9" s="309"/>
      <c r="BH9" s="252"/>
      <c r="BI9" s="487"/>
      <c r="BJ9" s="252"/>
      <c r="BK9" s="493" t="s">
        <v>380</v>
      </c>
      <c r="BL9" s="252"/>
      <c r="BM9" s="252"/>
      <c r="BN9" s="252"/>
      <c r="BO9" s="227"/>
      <c r="BP9" s="234" t="s">
        <v>479</v>
      </c>
      <c r="BQ9" s="227"/>
      <c r="BR9" s="226"/>
      <c r="BS9" s="226"/>
      <c r="BT9" s="252"/>
      <c r="BU9" s="226"/>
      <c r="BV9" s="249" t="s">
        <v>477</v>
      </c>
      <c r="BW9" s="226"/>
      <c r="BX9" s="226"/>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c r="DM9" s="252"/>
      <c r="DN9" s="252"/>
      <c r="DO9" s="252"/>
      <c r="DP9" s="252"/>
      <c r="DQ9" s="252"/>
      <c r="DR9" s="252"/>
      <c r="DS9" s="252"/>
      <c r="DT9" s="252"/>
      <c r="DU9" s="252"/>
      <c r="DV9" s="488"/>
    </row>
    <row r="10" spans="1:126" ht="15" thickBot="1" x14ac:dyDescent="0.2">
      <c r="A10" s="250"/>
      <c r="B10" s="310"/>
      <c r="C10" s="1695" t="str">
        <f>+IF('Refinanszírozási kérelem'!C28:BF28="","",'Refinanszírozási kérelem'!C28:BF28)</f>
        <v/>
      </c>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c r="AA10" s="1696"/>
      <c r="AB10" s="1696"/>
      <c r="AC10" s="1696"/>
      <c r="AD10" s="1696"/>
      <c r="AE10" s="1696"/>
      <c r="AF10" s="1696"/>
      <c r="AG10" s="1696"/>
      <c r="AH10" s="1696"/>
      <c r="AI10" s="1696"/>
      <c r="AJ10" s="1696"/>
      <c r="AK10" s="1696"/>
      <c r="AL10" s="1696"/>
      <c r="AM10" s="1696"/>
      <c r="AN10" s="1696"/>
      <c r="AO10" s="1696"/>
      <c r="AP10" s="1696"/>
      <c r="AQ10" s="1696"/>
      <c r="AR10" s="1696"/>
      <c r="AS10" s="1696"/>
      <c r="AT10" s="1696"/>
      <c r="AU10" s="1696"/>
      <c r="AV10" s="1696"/>
      <c r="AW10" s="1696"/>
      <c r="AX10" s="1696"/>
      <c r="AY10" s="1696"/>
      <c r="AZ10" s="1696"/>
      <c r="BA10" s="1696"/>
      <c r="BB10" s="1696"/>
      <c r="BC10" s="1696"/>
      <c r="BD10" s="1696"/>
      <c r="BE10" s="1696"/>
      <c r="BF10" s="1697"/>
      <c r="BG10" s="311"/>
      <c r="BH10" s="252"/>
      <c r="BI10" s="487"/>
      <c r="BJ10" s="252"/>
      <c r="BK10" s="493" t="s">
        <v>116</v>
      </c>
      <c r="BL10" s="252"/>
      <c r="BM10" s="252"/>
      <c r="BN10" s="252"/>
      <c r="BO10" s="227"/>
      <c r="BP10" s="234"/>
      <c r="BQ10" s="227"/>
      <c r="BR10" s="226"/>
      <c r="BS10" s="226"/>
      <c r="BT10" s="252"/>
      <c r="BU10" s="226"/>
      <c r="BV10" s="214"/>
      <c r="BW10" s="226"/>
      <c r="BX10" s="226"/>
      <c r="BY10" s="252"/>
      <c r="BZ10" s="252"/>
      <c r="CA10" s="252"/>
      <c r="CB10" s="252"/>
      <c r="CC10" s="252"/>
      <c r="CD10" s="252"/>
      <c r="CE10" s="252"/>
      <c r="CF10" s="252"/>
      <c r="CG10" s="252"/>
      <c r="CH10" s="252"/>
      <c r="CI10" s="252"/>
      <c r="CJ10" s="252"/>
      <c r="CK10" s="252"/>
      <c r="CL10" s="252"/>
      <c r="CM10" s="252"/>
      <c r="CN10" s="252"/>
      <c r="CO10" s="252"/>
      <c r="CP10" s="252"/>
      <c r="CQ10" s="252"/>
      <c r="CR10" s="252"/>
      <c r="CS10" s="252"/>
      <c r="CT10" s="252"/>
      <c r="CU10" s="252"/>
      <c r="CV10" s="252"/>
      <c r="CW10" s="252"/>
      <c r="CX10" s="252"/>
      <c r="CY10" s="252"/>
      <c r="CZ10" s="252"/>
      <c r="DA10" s="252"/>
      <c r="DB10" s="252"/>
      <c r="DC10" s="252"/>
      <c r="DD10" s="252"/>
      <c r="DE10" s="252"/>
      <c r="DF10" s="252"/>
      <c r="DG10" s="252"/>
      <c r="DH10" s="252"/>
      <c r="DI10" s="252"/>
      <c r="DJ10" s="252"/>
      <c r="DK10" s="252"/>
      <c r="DL10" s="252"/>
      <c r="DM10" s="252"/>
      <c r="DN10" s="252"/>
      <c r="DO10" s="252"/>
      <c r="DP10" s="252"/>
      <c r="DQ10" s="252"/>
      <c r="DR10" s="252"/>
      <c r="DS10" s="252"/>
      <c r="DT10" s="252"/>
      <c r="DU10" s="252"/>
      <c r="DV10" s="488"/>
    </row>
    <row r="11" spans="1:126" x14ac:dyDescent="0.15">
      <c r="A11" s="250"/>
      <c r="B11" s="310"/>
      <c r="C11" s="289"/>
      <c r="D11" s="274" t="s">
        <v>370</v>
      </c>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311"/>
      <c r="BH11" s="252"/>
      <c r="BI11" s="487"/>
      <c r="BJ11" s="252"/>
      <c r="BK11" s="493" t="s">
        <v>595</v>
      </c>
      <c r="BL11" s="252"/>
      <c r="BM11" s="252"/>
      <c r="BN11" s="252"/>
      <c r="BO11" s="224" t="str">
        <f>+IF(B2="MFB Vállalkozásfinanszírozási Program 2020",1,"")</f>
        <v/>
      </c>
      <c r="BP11" s="234" t="s">
        <v>461</v>
      </c>
      <c r="BQ11" s="227"/>
      <c r="BR11" s="226"/>
      <c r="BS11" s="226"/>
      <c r="BT11" s="252"/>
      <c r="BU11" s="440" t="str">
        <f>+IF(B2="MFB Vállalkozásfinanszírozási Program 2020","a","")</f>
        <v/>
      </c>
      <c r="BV11" s="221" t="str">
        <f>+IF(BU11="a","MFB Vállalkozásfinanszírozási Program 2020","")</f>
        <v/>
      </c>
      <c r="BW11" s="222"/>
      <c r="BX11" s="22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488"/>
    </row>
    <row r="12" spans="1:126" ht="15" thickBot="1" x14ac:dyDescent="0.2">
      <c r="A12" s="250"/>
      <c r="B12" s="310"/>
      <c r="C12" s="289"/>
      <c r="D12" s="289"/>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311"/>
      <c r="BH12" s="252"/>
      <c r="BI12" s="487"/>
      <c r="BJ12" s="252"/>
      <c r="BK12" s="493" t="s">
        <v>118</v>
      </c>
      <c r="BL12" s="252"/>
      <c r="BM12" s="252"/>
      <c r="BN12" s="252"/>
      <c r="BO12" s="224" t="str">
        <f>+IF(B2="MFB Lízing Refinanszírozási Program",2,"")</f>
        <v/>
      </c>
      <c r="BP12" s="234" t="s">
        <v>480</v>
      </c>
      <c r="BQ12" s="227"/>
      <c r="BR12" s="226"/>
      <c r="BS12" s="226"/>
      <c r="BT12" s="252"/>
      <c r="BU12" s="440" t="str">
        <f>+IF(B2="MFB Kisfaludy Turizmus-fejlesztési Hitelprogram","b","")</f>
        <v/>
      </c>
      <c r="BV12" s="221" t="str">
        <f>IF(BU12="b","MFB Kisfaludy Turizmus-fejlesztési Hitelprogram","")</f>
        <v/>
      </c>
      <c r="BW12" s="222"/>
      <c r="BX12" s="22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c r="DM12" s="252"/>
      <c r="DN12" s="252"/>
      <c r="DO12" s="252"/>
      <c r="DP12" s="252"/>
      <c r="DQ12" s="252"/>
      <c r="DR12" s="252"/>
      <c r="DS12" s="252"/>
      <c r="DT12" s="252"/>
      <c r="DU12" s="252"/>
      <c r="DV12" s="488"/>
    </row>
    <row r="13" spans="1:126" ht="15" thickBot="1" x14ac:dyDescent="0.2">
      <c r="A13" s="250"/>
      <c r="B13" s="310"/>
      <c r="C13" s="1627" t="str">
        <f>+IF('Refinanszírozás célja'!C14:T14="","",'Refinanszírozás célja'!C14:T14)</f>
        <v/>
      </c>
      <c r="D13" s="1628"/>
      <c r="E13" s="1628"/>
      <c r="F13" s="1628"/>
      <c r="G13" s="1628"/>
      <c r="H13" s="1628"/>
      <c r="I13" s="1628"/>
      <c r="J13" s="1628"/>
      <c r="K13" s="1628"/>
      <c r="L13" s="1628"/>
      <c r="M13" s="1628"/>
      <c r="N13" s="1628"/>
      <c r="O13" s="1628"/>
      <c r="P13" s="1628"/>
      <c r="Q13" s="1628"/>
      <c r="R13" s="1628"/>
      <c r="S13" s="1628"/>
      <c r="T13" s="1629"/>
      <c r="U13" s="290"/>
      <c r="V13" s="290"/>
      <c r="W13" s="290"/>
      <c r="X13" s="1627" t="str">
        <f>+IF('Refinanszírozás célja'!X14:AN14="","",'Refinanszírozás célja'!X14:AN14)</f>
        <v/>
      </c>
      <c r="Y13" s="1628"/>
      <c r="Z13" s="1628"/>
      <c r="AA13" s="1628"/>
      <c r="AB13" s="1628"/>
      <c r="AC13" s="1628"/>
      <c r="AD13" s="1628"/>
      <c r="AE13" s="1628"/>
      <c r="AF13" s="1628"/>
      <c r="AG13" s="1628"/>
      <c r="AH13" s="1628"/>
      <c r="AI13" s="1628"/>
      <c r="AJ13" s="1628"/>
      <c r="AK13" s="1628"/>
      <c r="AL13" s="1628"/>
      <c r="AM13" s="1628"/>
      <c r="AN13" s="1629"/>
      <c r="AO13" s="289"/>
      <c r="AP13" s="289"/>
      <c r="AQ13" s="290"/>
      <c r="AR13" s="1627" t="str">
        <f>+IF('Refinanszírozás célja'!AR14:BD14="","",'Refinanszírozás célja'!AR14:BD14)</f>
        <v/>
      </c>
      <c r="AS13" s="1628"/>
      <c r="AT13" s="1628"/>
      <c r="AU13" s="1628"/>
      <c r="AV13" s="1628"/>
      <c r="AW13" s="1628"/>
      <c r="AX13" s="1628"/>
      <c r="AY13" s="1628"/>
      <c r="AZ13" s="1628"/>
      <c r="BA13" s="1628"/>
      <c r="BB13" s="1628"/>
      <c r="BC13" s="1628"/>
      <c r="BD13" s="1629"/>
      <c r="BE13" s="290"/>
      <c r="BF13" s="290"/>
      <c r="BG13" s="311"/>
      <c r="BH13" s="252"/>
      <c r="BI13" s="487"/>
      <c r="BJ13" s="252"/>
      <c r="BK13" s="252"/>
      <c r="BL13" s="252"/>
      <c r="BM13" s="252"/>
      <c r="BN13" s="252"/>
      <c r="BO13" s="224" t="str">
        <f>+IF(B2="MFB NHP Fix Lízing Refinanszírozási Program",3,"")</f>
        <v/>
      </c>
      <c r="BP13" s="249" t="s">
        <v>488</v>
      </c>
      <c r="BQ13" s="227"/>
      <c r="BR13" s="226"/>
      <c r="BS13" s="226"/>
      <c r="BT13" s="252"/>
      <c r="BU13" s="440" t="str">
        <f>+IF(B2="Patika Hitelprogram","c","")</f>
        <v/>
      </c>
      <c r="BV13" s="221" t="str">
        <f>IF(BU13="c","Patika Hitelprogram","")</f>
        <v/>
      </c>
      <c r="BW13" s="222"/>
      <c r="BX13" s="22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c r="DM13" s="252"/>
      <c r="DN13" s="252"/>
      <c r="DO13" s="252"/>
      <c r="DP13" s="252"/>
      <c r="DQ13" s="252"/>
      <c r="DR13" s="252"/>
      <c r="DS13" s="252"/>
      <c r="DT13" s="252"/>
      <c r="DU13" s="252"/>
      <c r="DV13" s="488"/>
    </row>
    <row r="14" spans="1:126" x14ac:dyDescent="0.15">
      <c r="A14" s="250"/>
      <c r="B14" s="310"/>
      <c r="C14" s="289" t="s">
        <v>581</v>
      </c>
      <c r="D14" s="289"/>
      <c r="E14" s="290"/>
      <c r="F14" s="290"/>
      <c r="G14" s="290"/>
      <c r="H14" s="290"/>
      <c r="I14" s="290"/>
      <c r="J14" s="290"/>
      <c r="K14" s="290"/>
      <c r="L14" s="290"/>
      <c r="M14" s="290"/>
      <c r="N14" s="290"/>
      <c r="O14" s="290"/>
      <c r="P14" s="290"/>
      <c r="Q14" s="290"/>
      <c r="R14" s="290"/>
      <c r="S14" s="290"/>
      <c r="T14" s="290"/>
      <c r="U14" s="290"/>
      <c r="V14" s="290"/>
      <c r="W14" s="290"/>
      <c r="X14" s="290" t="s">
        <v>582</v>
      </c>
      <c r="Y14" s="290"/>
      <c r="Z14" s="290"/>
      <c r="AA14" s="290"/>
      <c r="AB14" s="290"/>
      <c r="AC14" s="290"/>
      <c r="AD14" s="290"/>
      <c r="AE14" s="290"/>
      <c r="AF14" s="290"/>
      <c r="AG14" s="290"/>
      <c r="AH14" s="290"/>
      <c r="AI14" s="290"/>
      <c r="AJ14" s="290"/>
      <c r="AK14" s="290"/>
      <c r="AL14" s="290"/>
      <c r="AM14" s="290"/>
      <c r="AN14" s="290"/>
      <c r="AO14" s="290"/>
      <c r="AP14" s="290"/>
      <c r="AQ14" s="290"/>
      <c r="AR14" s="290" t="s">
        <v>583</v>
      </c>
      <c r="AS14" s="290"/>
      <c r="AT14" s="290"/>
      <c r="AU14" s="290"/>
      <c r="AV14" s="290"/>
      <c r="AW14" s="290"/>
      <c r="AX14" s="290"/>
      <c r="AY14" s="290"/>
      <c r="AZ14" s="290"/>
      <c r="BA14" s="290"/>
      <c r="BB14" s="290"/>
      <c r="BC14" s="290"/>
      <c r="BD14" s="290"/>
      <c r="BE14" s="290"/>
      <c r="BF14" s="290"/>
      <c r="BG14" s="311"/>
      <c r="BH14" s="252"/>
      <c r="BI14" s="487"/>
      <c r="BJ14" s="252"/>
      <c r="BK14" s="493" t="s">
        <v>380</v>
      </c>
      <c r="BL14" s="252"/>
      <c r="BM14" s="252"/>
      <c r="BN14" s="252"/>
      <c r="BO14" s="220" t="str">
        <f>+IF(B2="MFB Gazdaság Újjáépítési Hitel Program",4,"")</f>
        <v/>
      </c>
      <c r="BP14" s="234" t="s">
        <v>1146</v>
      </c>
      <c r="BQ14" s="227"/>
      <c r="BR14" s="226"/>
      <c r="BS14" s="226"/>
      <c r="BT14" s="252"/>
      <c r="BU14" s="439"/>
      <c r="BV14" s="269"/>
      <c r="BW14" s="219"/>
      <c r="BX14" s="219"/>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488"/>
    </row>
    <row r="15" spans="1:126" ht="15" thickBot="1" x14ac:dyDescent="0.2">
      <c r="A15" s="250"/>
      <c r="B15" s="310"/>
      <c r="C15" s="289"/>
      <c r="D15" s="289"/>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311"/>
      <c r="BH15" s="252"/>
      <c r="BI15" s="487"/>
      <c r="BJ15" s="252"/>
      <c r="BK15" s="493" t="s">
        <v>596</v>
      </c>
      <c r="BL15" s="252"/>
      <c r="BM15" s="252"/>
      <c r="BN15" s="252"/>
      <c r="BO15" s="220" t="str">
        <f>+IF(B2="MFB Régió Versenyképességi Pénzügyi Vállalkozás Refinanszírozási Program",5,"")</f>
        <v/>
      </c>
      <c r="BP15" s="234" t="s">
        <v>1086</v>
      </c>
      <c r="BQ15" s="227"/>
      <c r="BR15" s="226"/>
      <c r="BS15" s="226"/>
      <c r="BT15" s="252"/>
      <c r="BU15" s="439"/>
      <c r="BV15" s="269"/>
      <c r="BW15" s="219"/>
      <c r="BX15" s="219"/>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52"/>
      <c r="CZ15" s="252"/>
      <c r="DA15" s="252"/>
      <c r="DB15" s="252"/>
      <c r="DC15" s="252"/>
      <c r="DD15" s="252"/>
      <c r="DE15" s="252"/>
      <c r="DF15" s="252"/>
      <c r="DG15" s="252"/>
      <c r="DH15" s="252"/>
      <c r="DI15" s="252"/>
      <c r="DJ15" s="252"/>
      <c r="DK15" s="252"/>
      <c r="DL15" s="252"/>
      <c r="DM15" s="252"/>
      <c r="DN15" s="252"/>
      <c r="DO15" s="252"/>
      <c r="DP15" s="252"/>
      <c r="DQ15" s="252"/>
      <c r="DR15" s="252"/>
      <c r="DS15" s="252"/>
      <c r="DT15" s="252"/>
      <c r="DU15" s="252"/>
      <c r="DV15" s="488"/>
    </row>
    <row r="16" spans="1:126" ht="15" thickBot="1" x14ac:dyDescent="0.2">
      <c r="A16" s="250"/>
      <c r="B16" s="310"/>
      <c r="C16" s="289"/>
      <c r="D16" s="289"/>
      <c r="E16" s="290"/>
      <c r="F16" s="290"/>
      <c r="G16" s="290"/>
      <c r="H16" s="290"/>
      <c r="I16" s="290"/>
      <c r="J16" s="290"/>
      <c r="K16" s="290"/>
      <c r="L16" s="290"/>
      <c r="M16" s="290"/>
      <c r="N16" s="290"/>
      <c r="O16" s="290"/>
      <c r="P16" s="1627" t="s">
        <v>296</v>
      </c>
      <c r="Q16" s="1628"/>
      <c r="R16" s="1628"/>
      <c r="S16" s="1629"/>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311"/>
      <c r="BH16" s="252"/>
      <c r="BI16" s="487"/>
      <c r="BJ16" s="252"/>
      <c r="BK16" s="493" t="s">
        <v>597</v>
      </c>
      <c r="BL16" s="252"/>
      <c r="BM16" s="252"/>
      <c r="BN16" s="252"/>
      <c r="BO16" s="217"/>
      <c r="BP16" s="217"/>
      <c r="BQ16" s="217"/>
      <c r="BR16" s="219"/>
      <c r="BS16" s="219"/>
      <c r="BT16" s="252"/>
      <c r="BU16" s="439"/>
      <c r="BV16" s="270"/>
      <c r="BW16" s="219"/>
      <c r="BX16" s="219"/>
      <c r="BY16" s="252"/>
      <c r="BZ16" s="252"/>
      <c r="CA16" s="252"/>
      <c r="CB16" s="252"/>
      <c r="CC16" s="252"/>
      <c r="CD16" s="252"/>
      <c r="CE16" s="252"/>
      <c r="CF16" s="252"/>
      <c r="CG16" s="252"/>
      <c r="CH16" s="252"/>
      <c r="CI16" s="252"/>
      <c r="CJ16" s="252"/>
      <c r="CK16" s="252"/>
      <c r="CL16" s="252"/>
      <c r="CM16" s="252"/>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2"/>
      <c r="DJ16" s="252"/>
      <c r="DK16" s="252"/>
      <c r="DL16" s="252"/>
      <c r="DM16" s="252"/>
      <c r="DN16" s="252"/>
      <c r="DO16" s="252"/>
      <c r="DP16" s="252"/>
      <c r="DQ16" s="252"/>
      <c r="DR16" s="252"/>
      <c r="DS16" s="252"/>
      <c r="DT16" s="252"/>
      <c r="DU16" s="252"/>
      <c r="DV16" s="488"/>
    </row>
    <row r="17" spans="1:136" ht="15" customHeight="1" thickBot="1" x14ac:dyDescent="0.2">
      <c r="A17" s="250"/>
      <c r="B17" s="310"/>
      <c r="C17" s="289"/>
      <c r="D17" s="1188" t="s">
        <v>584</v>
      </c>
      <c r="E17" s="1188"/>
      <c r="F17" s="1188"/>
      <c r="G17" s="1188"/>
      <c r="H17" s="1188"/>
      <c r="I17" s="1188"/>
      <c r="J17" s="1188"/>
      <c r="K17" s="1188"/>
      <c r="L17" s="1188"/>
      <c r="M17" s="1188"/>
      <c r="N17" s="1188"/>
      <c r="O17" s="276"/>
      <c r="P17" s="276" t="s">
        <v>297</v>
      </c>
      <c r="Q17" s="276"/>
      <c r="R17" s="276"/>
      <c r="S17" s="274"/>
      <c r="T17" s="276"/>
      <c r="U17" s="276"/>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311"/>
      <c r="BH17" s="252"/>
      <c r="BI17" s="487"/>
      <c r="BJ17" s="252"/>
      <c r="BK17" s="493" t="s">
        <v>598</v>
      </c>
      <c r="BL17" s="252"/>
      <c r="BM17" s="252"/>
      <c r="BN17" s="252"/>
      <c r="BO17" s="217"/>
      <c r="BP17" s="218"/>
      <c r="BQ17" s="218"/>
      <c r="BR17" s="219"/>
      <c r="BS17" s="219"/>
      <c r="BT17" s="252"/>
      <c r="BU17" s="219"/>
      <c r="BV17" s="219"/>
      <c r="BW17" s="219"/>
      <c r="BX17" s="219"/>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c r="CV17" s="252"/>
      <c r="CW17" s="252"/>
      <c r="CX17" s="252"/>
      <c r="CY17" s="252"/>
      <c r="CZ17" s="252"/>
      <c r="DA17" s="252"/>
      <c r="DB17" s="252"/>
      <c r="DC17" s="252"/>
      <c r="DD17" s="252"/>
      <c r="DE17" s="252"/>
      <c r="DF17" s="252"/>
      <c r="DG17" s="252"/>
      <c r="DH17" s="252"/>
      <c r="DI17" s="252"/>
      <c r="DJ17" s="252"/>
      <c r="DK17" s="252"/>
      <c r="DL17" s="252"/>
      <c r="DM17" s="252"/>
      <c r="DN17" s="252"/>
      <c r="DO17" s="252"/>
      <c r="DP17" s="252"/>
      <c r="DQ17" s="252"/>
      <c r="DR17" s="252"/>
      <c r="DS17" s="252"/>
      <c r="DT17" s="252"/>
      <c r="DU17" s="252"/>
      <c r="DV17" s="488"/>
    </row>
    <row r="18" spans="1:136" ht="15" thickBot="1" x14ac:dyDescent="0.2">
      <c r="A18" s="250"/>
      <c r="B18" s="310"/>
      <c r="C18" s="289"/>
      <c r="D18" s="1188"/>
      <c r="E18" s="1188"/>
      <c r="F18" s="1188"/>
      <c r="G18" s="1188"/>
      <c r="H18" s="1188"/>
      <c r="I18" s="1188"/>
      <c r="J18" s="1188"/>
      <c r="K18" s="1188"/>
      <c r="L18" s="1188"/>
      <c r="M18" s="1188"/>
      <c r="N18" s="1188"/>
      <c r="O18" s="291"/>
      <c r="P18" s="1692" t="str">
        <f>+IF('Refinanszírozási kérelem'!P31:S31="","",'Refinanszírozási kérelem'!P31:S31)</f>
        <v/>
      </c>
      <c r="Q18" s="1693"/>
      <c r="R18" s="1693"/>
      <c r="S18" s="1694"/>
      <c r="T18" s="274"/>
      <c r="U18" s="1692" t="str">
        <f>+IF('Refinanszírozási kérelem'!U31:AY31="","",'Refinanszírozási kérelem'!U31:AY31)</f>
        <v/>
      </c>
      <c r="V18" s="1693"/>
      <c r="W18" s="1693"/>
      <c r="X18" s="1693"/>
      <c r="Y18" s="1693"/>
      <c r="Z18" s="1693"/>
      <c r="AA18" s="1693"/>
      <c r="AB18" s="1693"/>
      <c r="AC18" s="1693"/>
      <c r="AD18" s="1693"/>
      <c r="AE18" s="1693"/>
      <c r="AF18" s="1693"/>
      <c r="AG18" s="1693"/>
      <c r="AH18" s="1693"/>
      <c r="AI18" s="1693"/>
      <c r="AJ18" s="1693"/>
      <c r="AK18" s="1693"/>
      <c r="AL18" s="1693"/>
      <c r="AM18" s="1693"/>
      <c r="AN18" s="1693"/>
      <c r="AO18" s="1693"/>
      <c r="AP18" s="1693"/>
      <c r="AQ18" s="1693"/>
      <c r="AR18" s="1693"/>
      <c r="AS18" s="1693"/>
      <c r="AT18" s="1693"/>
      <c r="AU18" s="1693"/>
      <c r="AV18" s="1693"/>
      <c r="AW18" s="1693"/>
      <c r="AX18" s="1693"/>
      <c r="AY18" s="1694"/>
      <c r="AZ18" s="274"/>
      <c r="BA18" s="1692" t="str">
        <f>+IF('Refinanszírozási kérelem'!BA31:BF31="","",'Refinanszírozási kérelem'!BA31:BF31)</f>
        <v/>
      </c>
      <c r="BB18" s="1693"/>
      <c r="BC18" s="1693"/>
      <c r="BD18" s="1693"/>
      <c r="BE18" s="1693"/>
      <c r="BF18" s="1694"/>
      <c r="BG18" s="311"/>
      <c r="BH18" s="252"/>
      <c r="BI18" s="487"/>
      <c r="BJ18" s="252"/>
      <c r="BK18" s="493" t="s">
        <v>599</v>
      </c>
      <c r="BL18" s="252"/>
      <c r="BM18" s="252"/>
      <c r="BN18" s="252"/>
      <c r="BO18" s="217"/>
      <c r="BP18" s="218"/>
      <c r="BQ18" s="218"/>
      <c r="BR18" s="219"/>
      <c r="BS18" s="219"/>
      <c r="BT18" s="252"/>
      <c r="BU18" s="219"/>
      <c r="BV18" s="219"/>
      <c r="BW18" s="219"/>
      <c r="BX18" s="219"/>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c r="DP18" s="252"/>
      <c r="DQ18" s="252"/>
      <c r="DR18" s="252"/>
      <c r="DS18" s="252"/>
      <c r="DT18" s="252"/>
      <c r="DU18" s="252"/>
      <c r="DV18" s="488"/>
    </row>
    <row r="19" spans="1:136" x14ac:dyDescent="0.15">
      <c r="A19" s="250"/>
      <c r="B19" s="310"/>
      <c r="C19" s="289"/>
      <c r="D19" s="1188"/>
      <c r="E19" s="1188"/>
      <c r="F19" s="1188"/>
      <c r="G19" s="1188"/>
      <c r="H19" s="1188"/>
      <c r="I19" s="1188"/>
      <c r="J19" s="1188"/>
      <c r="K19" s="1188"/>
      <c r="L19" s="1188"/>
      <c r="M19" s="1188"/>
      <c r="N19" s="1188"/>
      <c r="O19" s="274"/>
      <c r="P19" s="274" t="s">
        <v>146</v>
      </c>
      <c r="Q19" s="274"/>
      <c r="R19" s="274"/>
      <c r="S19" s="274"/>
      <c r="T19" s="274"/>
      <c r="U19" s="274" t="s">
        <v>147</v>
      </c>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t="s">
        <v>148</v>
      </c>
      <c r="BB19" s="274"/>
      <c r="BC19" s="274"/>
      <c r="BD19" s="274"/>
      <c r="BE19" s="274"/>
      <c r="BF19" s="274"/>
      <c r="BG19" s="311"/>
      <c r="BH19" s="252"/>
      <c r="BI19" s="487"/>
      <c r="BJ19" s="252"/>
      <c r="BK19" s="493" t="s">
        <v>600</v>
      </c>
      <c r="BL19" s="252"/>
      <c r="BM19" s="252"/>
      <c r="BN19" s="252"/>
      <c r="BO19" s="217"/>
      <c r="BP19" s="218"/>
      <c r="BQ19" s="218"/>
      <c r="BR19" s="219"/>
      <c r="BS19" s="219"/>
      <c r="BT19" s="252"/>
      <c r="BU19" s="219"/>
      <c r="BV19" s="219"/>
      <c r="BW19" s="219"/>
      <c r="BX19" s="219"/>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52"/>
      <c r="DN19" s="252"/>
      <c r="DO19" s="252"/>
      <c r="DP19" s="252"/>
      <c r="DQ19" s="252"/>
      <c r="DR19" s="252"/>
      <c r="DS19" s="252"/>
      <c r="DT19" s="252"/>
      <c r="DU19" s="252"/>
      <c r="DV19" s="488"/>
    </row>
    <row r="20" spans="1:136" ht="15" thickBot="1" x14ac:dyDescent="0.2">
      <c r="A20" s="250"/>
      <c r="B20" s="310"/>
      <c r="C20" s="289"/>
      <c r="D20" s="228"/>
      <c r="E20" s="228"/>
      <c r="F20" s="228"/>
      <c r="G20" s="228"/>
      <c r="H20" s="228"/>
      <c r="I20" s="228"/>
      <c r="J20" s="228"/>
      <c r="K20" s="228"/>
      <c r="L20" s="228"/>
      <c r="M20" s="228"/>
      <c r="N20" s="228"/>
      <c r="O20" s="226"/>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311"/>
      <c r="BH20" s="252"/>
      <c r="BI20" s="487"/>
      <c r="BJ20" s="252"/>
      <c r="BK20" s="252"/>
      <c r="BL20" s="252"/>
      <c r="BM20" s="252"/>
      <c r="BN20" s="252"/>
      <c r="BO20" s="217"/>
      <c r="BP20" s="218"/>
      <c r="BQ20" s="218"/>
      <c r="BR20" s="219"/>
      <c r="BS20" s="219"/>
      <c r="BT20" s="252"/>
      <c r="BU20" s="219"/>
      <c r="BV20" s="219"/>
      <c r="BW20" s="219"/>
      <c r="BX20" s="219"/>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c r="DM20" s="252"/>
      <c r="DN20" s="252"/>
      <c r="DO20" s="252"/>
      <c r="DP20" s="252"/>
      <c r="DQ20" s="252"/>
      <c r="DR20" s="252"/>
      <c r="DS20" s="252"/>
      <c r="DT20" s="252"/>
      <c r="DU20" s="252"/>
      <c r="DV20" s="488"/>
    </row>
    <row r="21" spans="1:136" ht="15.75" customHeight="1" thickBot="1" x14ac:dyDescent="0.2">
      <c r="A21" s="250"/>
      <c r="B21" s="310"/>
      <c r="C21" s="289"/>
      <c r="D21" s="1692" t="str">
        <f>+IF('Refinanszírozási kérelem'!D34:AC34="","",'Refinanszírozási kérelem'!D34:AC34)</f>
        <v/>
      </c>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4"/>
      <c r="AD21" s="292"/>
      <c r="AE21" s="277"/>
      <c r="AF21" s="1692" t="str">
        <f>+IF('Refinanszírozási kérelem'!AF34:AP34="","",'Refinanszírozási kérelem'!AF34:AP34)</f>
        <v>legördülő cella</v>
      </c>
      <c r="AG21" s="1693"/>
      <c r="AH21" s="1693"/>
      <c r="AI21" s="1693"/>
      <c r="AJ21" s="1693"/>
      <c r="AK21" s="1693"/>
      <c r="AL21" s="1693"/>
      <c r="AM21" s="1693"/>
      <c r="AN21" s="1693"/>
      <c r="AO21" s="1693"/>
      <c r="AP21" s="1694"/>
      <c r="AQ21" s="292"/>
      <c r="AR21" s="291"/>
      <c r="AS21" s="291"/>
      <c r="AT21" s="1624" t="str">
        <f>+IF(hazszam="","",hazszam)</f>
        <v/>
      </c>
      <c r="AU21" s="1625"/>
      <c r="AV21" s="1625"/>
      <c r="AW21" s="1625"/>
      <c r="AX21" s="1625"/>
      <c r="AY21" s="1625"/>
      <c r="AZ21" s="1625"/>
      <c r="BA21" s="1625"/>
      <c r="BB21" s="1625"/>
      <c r="BC21" s="1625"/>
      <c r="BD21" s="1625"/>
      <c r="BE21" s="1625"/>
      <c r="BF21" s="1626"/>
      <c r="BG21" s="311"/>
      <c r="BH21" s="252"/>
      <c r="BI21" s="487"/>
      <c r="BJ21" s="252"/>
      <c r="BK21" s="252"/>
      <c r="BL21" s="252"/>
      <c r="BM21" s="252"/>
      <c r="BN21" s="252"/>
      <c r="BO21" s="217"/>
      <c r="BP21" s="217"/>
      <c r="BQ21" s="217"/>
      <c r="BR21" s="219"/>
      <c r="BS21" s="219"/>
      <c r="BT21" s="252"/>
      <c r="BU21" s="219"/>
      <c r="BV21" s="219"/>
      <c r="BW21" s="219"/>
      <c r="BX21" s="219"/>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488"/>
    </row>
    <row r="22" spans="1:136" x14ac:dyDescent="0.15">
      <c r="A22" s="250"/>
      <c r="B22" s="310"/>
      <c r="C22" s="289"/>
      <c r="D22" s="274" t="s">
        <v>149</v>
      </c>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t="s">
        <v>150</v>
      </c>
      <c r="AG22" s="274"/>
      <c r="AH22" s="274"/>
      <c r="AI22" s="274"/>
      <c r="AJ22" s="277"/>
      <c r="AK22" s="274"/>
      <c r="AL22" s="274"/>
      <c r="AM22" s="274"/>
      <c r="AN22" s="274"/>
      <c r="AO22" s="274"/>
      <c r="AP22" s="274"/>
      <c r="AQ22" s="277"/>
      <c r="AR22" s="274"/>
      <c r="AS22" s="274"/>
      <c r="AT22" s="274"/>
      <c r="AU22" s="274"/>
      <c r="AV22" s="274"/>
      <c r="AW22" s="274"/>
      <c r="AX22" s="276" t="s">
        <v>151</v>
      </c>
      <c r="AY22" s="276"/>
      <c r="AZ22" s="276"/>
      <c r="BA22" s="276"/>
      <c r="BB22" s="276"/>
      <c r="BC22" s="276"/>
      <c r="BD22" s="276"/>
      <c r="BE22" s="276"/>
      <c r="BF22" s="276"/>
      <c r="BG22" s="311"/>
      <c r="BH22" s="252"/>
      <c r="BI22" s="487"/>
      <c r="BJ22" s="252"/>
      <c r="BK22" s="252"/>
      <c r="BL22" s="252"/>
      <c r="BM22" s="252"/>
      <c r="BN22" s="252"/>
      <c r="BO22" s="252"/>
      <c r="BP22" s="252"/>
      <c r="BQ22" s="252"/>
      <c r="BR22" s="252"/>
      <c r="BS22" s="252"/>
      <c r="BT22" s="252"/>
      <c r="BU22" s="219"/>
      <c r="BV22" s="219"/>
      <c r="BW22" s="219"/>
      <c r="BX22" s="219"/>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488"/>
    </row>
    <row r="23" spans="1:136" ht="15" thickBot="1" x14ac:dyDescent="0.2">
      <c r="B23" s="312"/>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311"/>
      <c r="BH23" s="252"/>
      <c r="BI23" s="487"/>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488"/>
    </row>
    <row r="24" spans="1:136" ht="15.75" customHeight="1" thickBot="1" x14ac:dyDescent="0.2">
      <c r="B24" s="312"/>
      <c r="C24" s="1627" t="str">
        <f>+IF('Refinanszírozás célja'!C25:T25="","",'Refinanszírozás célja'!C25:T25)</f>
        <v/>
      </c>
      <c r="D24" s="1628"/>
      <c r="E24" s="1628"/>
      <c r="F24" s="1628"/>
      <c r="G24" s="1628"/>
      <c r="H24" s="1628"/>
      <c r="I24" s="1628"/>
      <c r="J24" s="1628"/>
      <c r="K24" s="1628"/>
      <c r="L24" s="1628"/>
      <c r="M24" s="1628"/>
      <c r="N24" s="1628"/>
      <c r="O24" s="1628"/>
      <c r="P24" s="1628"/>
      <c r="Q24" s="1628"/>
      <c r="R24" s="1628"/>
      <c r="S24" s="1628"/>
      <c r="T24" s="1629"/>
      <c r="U24" s="290"/>
      <c r="V24" s="290"/>
      <c r="W24" s="290"/>
      <c r="X24" s="1627" t="str">
        <f>+IF('Refinanszírozás célja'!X25:AL25="","",'Refinanszírozás célja'!X25:AL25)</f>
        <v/>
      </c>
      <c r="Y24" s="1628"/>
      <c r="Z24" s="1628"/>
      <c r="AA24" s="1628"/>
      <c r="AB24" s="1628"/>
      <c r="AC24" s="1628"/>
      <c r="AD24" s="1628"/>
      <c r="AE24" s="1628"/>
      <c r="AF24" s="1628"/>
      <c r="AG24" s="1628"/>
      <c r="AH24" s="1628"/>
      <c r="AI24" s="1628"/>
      <c r="AJ24" s="1628"/>
      <c r="AK24" s="1628"/>
      <c r="AL24" s="1629"/>
      <c r="AM24" s="290"/>
      <c r="AN24" s="290"/>
      <c r="AO24" s="1627" t="str">
        <f>+IF('Refinanszírozás célja'!AO25:BF25="","",'Refinanszírozás célja'!AO25:BF25)</f>
        <v/>
      </c>
      <c r="AP24" s="1628"/>
      <c r="AQ24" s="1628"/>
      <c r="AR24" s="1628"/>
      <c r="AS24" s="1628"/>
      <c r="AT24" s="1628"/>
      <c r="AU24" s="1628"/>
      <c r="AV24" s="1628"/>
      <c r="AW24" s="1628"/>
      <c r="AX24" s="1628"/>
      <c r="AY24" s="1628"/>
      <c r="AZ24" s="1628"/>
      <c r="BA24" s="1628"/>
      <c r="BB24" s="1628"/>
      <c r="BC24" s="1628"/>
      <c r="BD24" s="1628"/>
      <c r="BE24" s="1628"/>
      <c r="BF24" s="1629"/>
      <c r="BG24" s="311"/>
      <c r="BH24" s="252"/>
      <c r="BI24" s="487"/>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c r="DP24" s="252"/>
      <c r="DQ24" s="252"/>
      <c r="DR24" s="252"/>
      <c r="DS24" s="252"/>
      <c r="DT24" s="252"/>
      <c r="DU24" s="252"/>
      <c r="DV24" s="488"/>
    </row>
    <row r="25" spans="1:136" x14ac:dyDescent="0.15">
      <c r="B25" s="312"/>
      <c r="C25" s="290" t="s">
        <v>590</v>
      </c>
      <c r="D25" s="290"/>
      <c r="E25" s="290"/>
      <c r="F25" s="290"/>
      <c r="G25" s="290"/>
      <c r="H25" s="290"/>
      <c r="I25" s="290"/>
      <c r="J25" s="290"/>
      <c r="K25" s="290"/>
      <c r="L25" s="290"/>
      <c r="M25" s="290"/>
      <c r="N25" s="290"/>
      <c r="O25" s="290"/>
      <c r="P25" s="290"/>
      <c r="Q25" s="290"/>
      <c r="R25" s="290"/>
      <c r="S25" s="290"/>
      <c r="T25" s="290"/>
      <c r="U25" s="290"/>
      <c r="V25" s="290"/>
      <c r="W25" s="290"/>
      <c r="X25" s="290" t="s">
        <v>591</v>
      </c>
      <c r="Y25" s="290"/>
      <c r="Z25" s="290"/>
      <c r="AA25" s="290"/>
      <c r="AB25" s="290"/>
      <c r="AC25" s="290"/>
      <c r="AD25" s="290"/>
      <c r="AE25" s="290"/>
      <c r="AF25" s="290"/>
      <c r="AG25" s="290"/>
      <c r="AH25" s="290"/>
      <c r="AI25" s="290"/>
      <c r="AJ25" s="290"/>
      <c r="AK25" s="290"/>
      <c r="AL25" s="290"/>
      <c r="AM25" s="290"/>
      <c r="AN25" s="290"/>
      <c r="AO25" s="290" t="s">
        <v>592</v>
      </c>
      <c r="AP25" s="290"/>
      <c r="AQ25" s="290"/>
      <c r="AR25" s="290"/>
      <c r="AS25" s="290"/>
      <c r="AT25" s="290"/>
      <c r="AU25" s="290"/>
      <c r="AV25" s="290"/>
      <c r="AW25" s="290"/>
      <c r="AX25" s="290"/>
      <c r="AY25" s="290"/>
      <c r="AZ25" s="290"/>
      <c r="BA25" s="290"/>
      <c r="BB25" s="290"/>
      <c r="BC25" s="290"/>
      <c r="BD25" s="290"/>
      <c r="BE25" s="290"/>
      <c r="BF25" s="290"/>
      <c r="BG25" s="311"/>
      <c r="BH25" s="252"/>
      <c r="BI25" s="487"/>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c r="DM25" s="252"/>
      <c r="DN25" s="252"/>
      <c r="DO25" s="252"/>
      <c r="DP25" s="252"/>
      <c r="DQ25" s="252"/>
      <c r="DR25" s="252"/>
      <c r="DS25" s="252"/>
      <c r="DT25" s="252"/>
      <c r="DU25" s="252"/>
      <c r="DV25" s="488"/>
      <c r="EF25" s="223" t="s">
        <v>1073</v>
      </c>
    </row>
    <row r="26" spans="1:136" ht="15" thickBot="1" x14ac:dyDescent="0.2">
      <c r="B26" s="312"/>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311"/>
      <c r="BH26" s="252"/>
      <c r="BI26" s="487"/>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2"/>
      <c r="DS26" s="252"/>
      <c r="DT26" s="252"/>
      <c r="DU26" s="252"/>
      <c r="DV26" s="488"/>
    </row>
    <row r="27" spans="1:136" ht="15" thickBot="1" x14ac:dyDescent="0.2">
      <c r="B27" s="312"/>
      <c r="C27" s="1627" t="str">
        <f>+IF('Refinanszírozás célja'!C28:T28="kitöltendő legördülő cella","",'Refinanszírozás célja'!C28:T28)</f>
        <v>legördülő cella</v>
      </c>
      <c r="D27" s="1628"/>
      <c r="E27" s="1628"/>
      <c r="F27" s="1628"/>
      <c r="G27" s="1628"/>
      <c r="H27" s="1628"/>
      <c r="I27" s="1628"/>
      <c r="J27" s="1628"/>
      <c r="K27" s="1628"/>
      <c r="L27" s="1628"/>
      <c r="M27" s="1628"/>
      <c r="N27" s="1628"/>
      <c r="O27" s="1628"/>
      <c r="P27" s="1628"/>
      <c r="Q27" s="1628"/>
      <c r="R27" s="1628"/>
      <c r="S27" s="1628"/>
      <c r="T27" s="1629"/>
      <c r="U27" s="290"/>
      <c r="V27" s="290"/>
      <c r="W27" s="290"/>
      <c r="X27" s="1627" t="str">
        <f>+IF('Refinanszírozás célja'!X28:AL28="kitöltendő legördülő cella","",'Refinanszírozás célja'!X28:AL28)</f>
        <v>legördülő cella</v>
      </c>
      <c r="Y27" s="1628"/>
      <c r="Z27" s="1628"/>
      <c r="AA27" s="1628"/>
      <c r="AB27" s="1628"/>
      <c r="AC27" s="1628"/>
      <c r="AD27" s="1628"/>
      <c r="AE27" s="1628"/>
      <c r="AF27" s="1628"/>
      <c r="AG27" s="1628"/>
      <c r="AH27" s="1628"/>
      <c r="AI27" s="1628"/>
      <c r="AJ27" s="1628"/>
      <c r="AK27" s="1628"/>
      <c r="AL27" s="1629"/>
      <c r="AM27" s="290"/>
      <c r="AN27" s="290"/>
      <c r="AO27" s="290"/>
      <c r="AP27" s="290"/>
      <c r="AQ27" s="290"/>
      <c r="AR27" s="290"/>
      <c r="AS27" s="290"/>
      <c r="AT27" s="290"/>
      <c r="AU27" s="290"/>
      <c r="AV27" s="290"/>
      <c r="AW27" s="290"/>
      <c r="AX27" s="290"/>
      <c r="AY27" s="290"/>
      <c r="AZ27" s="290"/>
      <c r="BA27" s="290"/>
      <c r="BB27" s="290"/>
      <c r="BC27" s="290"/>
      <c r="BD27" s="290"/>
      <c r="BE27" s="290"/>
      <c r="BF27" s="290"/>
      <c r="BG27" s="311"/>
      <c r="BH27" s="252"/>
      <c r="BI27" s="487"/>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c r="DM27" s="252"/>
      <c r="DN27" s="252"/>
      <c r="DO27" s="252"/>
      <c r="DP27" s="252"/>
      <c r="DQ27" s="252"/>
      <c r="DR27" s="252"/>
      <c r="DS27" s="252"/>
      <c r="DT27" s="252"/>
      <c r="DU27" s="252"/>
      <c r="DV27" s="488"/>
    </row>
    <row r="28" spans="1:136" x14ac:dyDescent="0.15">
      <c r="B28" s="312"/>
      <c r="C28" s="290" t="s">
        <v>593</v>
      </c>
      <c r="D28" s="290"/>
      <c r="E28" s="290"/>
      <c r="F28" s="290"/>
      <c r="G28" s="290"/>
      <c r="H28" s="290"/>
      <c r="I28" s="290"/>
      <c r="J28" s="290"/>
      <c r="K28" s="290"/>
      <c r="L28" s="290"/>
      <c r="M28" s="290"/>
      <c r="N28" s="290"/>
      <c r="O28" s="290"/>
      <c r="P28" s="290"/>
      <c r="Q28" s="290"/>
      <c r="R28" s="290"/>
      <c r="S28" s="290"/>
      <c r="T28" s="290"/>
      <c r="U28" s="290"/>
      <c r="V28" s="290"/>
      <c r="W28" s="290"/>
      <c r="X28" s="290" t="s">
        <v>594</v>
      </c>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311"/>
      <c r="BH28" s="252"/>
      <c r="BI28" s="487"/>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488"/>
    </row>
    <row r="29" spans="1:136" ht="15" thickBot="1" x14ac:dyDescent="0.2">
      <c r="B29" s="312"/>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311"/>
      <c r="BH29" s="252"/>
      <c r="BI29" s="487"/>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488"/>
    </row>
    <row r="30" spans="1:136" ht="15" thickBot="1" x14ac:dyDescent="0.2">
      <c r="B30" s="312"/>
      <c r="C30" s="1627" t="str">
        <f>+IF('Refinanszírozás célja'!C31:T31="","",'Refinanszírozás célja'!C31:T31)</f>
        <v/>
      </c>
      <c r="D30" s="1628"/>
      <c r="E30" s="1628"/>
      <c r="F30" s="1628"/>
      <c r="G30" s="1628"/>
      <c r="H30" s="1628"/>
      <c r="I30" s="1628"/>
      <c r="J30" s="1628"/>
      <c r="K30" s="1628"/>
      <c r="L30" s="1628"/>
      <c r="M30" s="1628"/>
      <c r="N30" s="1628"/>
      <c r="O30" s="1628"/>
      <c r="P30" s="1628"/>
      <c r="Q30" s="1628"/>
      <c r="R30" s="1628"/>
      <c r="S30" s="1628"/>
      <c r="T30" s="1629"/>
      <c r="U30" s="290"/>
      <c r="V30" s="290"/>
      <c r="W30" s="290"/>
      <c r="X30" s="1627" t="str">
        <f>+IF('Refinanszírozás célja'!X31:AL31="","",'Refinanszírozás célja'!X31:AL31)</f>
        <v/>
      </c>
      <c r="Y30" s="1628"/>
      <c r="Z30" s="1628"/>
      <c r="AA30" s="1628"/>
      <c r="AB30" s="1628"/>
      <c r="AC30" s="1628"/>
      <c r="AD30" s="1628"/>
      <c r="AE30" s="1628"/>
      <c r="AF30" s="1628"/>
      <c r="AG30" s="1628"/>
      <c r="AH30" s="1628"/>
      <c r="AI30" s="1628"/>
      <c r="AJ30" s="1628"/>
      <c r="AK30" s="1628"/>
      <c r="AL30" s="1629"/>
      <c r="AM30" s="290"/>
      <c r="AN30" s="290"/>
      <c r="AO30" s="1627" t="str">
        <f>+IF('Refinanszírozás célja'!AO31:BF31="","",'Refinanszírozás célja'!AO31:BF31)</f>
        <v/>
      </c>
      <c r="AP30" s="1628"/>
      <c r="AQ30" s="1628"/>
      <c r="AR30" s="1628"/>
      <c r="AS30" s="1628"/>
      <c r="AT30" s="1628"/>
      <c r="AU30" s="1628"/>
      <c r="AV30" s="1628"/>
      <c r="AW30" s="1628"/>
      <c r="AX30" s="1628"/>
      <c r="AY30" s="1628"/>
      <c r="AZ30" s="1628"/>
      <c r="BA30" s="1628"/>
      <c r="BB30" s="1628"/>
      <c r="BC30" s="1628"/>
      <c r="BD30" s="1628"/>
      <c r="BE30" s="1628"/>
      <c r="BF30" s="1629"/>
      <c r="BG30" s="311"/>
      <c r="BH30" s="252"/>
      <c r="BI30" s="487"/>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488"/>
    </row>
    <row r="31" spans="1:136" x14ac:dyDescent="0.15">
      <c r="B31" s="312"/>
      <c r="C31" s="290" t="s">
        <v>587</v>
      </c>
      <c r="D31" s="290"/>
      <c r="E31" s="290"/>
      <c r="F31" s="290"/>
      <c r="G31" s="290"/>
      <c r="H31" s="290"/>
      <c r="I31" s="290"/>
      <c r="J31" s="290"/>
      <c r="K31" s="290"/>
      <c r="L31" s="290"/>
      <c r="M31" s="290"/>
      <c r="N31" s="290"/>
      <c r="O31" s="290"/>
      <c r="P31" s="290"/>
      <c r="Q31" s="290"/>
      <c r="R31" s="290"/>
      <c r="S31" s="290"/>
      <c r="T31" s="290"/>
      <c r="U31" s="290"/>
      <c r="V31" s="290"/>
      <c r="W31" s="290"/>
      <c r="X31" s="290" t="s">
        <v>586</v>
      </c>
      <c r="Y31" s="290"/>
      <c r="Z31" s="290"/>
      <c r="AA31" s="290"/>
      <c r="AB31" s="290"/>
      <c r="AC31" s="290"/>
      <c r="AD31" s="290"/>
      <c r="AE31" s="290"/>
      <c r="AF31" s="290"/>
      <c r="AG31" s="290"/>
      <c r="AH31" s="290"/>
      <c r="AI31" s="290"/>
      <c r="AJ31" s="290"/>
      <c r="AK31" s="290"/>
      <c r="AL31" s="290"/>
      <c r="AM31" s="290"/>
      <c r="AN31" s="290"/>
      <c r="AO31" s="290" t="s">
        <v>585</v>
      </c>
      <c r="AP31" s="290"/>
      <c r="AQ31" s="290"/>
      <c r="AR31" s="290"/>
      <c r="AS31" s="290"/>
      <c r="AT31" s="290"/>
      <c r="AU31" s="290"/>
      <c r="AV31" s="290"/>
      <c r="AW31" s="290"/>
      <c r="AX31" s="290"/>
      <c r="AY31" s="290"/>
      <c r="AZ31" s="290"/>
      <c r="BA31" s="290"/>
      <c r="BB31" s="290"/>
      <c r="BC31" s="290"/>
      <c r="BD31" s="290"/>
      <c r="BE31" s="290"/>
      <c r="BF31" s="290"/>
      <c r="BG31" s="311"/>
      <c r="BH31" s="252"/>
      <c r="BI31" s="487"/>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488"/>
    </row>
    <row r="32" spans="1:136" ht="15" thickBot="1" x14ac:dyDescent="0.2">
      <c r="B32" s="312"/>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311"/>
      <c r="BH32" s="252"/>
      <c r="BI32" s="487"/>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488"/>
    </row>
    <row r="33" spans="2:126" ht="15" thickBot="1" x14ac:dyDescent="0.2">
      <c r="B33" s="312"/>
      <c r="C33" s="1627" t="str">
        <f>+IF('Refinanszírozás célja'!C34:T34="","",'Refinanszírozás célja'!C34:T34)</f>
        <v/>
      </c>
      <c r="D33" s="1628"/>
      <c r="E33" s="1628"/>
      <c r="F33" s="1628"/>
      <c r="G33" s="1628"/>
      <c r="H33" s="1628"/>
      <c r="I33" s="1628"/>
      <c r="J33" s="1628"/>
      <c r="K33" s="1628"/>
      <c r="L33" s="1628"/>
      <c r="M33" s="1628"/>
      <c r="N33" s="1628"/>
      <c r="O33" s="1628"/>
      <c r="P33" s="1628"/>
      <c r="Q33" s="1628"/>
      <c r="R33" s="1628"/>
      <c r="S33" s="1628"/>
      <c r="T33" s="1629"/>
      <c r="U33" s="290"/>
      <c r="V33" s="290"/>
      <c r="W33" s="290"/>
      <c r="X33" s="1627" t="str">
        <f>+IF('Refinanszírozás célja'!X34:AL34="","",'Refinanszírozás célja'!X34:AL34)</f>
        <v/>
      </c>
      <c r="Y33" s="1628"/>
      <c r="Z33" s="1628"/>
      <c r="AA33" s="1628"/>
      <c r="AB33" s="1628"/>
      <c r="AC33" s="1628"/>
      <c r="AD33" s="1628"/>
      <c r="AE33" s="1628"/>
      <c r="AF33" s="1628"/>
      <c r="AG33" s="1628"/>
      <c r="AH33" s="1628"/>
      <c r="AI33" s="1628"/>
      <c r="AJ33" s="1628"/>
      <c r="AK33" s="1628"/>
      <c r="AL33" s="1629"/>
      <c r="AM33" s="290"/>
      <c r="AN33" s="290"/>
      <c r="AO33" s="290"/>
      <c r="AP33" s="290"/>
      <c r="AQ33" s="290"/>
      <c r="AR33" s="290"/>
      <c r="AS33" s="290"/>
      <c r="AT33" s="290"/>
      <c r="AU33" s="290"/>
      <c r="AV33" s="290"/>
      <c r="AW33" s="290"/>
      <c r="AX33" s="290"/>
      <c r="AY33" s="290"/>
      <c r="AZ33" s="290"/>
      <c r="BA33" s="290"/>
      <c r="BB33" s="290"/>
      <c r="BC33" s="290"/>
      <c r="BD33" s="290"/>
      <c r="BE33" s="290"/>
      <c r="BF33" s="290"/>
      <c r="BG33" s="311"/>
      <c r="BH33" s="252"/>
      <c r="BI33" s="487"/>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488"/>
    </row>
    <row r="34" spans="2:126" x14ac:dyDescent="0.15">
      <c r="B34" s="312"/>
      <c r="C34" s="290" t="s">
        <v>588</v>
      </c>
      <c r="D34" s="290"/>
      <c r="E34" s="290"/>
      <c r="F34" s="290"/>
      <c r="G34" s="290"/>
      <c r="H34" s="290"/>
      <c r="I34" s="290"/>
      <c r="J34" s="290"/>
      <c r="K34" s="290"/>
      <c r="L34" s="290"/>
      <c r="M34" s="290"/>
      <c r="N34" s="290"/>
      <c r="O34" s="290"/>
      <c r="P34" s="290"/>
      <c r="Q34" s="290"/>
      <c r="R34" s="290"/>
      <c r="S34" s="290"/>
      <c r="T34" s="290"/>
      <c r="U34" s="290"/>
      <c r="V34" s="290"/>
      <c r="W34" s="290"/>
      <c r="X34" s="290" t="s">
        <v>589</v>
      </c>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311"/>
      <c r="BH34" s="252"/>
      <c r="BI34" s="487"/>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488"/>
    </row>
    <row r="35" spans="2:126" x14ac:dyDescent="0.15">
      <c r="B35" s="312"/>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311"/>
      <c r="BH35" s="252"/>
      <c r="BI35" s="487"/>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488"/>
    </row>
    <row r="36" spans="2:126" x14ac:dyDescent="0.15">
      <c r="B36" s="312"/>
      <c r="C36" s="252"/>
      <c r="D36" s="252"/>
      <c r="E36" s="1621" t="s">
        <v>601</v>
      </c>
      <c r="F36" s="1621"/>
      <c r="G36" s="1621"/>
      <c r="H36" s="1621"/>
      <c r="I36" s="1621"/>
      <c r="J36" s="1621"/>
      <c r="K36" s="1621"/>
      <c r="L36" s="1621"/>
      <c r="M36" s="1621"/>
      <c r="N36" s="1621"/>
      <c r="O36" s="1621"/>
      <c r="P36" s="1621"/>
      <c r="Q36" s="1621"/>
      <c r="R36" s="1621"/>
      <c r="S36" s="1621"/>
      <c r="T36" s="1621"/>
      <c r="U36" s="1621"/>
      <c r="V36" s="1621"/>
      <c r="W36" s="1621"/>
      <c r="X36" s="1621"/>
      <c r="Y36" s="1621"/>
      <c r="Z36" s="1621"/>
      <c r="AA36" s="1621"/>
      <c r="AB36" s="1621"/>
      <c r="AC36" s="1621"/>
      <c r="AD36" s="1621"/>
      <c r="AE36" s="1621"/>
      <c r="AF36" s="1621"/>
      <c r="AG36" s="1621"/>
      <c r="AH36" s="1621"/>
      <c r="AI36" s="1621"/>
      <c r="AJ36" s="1621"/>
      <c r="AK36" s="1621"/>
      <c r="AL36" s="1621"/>
      <c r="AM36" s="1621"/>
      <c r="AN36" s="1621"/>
      <c r="AO36" s="1621"/>
      <c r="AP36" s="1621"/>
      <c r="AQ36" s="1621"/>
      <c r="AR36" s="1621"/>
      <c r="AS36" s="1621"/>
      <c r="AT36" s="1621"/>
      <c r="AU36" s="1621"/>
      <c r="AV36" s="1621"/>
      <c r="AW36" s="1621"/>
      <c r="AX36" s="1621"/>
      <c r="AY36" s="1621"/>
      <c r="AZ36" s="1621"/>
      <c r="BA36" s="1621"/>
      <c r="BB36" s="1621"/>
      <c r="BC36" s="1621"/>
      <c r="BD36" s="1621"/>
      <c r="BE36" s="1621"/>
      <c r="BF36" s="252"/>
      <c r="BG36" s="311"/>
      <c r="BH36" s="252"/>
      <c r="BI36" s="487"/>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488"/>
    </row>
    <row r="37" spans="2:126" x14ac:dyDescent="0.15">
      <c r="B37" s="312"/>
      <c r="C37" s="252"/>
      <c r="D37" s="252"/>
      <c r="E37" s="1163"/>
      <c r="F37" s="1163"/>
      <c r="G37" s="1163"/>
      <c r="H37" s="1163"/>
      <c r="I37" s="1163"/>
      <c r="J37" s="1163"/>
      <c r="K37" s="1163"/>
      <c r="L37" s="1163"/>
      <c r="M37" s="1163"/>
      <c r="N37" s="1163"/>
      <c r="O37" s="1163"/>
      <c r="P37" s="1163"/>
      <c r="Q37" s="1163"/>
      <c r="R37" s="1163"/>
      <c r="S37" s="1163"/>
      <c r="T37" s="1163"/>
      <c r="U37" s="1163"/>
      <c r="V37" s="1163"/>
      <c r="W37" s="1163"/>
      <c r="X37" s="1163"/>
      <c r="Y37" s="1163"/>
      <c r="Z37" s="1163"/>
      <c r="AA37" s="1163"/>
      <c r="AB37" s="1163"/>
      <c r="AC37" s="1163"/>
      <c r="AD37" s="1163"/>
      <c r="AE37" s="1163"/>
      <c r="AF37" s="1163"/>
      <c r="AG37" s="1163"/>
      <c r="AH37" s="1163"/>
      <c r="AI37" s="1163"/>
      <c r="AJ37" s="1163"/>
      <c r="AK37" s="1163"/>
      <c r="AL37" s="1163"/>
      <c r="AM37" s="1163"/>
      <c r="AN37" s="1163"/>
      <c r="AO37" s="1163"/>
      <c r="AP37" s="1163"/>
      <c r="AQ37" s="1163"/>
      <c r="AR37" s="1163"/>
      <c r="AS37" s="1163"/>
      <c r="AT37" s="1163"/>
      <c r="AU37" s="1163"/>
      <c r="AV37" s="1163"/>
      <c r="AW37" s="1163"/>
      <c r="AX37" s="1163"/>
      <c r="AY37" s="1163"/>
      <c r="AZ37" s="1163"/>
      <c r="BA37" s="1163"/>
      <c r="BB37" s="1163"/>
      <c r="BC37" s="1163"/>
      <c r="BD37" s="1163"/>
      <c r="BE37" s="1163"/>
      <c r="BF37" s="252"/>
      <c r="BG37" s="311"/>
      <c r="BH37" s="252"/>
      <c r="BI37" s="487"/>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c r="DM37" s="252"/>
      <c r="DN37" s="252"/>
      <c r="DO37" s="252"/>
      <c r="DP37" s="252"/>
      <c r="DQ37" s="252"/>
      <c r="DR37" s="252"/>
      <c r="DS37" s="252"/>
      <c r="DT37" s="252"/>
      <c r="DU37" s="252"/>
      <c r="DV37" s="488"/>
    </row>
    <row r="38" spans="2:126" x14ac:dyDescent="0.15">
      <c r="B38" s="312"/>
      <c r="C38" s="252"/>
      <c r="D38" s="252"/>
      <c r="E38" s="1687" t="s">
        <v>602</v>
      </c>
      <c r="F38" s="1687"/>
      <c r="G38" s="1687"/>
      <c r="H38" s="1687"/>
      <c r="I38" s="1687"/>
      <c r="J38" s="1687"/>
      <c r="K38" s="1687"/>
      <c r="L38" s="1687"/>
      <c r="M38" s="1687"/>
      <c r="N38" s="1687"/>
      <c r="O38" s="1687"/>
      <c r="P38" s="1687"/>
      <c r="Q38" s="1687"/>
      <c r="R38" s="1687"/>
      <c r="S38" s="1687"/>
      <c r="T38" s="1687"/>
      <c r="U38" s="1687"/>
      <c r="V38" s="1687"/>
      <c r="W38" s="1687"/>
      <c r="X38" s="1687"/>
      <c r="Y38" s="1687"/>
      <c r="Z38" s="1687"/>
      <c r="AA38" s="1687"/>
      <c r="AB38" s="1687"/>
      <c r="AC38" s="1687"/>
      <c r="AD38" s="1687"/>
      <c r="AE38" s="1687"/>
      <c r="AF38" s="1687"/>
      <c r="AG38" s="1687"/>
      <c r="AH38" s="1687"/>
      <c r="AI38" s="1687"/>
      <c r="AJ38" s="1687"/>
      <c r="AK38" s="1687"/>
      <c r="AL38" s="1687"/>
      <c r="AM38" s="1687"/>
      <c r="AN38" s="1687"/>
      <c r="AO38" s="1687"/>
      <c r="AP38" s="1687"/>
      <c r="AQ38" s="1687"/>
      <c r="AR38" s="1687"/>
      <c r="AS38" s="1687"/>
      <c r="AT38" s="1687"/>
      <c r="AU38" s="1687"/>
      <c r="AV38" s="1687"/>
      <c r="AW38" s="1687"/>
      <c r="AX38" s="1687"/>
      <c r="AY38" s="1687"/>
      <c r="AZ38" s="1687"/>
      <c r="BA38" s="1687"/>
      <c r="BB38" s="1687"/>
      <c r="BC38" s="1687"/>
      <c r="BD38" s="1687"/>
      <c r="BE38" s="1687"/>
      <c r="BF38" s="252"/>
      <c r="BG38" s="311"/>
      <c r="BH38" s="252"/>
      <c r="BI38" s="487"/>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c r="DM38" s="252"/>
      <c r="DN38" s="252"/>
      <c r="DO38" s="252"/>
      <c r="DP38" s="252"/>
      <c r="DQ38" s="252"/>
      <c r="DR38" s="252"/>
      <c r="DS38" s="252"/>
      <c r="DT38" s="252"/>
      <c r="DU38" s="252"/>
      <c r="DV38" s="488"/>
    </row>
    <row r="39" spans="2:126" x14ac:dyDescent="0.15">
      <c r="B39" s="312"/>
      <c r="C39" s="252"/>
      <c r="D39" s="252"/>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299"/>
      <c r="BD39" s="299"/>
      <c r="BE39" s="299"/>
      <c r="BF39" s="252"/>
      <c r="BG39" s="311"/>
      <c r="BH39" s="252"/>
      <c r="BI39" s="487"/>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252"/>
      <c r="DD39" s="252"/>
      <c r="DE39" s="252"/>
      <c r="DF39" s="252"/>
      <c r="DG39" s="252"/>
      <c r="DH39" s="252"/>
      <c r="DI39" s="252"/>
      <c r="DJ39" s="252"/>
      <c r="DK39" s="252"/>
      <c r="DL39" s="252"/>
      <c r="DM39" s="252"/>
      <c r="DN39" s="252"/>
      <c r="DO39" s="252"/>
      <c r="DP39" s="252"/>
      <c r="DQ39" s="252"/>
      <c r="DR39" s="252"/>
      <c r="DS39" s="252"/>
      <c r="DT39" s="252"/>
      <c r="DU39" s="252"/>
      <c r="DV39" s="488"/>
    </row>
    <row r="40" spans="2:126" x14ac:dyDescent="0.15">
      <c r="B40" s="312"/>
      <c r="C40" s="252"/>
      <c r="D40" s="252"/>
      <c r="E40" s="1687" t="s">
        <v>603</v>
      </c>
      <c r="F40" s="1687"/>
      <c r="G40" s="1687"/>
      <c r="H40" s="1687"/>
      <c r="I40" s="1687"/>
      <c r="J40" s="1687"/>
      <c r="K40" s="1687"/>
      <c r="L40" s="1687"/>
      <c r="M40" s="1687"/>
      <c r="N40" s="1687"/>
      <c r="O40" s="1687"/>
      <c r="P40" s="1687"/>
      <c r="Q40" s="1687"/>
      <c r="R40" s="1687"/>
      <c r="S40" s="1687"/>
      <c r="T40" s="1687"/>
      <c r="U40" s="1687"/>
      <c r="V40" s="1687"/>
      <c r="W40" s="1687"/>
      <c r="X40" s="1687"/>
      <c r="Y40" s="1687"/>
      <c r="Z40" s="1687"/>
      <c r="AA40" s="1687"/>
      <c r="AB40" s="1687"/>
      <c r="AC40" s="1687"/>
      <c r="AD40" s="1687"/>
      <c r="AE40" s="1687"/>
      <c r="AF40" s="1687"/>
      <c r="AG40" s="1687"/>
      <c r="AH40" s="1687"/>
      <c r="AI40" s="1687"/>
      <c r="AJ40" s="1687"/>
      <c r="AK40" s="1687"/>
      <c r="AL40" s="1687"/>
      <c r="AM40" s="1687"/>
      <c r="AN40" s="1687"/>
      <c r="AO40" s="1687"/>
      <c r="AP40" s="1687"/>
      <c r="AQ40" s="1687"/>
      <c r="AR40" s="1687"/>
      <c r="AS40" s="1687"/>
      <c r="AT40" s="1687"/>
      <c r="AU40" s="1687"/>
      <c r="AV40" s="1687"/>
      <c r="AW40" s="1687"/>
      <c r="AX40" s="1687"/>
      <c r="AY40" s="1687"/>
      <c r="AZ40" s="1687"/>
      <c r="BA40" s="1687"/>
      <c r="BB40" s="1687"/>
      <c r="BC40" s="1687"/>
      <c r="BD40" s="1687"/>
      <c r="BE40" s="1687"/>
      <c r="BF40" s="252"/>
      <c r="BG40" s="311"/>
      <c r="BH40" s="252"/>
      <c r="BI40" s="487"/>
      <c r="BJ40" s="252"/>
      <c r="BK40" s="252"/>
      <c r="BL40" s="252"/>
      <c r="BM40" s="252"/>
      <c r="BN40" s="252"/>
      <c r="BO40" s="252"/>
      <c r="BP40" s="252"/>
      <c r="BQ40" s="252"/>
      <c r="BR40" s="252"/>
      <c r="BS40" s="252"/>
      <c r="BT40" s="252"/>
      <c r="BU40" s="252"/>
      <c r="BV40" s="252"/>
      <c r="BW40" s="252"/>
      <c r="BX40" s="252"/>
      <c r="BY40" s="252"/>
      <c r="BZ40" s="252"/>
      <c r="CA40" s="252"/>
      <c r="CB40" s="252"/>
      <c r="CC40" s="252"/>
      <c r="CD40" s="252"/>
      <c r="CE40" s="252"/>
      <c r="CF40" s="252"/>
      <c r="CG40" s="252"/>
      <c r="CH40" s="252"/>
      <c r="CI40" s="252"/>
      <c r="CJ40" s="252"/>
      <c r="CK40" s="252"/>
      <c r="CL40" s="252"/>
      <c r="CM40" s="252"/>
      <c r="CN40" s="252"/>
      <c r="CO40" s="252"/>
      <c r="CP40" s="252"/>
      <c r="CQ40" s="252"/>
      <c r="CR40" s="252"/>
      <c r="CS40" s="252"/>
      <c r="CT40" s="252"/>
      <c r="CU40" s="252"/>
      <c r="CV40" s="252"/>
      <c r="CW40" s="252"/>
      <c r="CX40" s="252"/>
      <c r="CY40" s="252"/>
      <c r="CZ40" s="252"/>
      <c r="DA40" s="252"/>
      <c r="DB40" s="252"/>
      <c r="DC40" s="252"/>
      <c r="DD40" s="252"/>
      <c r="DE40" s="252"/>
      <c r="DF40" s="252"/>
      <c r="DG40" s="252"/>
      <c r="DH40" s="252"/>
      <c r="DI40" s="252"/>
      <c r="DJ40" s="252"/>
      <c r="DK40" s="252"/>
      <c r="DL40" s="252"/>
      <c r="DM40" s="252"/>
      <c r="DN40" s="252"/>
      <c r="DO40" s="252"/>
      <c r="DP40" s="252"/>
      <c r="DQ40" s="252"/>
      <c r="DR40" s="252"/>
      <c r="DS40" s="252"/>
      <c r="DT40" s="252"/>
      <c r="DU40" s="252"/>
      <c r="DV40" s="488"/>
    </row>
    <row r="41" spans="2:126" x14ac:dyDescent="0.15">
      <c r="B41" s="312"/>
      <c r="C41" s="252"/>
      <c r="D41" s="252"/>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52"/>
      <c r="BG41" s="311"/>
      <c r="BH41" s="252"/>
      <c r="BI41" s="487"/>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52"/>
      <c r="DH41" s="252"/>
      <c r="DI41" s="252"/>
      <c r="DJ41" s="252"/>
      <c r="DK41" s="252"/>
      <c r="DL41" s="252"/>
      <c r="DM41" s="252"/>
      <c r="DN41" s="252"/>
      <c r="DO41" s="252"/>
      <c r="DP41" s="252"/>
      <c r="DQ41" s="252"/>
      <c r="DR41" s="252"/>
      <c r="DS41" s="252"/>
      <c r="DT41" s="252"/>
      <c r="DU41" s="252"/>
      <c r="DV41" s="488"/>
    </row>
    <row r="42" spans="2:126" x14ac:dyDescent="0.15">
      <c r="B42" s="312"/>
      <c r="C42" s="252"/>
      <c r="D42" s="252"/>
      <c r="E42" s="1687" t="s">
        <v>604</v>
      </c>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1687"/>
      <c r="AJ42" s="1687"/>
      <c r="AK42" s="1687"/>
      <c r="AL42" s="1687"/>
      <c r="AM42" s="1687"/>
      <c r="AN42" s="1687"/>
      <c r="AO42" s="1687"/>
      <c r="AP42" s="1687"/>
      <c r="AQ42" s="1687"/>
      <c r="AR42" s="1687"/>
      <c r="AS42" s="1687"/>
      <c r="AT42" s="1687"/>
      <c r="AU42" s="1687"/>
      <c r="AV42" s="1687"/>
      <c r="AW42" s="1687"/>
      <c r="AX42" s="1687"/>
      <c r="AY42" s="1687"/>
      <c r="AZ42" s="1687"/>
      <c r="BA42" s="1687"/>
      <c r="BB42" s="1687"/>
      <c r="BC42" s="1687"/>
      <c r="BD42" s="1687"/>
      <c r="BE42" s="1687"/>
      <c r="BF42" s="252"/>
      <c r="BG42" s="311"/>
      <c r="BH42" s="252"/>
      <c r="BI42" s="487"/>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c r="DM42" s="252"/>
      <c r="DN42" s="252"/>
      <c r="DO42" s="252"/>
      <c r="DP42" s="252"/>
      <c r="DQ42" s="252"/>
      <c r="DR42" s="252"/>
      <c r="DS42" s="252"/>
      <c r="DT42" s="252"/>
      <c r="DU42" s="252"/>
      <c r="DV42" s="488"/>
    </row>
    <row r="43" spans="2:126" x14ac:dyDescent="0.15">
      <c r="B43" s="312"/>
      <c r="C43" s="252"/>
      <c r="D43" s="252"/>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52"/>
      <c r="BG43" s="311"/>
      <c r="BH43" s="252"/>
      <c r="BI43" s="487"/>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c r="DM43" s="252"/>
      <c r="DN43" s="252"/>
      <c r="DO43" s="252"/>
      <c r="DP43" s="252"/>
      <c r="DQ43" s="252"/>
      <c r="DR43" s="252"/>
      <c r="DS43" s="252"/>
      <c r="DT43" s="252"/>
      <c r="DU43" s="252"/>
      <c r="DV43" s="488"/>
    </row>
    <row r="44" spans="2:126" ht="29.25" customHeight="1" x14ac:dyDescent="0.15">
      <c r="B44" s="312"/>
      <c r="C44" s="252"/>
      <c r="D44" s="252"/>
      <c r="E44" s="1687" t="s">
        <v>605</v>
      </c>
      <c r="F44" s="1687"/>
      <c r="G44" s="1687"/>
      <c r="H44" s="1687"/>
      <c r="I44" s="1687"/>
      <c r="J44" s="1687"/>
      <c r="K44" s="1687"/>
      <c r="L44" s="1687"/>
      <c r="M44" s="1687"/>
      <c r="N44" s="1687"/>
      <c r="O44" s="1687"/>
      <c r="P44" s="1687"/>
      <c r="Q44" s="1687"/>
      <c r="R44" s="1687"/>
      <c r="S44" s="1687"/>
      <c r="T44" s="1687"/>
      <c r="U44" s="1687"/>
      <c r="V44" s="1687"/>
      <c r="W44" s="1687"/>
      <c r="X44" s="1687"/>
      <c r="Y44" s="1687"/>
      <c r="Z44" s="1687"/>
      <c r="AA44" s="1687"/>
      <c r="AB44" s="1687"/>
      <c r="AC44" s="1687"/>
      <c r="AD44" s="1687"/>
      <c r="AE44" s="1687"/>
      <c r="AF44" s="1687"/>
      <c r="AG44" s="1687"/>
      <c r="AH44" s="1687"/>
      <c r="AI44" s="1687"/>
      <c r="AJ44" s="1687"/>
      <c r="AK44" s="1687"/>
      <c r="AL44" s="1687"/>
      <c r="AM44" s="1687"/>
      <c r="AN44" s="1687"/>
      <c r="AO44" s="1687"/>
      <c r="AP44" s="1687"/>
      <c r="AQ44" s="1687"/>
      <c r="AR44" s="1687"/>
      <c r="AS44" s="1687"/>
      <c r="AT44" s="1687"/>
      <c r="AU44" s="1687"/>
      <c r="AV44" s="1687"/>
      <c r="AW44" s="1687"/>
      <c r="AX44" s="1687"/>
      <c r="AY44" s="1687"/>
      <c r="AZ44" s="1687"/>
      <c r="BA44" s="1687"/>
      <c r="BB44" s="1687"/>
      <c r="BC44" s="1687"/>
      <c r="BD44" s="1687"/>
      <c r="BE44" s="1687"/>
      <c r="BF44" s="252"/>
      <c r="BG44" s="311"/>
      <c r="BH44" s="252"/>
      <c r="BI44" s="487"/>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c r="DM44" s="252"/>
      <c r="DN44" s="252"/>
      <c r="DO44" s="252"/>
      <c r="DP44" s="252"/>
      <c r="DQ44" s="252"/>
      <c r="DR44" s="252"/>
      <c r="DS44" s="252"/>
      <c r="DT44" s="252"/>
      <c r="DU44" s="252"/>
      <c r="DV44" s="488"/>
    </row>
    <row r="45" spans="2:126" ht="29.25" customHeight="1" x14ac:dyDescent="0.15">
      <c r="B45" s="312"/>
      <c r="C45" s="252"/>
      <c r="D45" s="252"/>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52"/>
      <c r="BG45" s="311"/>
      <c r="BH45" s="252"/>
      <c r="BI45" s="487"/>
      <c r="BJ45" s="252"/>
      <c r="BK45" s="252"/>
      <c r="BL45" s="252"/>
      <c r="BM45" s="252"/>
      <c r="BN45" s="252"/>
      <c r="BO45" s="252"/>
      <c r="BP45" s="252"/>
      <c r="BQ45" s="252"/>
      <c r="BR45" s="252"/>
      <c r="BS45" s="252"/>
      <c r="BT45" s="252"/>
      <c r="BU45" s="252"/>
      <c r="BV45" s="252"/>
      <c r="BW45" s="252"/>
      <c r="BX45" s="252"/>
      <c r="BY45" s="252"/>
      <c r="BZ45" s="252"/>
      <c r="CA45" s="252"/>
      <c r="CB45" s="252"/>
      <c r="CC45" s="252"/>
      <c r="CD45" s="252"/>
      <c r="CE45" s="252"/>
      <c r="CF45" s="252"/>
      <c r="CG45" s="252"/>
      <c r="CH45" s="252"/>
      <c r="CI45" s="252"/>
      <c r="CJ45" s="252"/>
      <c r="CK45" s="252"/>
      <c r="CL45" s="252"/>
      <c r="CM45" s="252"/>
      <c r="CN45" s="252"/>
      <c r="CO45" s="252"/>
      <c r="CP45" s="252"/>
      <c r="CQ45" s="252"/>
      <c r="CR45" s="252"/>
      <c r="CS45" s="252"/>
      <c r="CT45" s="252"/>
      <c r="CU45" s="252"/>
      <c r="CV45" s="252"/>
      <c r="CW45" s="252"/>
      <c r="CX45" s="252"/>
      <c r="CY45" s="252"/>
      <c r="CZ45" s="252"/>
      <c r="DA45" s="252"/>
      <c r="DB45" s="252"/>
      <c r="DC45" s="252"/>
      <c r="DD45" s="252"/>
      <c r="DE45" s="252"/>
      <c r="DF45" s="252"/>
      <c r="DG45" s="252"/>
      <c r="DH45" s="252"/>
      <c r="DI45" s="252"/>
      <c r="DJ45" s="252"/>
      <c r="DK45" s="252"/>
      <c r="DL45" s="252"/>
      <c r="DM45" s="252"/>
      <c r="DN45" s="252"/>
      <c r="DO45" s="252"/>
      <c r="DP45" s="252"/>
      <c r="DQ45" s="252"/>
      <c r="DR45" s="252"/>
      <c r="DS45" s="252"/>
      <c r="DT45" s="252"/>
      <c r="DU45" s="252"/>
      <c r="DV45" s="488"/>
    </row>
    <row r="46" spans="2:126" ht="41.25" customHeight="1" x14ac:dyDescent="0.15">
      <c r="B46" s="312"/>
      <c r="C46" s="252"/>
      <c r="D46" s="252"/>
      <c r="E46" s="1687" t="s">
        <v>606</v>
      </c>
      <c r="F46" s="1687"/>
      <c r="G46" s="1687"/>
      <c r="H46" s="1687"/>
      <c r="I46" s="1687"/>
      <c r="J46" s="1687"/>
      <c r="K46" s="1687"/>
      <c r="L46" s="1687"/>
      <c r="M46" s="1687"/>
      <c r="N46" s="1687"/>
      <c r="O46" s="1687"/>
      <c r="P46" s="1687"/>
      <c r="Q46" s="1687"/>
      <c r="R46" s="1687"/>
      <c r="S46" s="1687"/>
      <c r="T46" s="1687"/>
      <c r="U46" s="1687"/>
      <c r="V46" s="1687"/>
      <c r="W46" s="1687"/>
      <c r="X46" s="1687"/>
      <c r="Y46" s="1687"/>
      <c r="Z46" s="1687"/>
      <c r="AA46" s="1687"/>
      <c r="AB46" s="1687"/>
      <c r="AC46" s="1687"/>
      <c r="AD46" s="1687"/>
      <c r="AE46" s="1687"/>
      <c r="AF46" s="1687"/>
      <c r="AG46" s="1687"/>
      <c r="AH46" s="1687"/>
      <c r="AI46" s="1687"/>
      <c r="AJ46" s="1687"/>
      <c r="AK46" s="1687"/>
      <c r="AL46" s="1687"/>
      <c r="AM46" s="1687"/>
      <c r="AN46" s="1687"/>
      <c r="AO46" s="1687"/>
      <c r="AP46" s="1687"/>
      <c r="AQ46" s="1687"/>
      <c r="AR46" s="1687"/>
      <c r="AS46" s="1687"/>
      <c r="AT46" s="1687"/>
      <c r="AU46" s="1687"/>
      <c r="AV46" s="1687"/>
      <c r="AW46" s="1687"/>
      <c r="AX46" s="1687"/>
      <c r="AY46" s="1687"/>
      <c r="AZ46" s="1687"/>
      <c r="BA46" s="1687"/>
      <c r="BB46" s="1687"/>
      <c r="BC46" s="1687"/>
      <c r="BD46" s="1687"/>
      <c r="BE46" s="1687"/>
      <c r="BF46" s="252"/>
      <c r="BG46" s="311"/>
      <c r="BH46" s="252"/>
      <c r="BI46" s="487"/>
      <c r="BJ46" s="252"/>
      <c r="BK46" s="252"/>
      <c r="BL46" s="252"/>
      <c r="BM46" s="252"/>
      <c r="BN46" s="252"/>
      <c r="BO46" s="252"/>
      <c r="BP46" s="252"/>
      <c r="BQ46" s="252"/>
      <c r="BR46" s="252"/>
      <c r="BS46" s="252"/>
      <c r="BT46" s="252"/>
      <c r="BU46" s="252"/>
      <c r="BV46" s="252"/>
      <c r="BW46" s="252"/>
      <c r="BX46" s="252"/>
      <c r="BY46" s="252"/>
      <c r="BZ46" s="252"/>
      <c r="CA46" s="252"/>
      <c r="CB46" s="252"/>
      <c r="CC46" s="252"/>
      <c r="CD46" s="252"/>
      <c r="CE46" s="252"/>
      <c r="CF46" s="252"/>
      <c r="CG46" s="252"/>
      <c r="CH46" s="252"/>
      <c r="CI46" s="252"/>
      <c r="CJ46" s="252"/>
      <c r="CK46" s="252"/>
      <c r="CL46" s="252"/>
      <c r="CM46" s="252"/>
      <c r="CN46" s="252"/>
      <c r="CO46" s="252"/>
      <c r="CP46" s="252"/>
      <c r="CQ46" s="252"/>
      <c r="CR46" s="252"/>
      <c r="CS46" s="252"/>
      <c r="CT46" s="252"/>
      <c r="CU46" s="252"/>
      <c r="CV46" s="252"/>
      <c r="CW46" s="252"/>
      <c r="CX46" s="252"/>
      <c r="CY46" s="252"/>
      <c r="CZ46" s="252"/>
      <c r="DA46" s="252"/>
      <c r="DB46" s="252"/>
      <c r="DC46" s="252"/>
      <c r="DD46" s="252"/>
      <c r="DE46" s="252"/>
      <c r="DF46" s="252"/>
      <c r="DG46" s="252"/>
      <c r="DH46" s="252"/>
      <c r="DI46" s="252"/>
      <c r="DJ46" s="252"/>
      <c r="DK46" s="252"/>
      <c r="DL46" s="252"/>
      <c r="DM46" s="252"/>
      <c r="DN46" s="252"/>
      <c r="DO46" s="252"/>
      <c r="DP46" s="252"/>
      <c r="DQ46" s="252"/>
      <c r="DR46" s="252"/>
      <c r="DS46" s="252"/>
      <c r="DT46" s="252"/>
      <c r="DU46" s="252"/>
      <c r="DV46" s="488"/>
    </row>
    <row r="47" spans="2:126" x14ac:dyDescent="0.15">
      <c r="B47" s="312"/>
      <c r="C47" s="252"/>
      <c r="D47" s="252"/>
      <c r="E47" s="1163"/>
      <c r="F47" s="1163"/>
      <c r="G47" s="1163"/>
      <c r="H47" s="1163"/>
      <c r="I47" s="1163"/>
      <c r="J47" s="1163"/>
      <c r="K47" s="1163"/>
      <c r="L47" s="1163"/>
      <c r="M47" s="1163"/>
      <c r="N47" s="1163"/>
      <c r="O47" s="1163"/>
      <c r="P47" s="1163"/>
      <c r="Q47" s="1163"/>
      <c r="R47" s="1163"/>
      <c r="S47" s="1163"/>
      <c r="T47" s="1163"/>
      <c r="U47" s="1163"/>
      <c r="V47" s="1163"/>
      <c r="W47" s="1163"/>
      <c r="X47" s="1163"/>
      <c r="Y47" s="1163"/>
      <c r="Z47" s="1163"/>
      <c r="AA47" s="1163"/>
      <c r="AB47" s="1163"/>
      <c r="AC47" s="1163"/>
      <c r="AD47" s="1163"/>
      <c r="AE47" s="1163"/>
      <c r="AF47" s="1163"/>
      <c r="AG47" s="1163"/>
      <c r="AH47" s="1163"/>
      <c r="AI47" s="1163"/>
      <c r="AJ47" s="1163"/>
      <c r="AK47" s="1163"/>
      <c r="AL47" s="1163"/>
      <c r="AM47" s="1163"/>
      <c r="AN47" s="1163"/>
      <c r="AO47" s="1163"/>
      <c r="AP47" s="1163"/>
      <c r="AQ47" s="1163"/>
      <c r="AR47" s="1163"/>
      <c r="AS47" s="1163"/>
      <c r="AT47" s="1163"/>
      <c r="AU47" s="1163"/>
      <c r="AV47" s="1163"/>
      <c r="AW47" s="1163"/>
      <c r="AX47" s="1163"/>
      <c r="AY47" s="1163"/>
      <c r="AZ47" s="1163"/>
      <c r="BA47" s="1163"/>
      <c r="BB47" s="1163"/>
      <c r="BC47" s="1163"/>
      <c r="BD47" s="1163"/>
      <c r="BE47" s="1163"/>
      <c r="BF47" s="252"/>
      <c r="BG47" s="311"/>
      <c r="BH47" s="252"/>
      <c r="BI47" s="487"/>
      <c r="BJ47" s="252"/>
      <c r="BK47" s="252"/>
      <c r="BL47" s="252"/>
      <c r="BM47" s="252"/>
      <c r="BN47" s="252"/>
      <c r="BO47" s="252"/>
      <c r="BP47" s="252"/>
      <c r="BQ47" s="252"/>
      <c r="BR47" s="252"/>
      <c r="BS47" s="252"/>
      <c r="BT47" s="252"/>
      <c r="BU47" s="252"/>
      <c r="BV47" s="252"/>
      <c r="BW47" s="252"/>
      <c r="BX47" s="252"/>
      <c r="BY47" s="252"/>
      <c r="BZ47" s="252"/>
      <c r="CA47" s="252"/>
      <c r="CB47" s="252"/>
      <c r="CC47" s="252"/>
      <c r="CD47" s="252"/>
      <c r="CE47" s="252"/>
      <c r="CF47" s="252"/>
      <c r="CG47" s="252"/>
      <c r="CH47" s="252"/>
      <c r="CI47" s="252"/>
      <c r="CJ47" s="252"/>
      <c r="CK47" s="252"/>
      <c r="CL47" s="252"/>
      <c r="CM47" s="252"/>
      <c r="CN47" s="252"/>
      <c r="CO47" s="252"/>
      <c r="CP47" s="252"/>
      <c r="CQ47" s="252"/>
      <c r="CR47" s="252"/>
      <c r="CS47" s="252"/>
      <c r="CT47" s="252"/>
      <c r="CU47" s="252"/>
      <c r="CV47" s="252"/>
      <c r="CW47" s="252"/>
      <c r="CX47" s="252"/>
      <c r="CY47" s="252"/>
      <c r="CZ47" s="252"/>
      <c r="DA47" s="252"/>
      <c r="DB47" s="252"/>
      <c r="DC47" s="252"/>
      <c r="DD47" s="252"/>
      <c r="DE47" s="252"/>
      <c r="DF47" s="252"/>
      <c r="DG47" s="252"/>
      <c r="DH47" s="252"/>
      <c r="DI47" s="252"/>
      <c r="DJ47" s="252"/>
      <c r="DK47" s="252"/>
      <c r="DL47" s="252"/>
      <c r="DM47" s="252"/>
      <c r="DN47" s="252"/>
      <c r="DO47" s="252"/>
      <c r="DP47" s="252"/>
      <c r="DQ47" s="252"/>
      <c r="DR47" s="252"/>
      <c r="DS47" s="252"/>
      <c r="DT47" s="252"/>
      <c r="DU47" s="252"/>
      <c r="DV47" s="488"/>
    </row>
    <row r="48" spans="2:126" x14ac:dyDescent="0.15">
      <c r="B48" s="1673" t="s">
        <v>842</v>
      </c>
      <c r="C48" s="1674"/>
      <c r="D48" s="1674"/>
      <c r="E48" s="1674"/>
      <c r="F48" s="1674"/>
      <c r="G48" s="1674"/>
      <c r="H48" s="1674"/>
      <c r="I48" s="1674"/>
      <c r="J48" s="1674"/>
      <c r="K48" s="1674"/>
      <c r="L48" s="1674"/>
      <c r="M48" s="1674"/>
      <c r="N48" s="1674"/>
      <c r="O48" s="1674"/>
      <c r="P48" s="1674"/>
      <c r="Q48" s="1674"/>
      <c r="R48" s="1674"/>
      <c r="S48" s="1674"/>
      <c r="T48" s="1674"/>
      <c r="U48" s="1674"/>
      <c r="V48" s="1674"/>
      <c r="W48" s="1674"/>
      <c r="X48" s="1674"/>
      <c r="Y48" s="1674"/>
      <c r="Z48" s="1674"/>
      <c r="AA48" s="1674"/>
      <c r="AB48" s="1674"/>
      <c r="AC48" s="1674"/>
      <c r="AD48" s="1674"/>
      <c r="AE48" s="1674"/>
      <c r="AF48" s="1674"/>
      <c r="AG48" s="1674"/>
      <c r="AH48" s="1674"/>
      <c r="AI48" s="1674"/>
      <c r="AJ48" s="1674"/>
      <c r="AK48" s="1674"/>
      <c r="AL48" s="1674"/>
      <c r="AM48" s="1674"/>
      <c r="AN48" s="1674"/>
      <c r="AO48" s="1674"/>
      <c r="AP48" s="1674"/>
      <c r="AQ48" s="1674"/>
      <c r="AR48" s="1674"/>
      <c r="AS48" s="1674"/>
      <c r="AT48" s="1674"/>
      <c r="AU48" s="1674"/>
      <c r="AV48" s="1674"/>
      <c r="AW48" s="1674"/>
      <c r="AX48" s="1674"/>
      <c r="AY48" s="1674"/>
      <c r="AZ48" s="1674"/>
      <c r="BA48" s="1674"/>
      <c r="BB48" s="1674"/>
      <c r="BC48" s="1674"/>
      <c r="BD48" s="1674"/>
      <c r="BE48" s="1674"/>
      <c r="BF48" s="1674"/>
      <c r="BG48" s="1675"/>
      <c r="BH48" s="265"/>
      <c r="BI48" s="487"/>
      <c r="BJ48" s="252"/>
      <c r="BK48" s="252"/>
      <c r="BL48" s="252"/>
      <c r="BM48" s="252"/>
      <c r="BN48" s="252"/>
      <c r="BO48" s="252"/>
      <c r="BP48" s="252"/>
      <c r="BQ48" s="252"/>
      <c r="BR48" s="252"/>
      <c r="BS48" s="252"/>
      <c r="BT48" s="252"/>
      <c r="BU48" s="252"/>
      <c r="BV48" s="252"/>
      <c r="BW48" s="252"/>
      <c r="BX48" s="252"/>
      <c r="BY48" s="252"/>
      <c r="BZ48" s="252"/>
      <c r="CA48" s="252"/>
      <c r="CB48" s="252"/>
      <c r="CC48" s="252"/>
      <c r="CD48" s="252"/>
      <c r="CE48" s="252"/>
      <c r="CF48" s="252"/>
      <c r="CG48" s="252"/>
      <c r="CH48" s="252"/>
      <c r="CI48" s="252"/>
      <c r="CJ48" s="252"/>
      <c r="CK48" s="252"/>
      <c r="CL48" s="252"/>
      <c r="CM48" s="252"/>
      <c r="CN48" s="252"/>
      <c r="CO48" s="252"/>
      <c r="CP48" s="252"/>
      <c r="CQ48" s="252"/>
      <c r="CR48" s="252"/>
      <c r="CS48" s="252"/>
      <c r="CT48" s="252"/>
      <c r="CU48" s="252"/>
      <c r="CV48" s="252"/>
      <c r="CW48" s="252"/>
      <c r="CX48" s="252"/>
      <c r="CY48" s="252"/>
      <c r="CZ48" s="252"/>
      <c r="DA48" s="252"/>
      <c r="DB48" s="252"/>
      <c r="DC48" s="252"/>
      <c r="DD48" s="252"/>
      <c r="DE48" s="252"/>
      <c r="DF48" s="252"/>
      <c r="DG48" s="252"/>
      <c r="DH48" s="252"/>
      <c r="DI48" s="252"/>
      <c r="DJ48" s="252"/>
      <c r="DK48" s="252"/>
      <c r="DL48" s="252"/>
      <c r="DM48" s="252"/>
      <c r="DN48" s="252"/>
      <c r="DO48" s="252"/>
      <c r="DP48" s="252"/>
      <c r="DQ48" s="252"/>
      <c r="DR48" s="252"/>
      <c r="DS48" s="252"/>
      <c r="DT48" s="252"/>
      <c r="DU48" s="252"/>
      <c r="DV48" s="488"/>
    </row>
    <row r="49" spans="2:126" x14ac:dyDescent="0.15">
      <c r="B49" s="306"/>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c r="AJ49" s="307"/>
      <c r="AK49" s="307"/>
      <c r="AL49" s="307"/>
      <c r="AM49" s="307"/>
      <c r="AN49" s="307"/>
      <c r="AO49" s="307"/>
      <c r="AP49" s="307"/>
      <c r="AQ49" s="307"/>
      <c r="AR49" s="307"/>
      <c r="AS49" s="307"/>
      <c r="AT49" s="307"/>
      <c r="AU49" s="307"/>
      <c r="AV49" s="307"/>
      <c r="AW49" s="307"/>
      <c r="AX49" s="307"/>
      <c r="AY49" s="307"/>
      <c r="AZ49" s="307"/>
      <c r="BA49" s="307"/>
      <c r="BB49" s="307"/>
      <c r="BC49" s="307"/>
      <c r="BD49" s="307"/>
      <c r="BE49" s="307"/>
      <c r="BF49" s="307"/>
      <c r="BG49" s="313"/>
      <c r="BH49" s="251"/>
      <c r="BI49" s="487"/>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c r="DM49" s="252"/>
      <c r="DN49" s="252"/>
      <c r="DO49" s="252"/>
      <c r="DP49" s="252"/>
      <c r="DQ49" s="252"/>
      <c r="DR49" s="252"/>
      <c r="DS49" s="252"/>
      <c r="DT49" s="252"/>
      <c r="DU49" s="252"/>
      <c r="DV49" s="488"/>
    </row>
    <row r="50" spans="2:126" ht="18" x14ac:dyDescent="0.2">
      <c r="B50" s="310"/>
      <c r="C50" s="1690" t="s">
        <v>885</v>
      </c>
      <c r="D50" s="1690"/>
      <c r="E50" s="1690"/>
      <c r="F50" s="1690"/>
      <c r="G50" s="1690"/>
      <c r="H50" s="1690"/>
      <c r="I50" s="1690"/>
      <c r="J50" s="1690"/>
      <c r="K50" s="1690"/>
      <c r="L50" s="1690"/>
      <c r="M50" s="1690"/>
      <c r="N50" s="1690"/>
      <c r="O50" s="1690"/>
      <c r="P50" s="1690"/>
      <c r="Q50" s="1690"/>
      <c r="R50" s="1690"/>
      <c r="S50" s="1690"/>
      <c r="T50" s="1690"/>
      <c r="U50" s="1690"/>
      <c r="V50" s="1690"/>
      <c r="W50" s="1690"/>
      <c r="X50" s="1690"/>
      <c r="Y50" s="1690"/>
      <c r="Z50" s="1690"/>
      <c r="AA50" s="1690"/>
      <c r="AB50" s="1690"/>
      <c r="AC50" s="1690"/>
      <c r="AD50" s="1690"/>
      <c r="AE50" s="1690"/>
      <c r="AF50" s="1690"/>
      <c r="AG50" s="1690"/>
      <c r="AH50" s="1690"/>
      <c r="AI50" s="1690"/>
      <c r="AJ50" s="1690"/>
      <c r="AK50" s="1690"/>
      <c r="AL50" s="1690"/>
      <c r="AM50" s="1690"/>
      <c r="AN50" s="1690"/>
      <c r="AO50" s="1690"/>
      <c r="AP50" s="1690"/>
      <c r="AQ50" s="1690"/>
      <c r="AR50" s="1690"/>
      <c r="AS50" s="1690"/>
      <c r="AT50" s="1690"/>
      <c r="AU50" s="1690"/>
      <c r="AV50" s="1690"/>
      <c r="AW50" s="1690"/>
      <c r="AX50" s="1690"/>
      <c r="AY50" s="1690"/>
      <c r="AZ50" s="1690"/>
      <c r="BA50" s="1690"/>
      <c r="BB50" s="1690"/>
      <c r="BC50" s="1690"/>
      <c r="BD50" s="1690"/>
      <c r="BE50" s="1690"/>
      <c r="BF50" s="1690"/>
      <c r="BG50" s="433"/>
      <c r="BH50" s="251"/>
      <c r="BI50" s="487"/>
      <c r="BJ50" s="252"/>
      <c r="BK50" s="252"/>
      <c r="BL50" s="252"/>
      <c r="BM50" s="252"/>
      <c r="BN50" s="252"/>
      <c r="BO50" s="252"/>
      <c r="BP50" s="252"/>
      <c r="BQ50" s="252"/>
      <c r="BR50" s="252"/>
      <c r="BS50" s="252"/>
      <c r="BT50" s="252"/>
      <c r="BU50" s="252"/>
      <c r="BV50" s="252"/>
      <c r="BW50" s="252"/>
      <c r="BX50" s="252"/>
      <c r="BY50" s="252"/>
      <c r="BZ50" s="252"/>
      <c r="CA50" s="252"/>
      <c r="CB50" s="252"/>
      <c r="CC50" s="252"/>
      <c r="CD50" s="252"/>
      <c r="CE50" s="252"/>
      <c r="CF50" s="252"/>
      <c r="CG50" s="252"/>
      <c r="CH50" s="252"/>
      <c r="CI50" s="252"/>
      <c r="CJ50" s="252"/>
      <c r="CK50" s="252"/>
      <c r="CL50" s="252"/>
      <c r="CM50" s="252"/>
      <c r="CN50" s="252"/>
      <c r="CO50" s="252"/>
      <c r="CP50" s="252"/>
      <c r="CQ50" s="252"/>
      <c r="CR50" s="252"/>
      <c r="CS50" s="252"/>
      <c r="CT50" s="252"/>
      <c r="CU50" s="252"/>
      <c r="CV50" s="252"/>
      <c r="CW50" s="252"/>
      <c r="CX50" s="252"/>
      <c r="CY50" s="252"/>
      <c r="CZ50" s="252"/>
      <c r="DA50" s="252"/>
      <c r="DB50" s="252"/>
      <c r="DC50" s="252"/>
      <c r="DD50" s="252"/>
      <c r="DE50" s="252"/>
      <c r="DF50" s="252"/>
      <c r="DG50" s="252"/>
      <c r="DH50" s="252"/>
      <c r="DI50" s="252"/>
      <c r="DJ50" s="252"/>
      <c r="DK50" s="252"/>
      <c r="DL50" s="252"/>
      <c r="DM50" s="252"/>
      <c r="DN50" s="252"/>
      <c r="DO50" s="252"/>
      <c r="DP50" s="252"/>
      <c r="DQ50" s="252"/>
      <c r="DR50" s="252"/>
      <c r="DS50" s="252"/>
      <c r="DT50" s="252"/>
      <c r="DU50" s="252"/>
      <c r="DV50" s="488"/>
    </row>
    <row r="51" spans="2:126" x14ac:dyDescent="0.15">
      <c r="B51" s="310"/>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433"/>
      <c r="BH51" s="251"/>
      <c r="BI51" s="487"/>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252"/>
      <c r="CM51" s="252"/>
      <c r="CN51" s="252"/>
      <c r="CO51" s="252"/>
      <c r="CP51" s="252"/>
      <c r="CQ51" s="252"/>
      <c r="CR51" s="252"/>
      <c r="CS51" s="252"/>
      <c r="CT51" s="252"/>
      <c r="CU51" s="252"/>
      <c r="CV51" s="252"/>
      <c r="CW51" s="252"/>
      <c r="CX51" s="252"/>
      <c r="CY51" s="252"/>
      <c r="CZ51" s="252"/>
      <c r="DA51" s="252"/>
      <c r="DB51" s="252"/>
      <c r="DC51" s="252"/>
      <c r="DD51" s="252"/>
      <c r="DE51" s="252"/>
      <c r="DF51" s="252"/>
      <c r="DG51" s="252"/>
      <c r="DH51" s="252"/>
      <c r="DI51" s="252"/>
      <c r="DJ51" s="252"/>
      <c r="DK51" s="252"/>
      <c r="DL51" s="252"/>
      <c r="DM51" s="252"/>
      <c r="DN51" s="252"/>
      <c r="DO51" s="252"/>
      <c r="DP51" s="252"/>
      <c r="DQ51" s="252"/>
      <c r="DR51" s="252"/>
      <c r="DS51" s="252"/>
      <c r="DT51" s="252"/>
      <c r="DU51" s="252"/>
      <c r="DV51" s="488"/>
    </row>
    <row r="52" spans="2:126" x14ac:dyDescent="0.15">
      <c r="B52" s="312"/>
      <c r="C52" s="1688" t="s">
        <v>607</v>
      </c>
      <c r="D52" s="1688"/>
      <c r="E52" s="1688"/>
      <c r="F52" s="1688"/>
      <c r="G52" s="1688"/>
      <c r="H52" s="1688"/>
      <c r="I52" s="1688"/>
      <c r="J52" s="1688"/>
      <c r="K52" s="1688"/>
      <c r="L52" s="1688"/>
      <c r="M52" s="1688"/>
      <c r="N52" s="1688"/>
      <c r="O52" s="1688"/>
      <c r="P52" s="1688"/>
      <c r="Q52" s="1688"/>
      <c r="R52" s="1688"/>
      <c r="S52" s="1688"/>
      <c r="T52" s="1688"/>
      <c r="U52" s="1688"/>
      <c r="V52" s="1688"/>
      <c r="W52" s="1688"/>
      <c r="X52" s="1688"/>
      <c r="Y52" s="1688"/>
      <c r="Z52" s="1688"/>
      <c r="AA52" s="1688"/>
      <c r="AB52" s="1688"/>
      <c r="AC52" s="1688"/>
      <c r="AD52" s="1688"/>
      <c r="AE52" s="1688"/>
      <c r="AF52" s="1688"/>
      <c r="AG52" s="1688"/>
      <c r="AH52" s="1688"/>
      <c r="AI52" s="1688"/>
      <c r="AJ52" s="1688"/>
      <c r="AK52" s="1688"/>
      <c r="AL52" s="1688"/>
      <c r="AM52" s="1688"/>
      <c r="AN52" s="1688"/>
      <c r="AO52" s="1688"/>
      <c r="AP52" s="1688"/>
      <c r="AQ52" s="1688"/>
      <c r="AR52" s="1688"/>
      <c r="AS52" s="1688"/>
      <c r="AT52" s="1688"/>
      <c r="AU52" s="1688"/>
      <c r="AV52" s="1688"/>
      <c r="AW52" s="1688"/>
      <c r="AX52" s="1688"/>
      <c r="AY52" s="1688"/>
      <c r="AZ52" s="1688"/>
      <c r="BA52" s="1688"/>
      <c r="BB52" s="1688"/>
      <c r="BC52" s="1688"/>
      <c r="BD52" s="1688"/>
      <c r="BE52" s="1688"/>
      <c r="BF52" s="1688"/>
      <c r="BG52" s="1689"/>
      <c r="BH52" s="261"/>
      <c r="BI52" s="487"/>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252"/>
      <c r="CM52" s="252"/>
      <c r="CN52" s="252"/>
      <c r="CO52" s="252"/>
      <c r="CP52" s="252"/>
      <c r="CQ52" s="252"/>
      <c r="CR52" s="252"/>
      <c r="CS52" s="252"/>
      <c r="CT52" s="252"/>
      <c r="CU52" s="252"/>
      <c r="CV52" s="252"/>
      <c r="CW52" s="252"/>
      <c r="CX52" s="252"/>
      <c r="CY52" s="252"/>
      <c r="CZ52" s="252"/>
      <c r="DA52" s="252"/>
      <c r="DB52" s="252"/>
      <c r="DC52" s="252"/>
      <c r="DD52" s="252"/>
      <c r="DE52" s="252"/>
      <c r="DF52" s="252"/>
      <c r="DG52" s="252"/>
      <c r="DH52" s="252"/>
      <c r="DI52" s="252"/>
      <c r="DJ52" s="252"/>
      <c r="DK52" s="252"/>
      <c r="DL52" s="252"/>
      <c r="DM52" s="252"/>
      <c r="DN52" s="252"/>
      <c r="DO52" s="252"/>
      <c r="DP52" s="252"/>
      <c r="DQ52" s="252"/>
      <c r="DR52" s="252"/>
      <c r="DS52" s="252"/>
      <c r="DT52" s="252"/>
      <c r="DU52" s="252"/>
      <c r="DV52" s="488"/>
    </row>
    <row r="53" spans="2:126" ht="29.25" customHeight="1" x14ac:dyDescent="0.15">
      <c r="B53" s="312"/>
      <c r="C53" s="1686" t="str">
        <f>+IF(B2="MFB NHP Fix Lízing Refinanszírozási Program","","– a kiválasztott Program keretében nyújtott kedvezményes kamatozású kölcsön az Európai Unió működéséről szóló szerződés 107. cikkének (1) bekezdése szerinti állami támogatásnak minősül,")</f>
        <v>– a kiválasztott Program keretében nyújtott kedvezményes kamatozású kölcsön az Európai Unió működéséről szóló szerződés 107. cikkének (1) bekezdése szerinti állami támogatásnak minősül,</v>
      </c>
      <c r="D53" s="1686"/>
      <c r="E53" s="1686"/>
      <c r="F53" s="1686"/>
      <c r="G53" s="1686"/>
      <c r="H53" s="1686"/>
      <c r="I53" s="1686"/>
      <c r="J53" s="1686"/>
      <c r="K53" s="1686"/>
      <c r="L53" s="1686"/>
      <c r="M53" s="1686"/>
      <c r="N53" s="1686"/>
      <c r="O53" s="1686"/>
      <c r="P53" s="1686"/>
      <c r="Q53" s="1686"/>
      <c r="R53" s="1686"/>
      <c r="S53" s="1686"/>
      <c r="T53" s="1686"/>
      <c r="U53" s="1686"/>
      <c r="V53" s="1686"/>
      <c r="W53" s="1686"/>
      <c r="X53" s="1686"/>
      <c r="Y53" s="1686"/>
      <c r="Z53" s="1686"/>
      <c r="AA53" s="1686"/>
      <c r="AB53" s="1686"/>
      <c r="AC53" s="1686"/>
      <c r="AD53" s="1686"/>
      <c r="AE53" s="1686"/>
      <c r="AF53" s="1686"/>
      <c r="AG53" s="1686"/>
      <c r="AH53" s="1686"/>
      <c r="AI53" s="1686"/>
      <c r="AJ53" s="1686"/>
      <c r="AK53" s="1686"/>
      <c r="AL53" s="1686"/>
      <c r="AM53" s="1686"/>
      <c r="AN53" s="1686"/>
      <c r="AO53" s="1686"/>
      <c r="AP53" s="1686"/>
      <c r="AQ53" s="1686"/>
      <c r="AR53" s="1686"/>
      <c r="AS53" s="1686"/>
      <c r="AT53" s="1686"/>
      <c r="AU53" s="1686"/>
      <c r="AV53" s="1686"/>
      <c r="AW53" s="1686"/>
      <c r="AX53" s="1686"/>
      <c r="AY53" s="1686"/>
      <c r="AZ53" s="1686"/>
      <c r="BA53" s="1686"/>
      <c r="BB53" s="1686"/>
      <c r="BC53" s="1686"/>
      <c r="BD53" s="1686"/>
      <c r="BE53" s="1686"/>
      <c r="BF53" s="1686"/>
      <c r="BG53" s="508"/>
      <c r="BH53" s="263"/>
      <c r="BI53" s="487"/>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c r="DM53" s="252"/>
      <c r="DN53" s="252"/>
      <c r="DO53" s="252"/>
      <c r="DP53" s="252"/>
      <c r="DQ53" s="252"/>
      <c r="DR53" s="252"/>
      <c r="DS53" s="252"/>
      <c r="DT53" s="252"/>
      <c r="DU53" s="252"/>
      <c r="DV53" s="488"/>
    </row>
    <row r="54" spans="2:126" x14ac:dyDescent="0.15">
      <c r="B54" s="312"/>
      <c r="C54" s="1686" t="str">
        <f>+IF(B2="MFB NHP Fix Lízing Refinanszírozási Program","–  jogszabályban előírt speciális nyilvántartási és adatszolgáltatási kötelezettség terhel,","–  a kedvezményes kamatú kölcsön miatt, mint kedvezményezettet, jogszabályban előírt speciális nyilvántartási és adatszolgáltatási kötelezettség terhel,")</f>
        <v>–  a kedvezményes kamatú kölcsön miatt, mint kedvezményezettet, jogszabályban előírt speciális nyilvántartási és adatszolgáltatási kötelezettség terhel,</v>
      </c>
      <c r="D54" s="1686"/>
      <c r="E54" s="1686"/>
      <c r="F54" s="1686"/>
      <c r="G54" s="1686"/>
      <c r="H54" s="1686"/>
      <c r="I54" s="1686"/>
      <c r="J54" s="1686"/>
      <c r="K54" s="1686"/>
      <c r="L54" s="1686"/>
      <c r="M54" s="1686"/>
      <c r="N54" s="1686"/>
      <c r="O54" s="1686"/>
      <c r="P54" s="1686"/>
      <c r="Q54" s="1686"/>
      <c r="R54" s="1686"/>
      <c r="S54" s="1686"/>
      <c r="T54" s="1686"/>
      <c r="U54" s="1686"/>
      <c r="V54" s="1686"/>
      <c r="W54" s="1686"/>
      <c r="X54" s="1686"/>
      <c r="Y54" s="1686"/>
      <c r="Z54" s="1686"/>
      <c r="AA54" s="1686"/>
      <c r="AB54" s="1686"/>
      <c r="AC54" s="1686"/>
      <c r="AD54" s="1686"/>
      <c r="AE54" s="1686"/>
      <c r="AF54" s="1686"/>
      <c r="AG54" s="1686"/>
      <c r="AH54" s="1686"/>
      <c r="AI54" s="1686"/>
      <c r="AJ54" s="1686"/>
      <c r="AK54" s="1686"/>
      <c r="AL54" s="1686"/>
      <c r="AM54" s="1686"/>
      <c r="AN54" s="1686"/>
      <c r="AO54" s="1686"/>
      <c r="AP54" s="1686"/>
      <c r="AQ54" s="1686"/>
      <c r="AR54" s="1686"/>
      <c r="AS54" s="1686"/>
      <c r="AT54" s="1686"/>
      <c r="AU54" s="1686"/>
      <c r="AV54" s="1686"/>
      <c r="AW54" s="1686"/>
      <c r="AX54" s="1686"/>
      <c r="AY54" s="1686"/>
      <c r="AZ54" s="1686"/>
      <c r="BA54" s="1686"/>
      <c r="BB54" s="1686"/>
      <c r="BC54" s="1686"/>
      <c r="BD54" s="1686"/>
      <c r="BE54" s="1686"/>
      <c r="BF54" s="1686"/>
      <c r="BG54" s="509"/>
      <c r="BH54" s="262"/>
      <c r="BI54" s="487"/>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c r="DM54" s="252"/>
      <c r="DN54" s="252"/>
      <c r="DO54" s="252"/>
      <c r="DP54" s="252"/>
      <c r="DQ54" s="252"/>
      <c r="DR54" s="252"/>
      <c r="DS54" s="252"/>
      <c r="DT54" s="252"/>
      <c r="DU54" s="252"/>
      <c r="DV54" s="488"/>
    </row>
    <row r="55" spans="2:126" ht="54.75" customHeight="1" x14ac:dyDescent="0.15">
      <c r="B55" s="312"/>
      <c r="C55" s="1686" t="s">
        <v>608</v>
      </c>
      <c r="D55" s="1686"/>
      <c r="E55" s="1686"/>
      <c r="F55" s="1686"/>
      <c r="G55" s="1686"/>
      <c r="H55" s="1686"/>
      <c r="I55" s="1686"/>
      <c r="J55" s="1686"/>
      <c r="K55" s="1686"/>
      <c r="L55" s="1686"/>
      <c r="M55" s="1686"/>
      <c r="N55" s="1686"/>
      <c r="O55" s="1686"/>
      <c r="P55" s="1686"/>
      <c r="Q55" s="1686"/>
      <c r="R55" s="1686"/>
      <c r="S55" s="1686"/>
      <c r="T55" s="1686"/>
      <c r="U55" s="1686"/>
      <c r="V55" s="1686"/>
      <c r="W55" s="1686"/>
      <c r="X55" s="1686"/>
      <c r="Y55" s="1686"/>
      <c r="Z55" s="1686"/>
      <c r="AA55" s="1686"/>
      <c r="AB55" s="1686"/>
      <c r="AC55" s="1686"/>
      <c r="AD55" s="1686"/>
      <c r="AE55" s="1686"/>
      <c r="AF55" s="1686"/>
      <c r="AG55" s="1686"/>
      <c r="AH55" s="1686"/>
      <c r="AI55" s="1686"/>
      <c r="AJ55" s="1686"/>
      <c r="AK55" s="1686"/>
      <c r="AL55" s="1686"/>
      <c r="AM55" s="1686"/>
      <c r="AN55" s="1686"/>
      <c r="AO55" s="1686"/>
      <c r="AP55" s="1686"/>
      <c r="AQ55" s="1686"/>
      <c r="AR55" s="1686"/>
      <c r="AS55" s="1686"/>
      <c r="AT55" s="1686"/>
      <c r="AU55" s="1686"/>
      <c r="AV55" s="1686"/>
      <c r="AW55" s="1686"/>
      <c r="AX55" s="1686"/>
      <c r="AY55" s="1686"/>
      <c r="AZ55" s="1686"/>
      <c r="BA55" s="1686"/>
      <c r="BB55" s="1686"/>
      <c r="BC55" s="1686"/>
      <c r="BD55" s="1686"/>
      <c r="BE55" s="1686"/>
      <c r="BF55" s="1686"/>
      <c r="BG55" s="509"/>
      <c r="BH55" s="262"/>
      <c r="BI55" s="487"/>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c r="DG55" s="252"/>
      <c r="DH55" s="252"/>
      <c r="DI55" s="252"/>
      <c r="DJ55" s="252"/>
      <c r="DK55" s="252"/>
      <c r="DL55" s="252"/>
      <c r="DM55" s="252"/>
      <c r="DN55" s="252"/>
      <c r="DO55" s="252"/>
      <c r="DP55" s="252"/>
      <c r="DQ55" s="252"/>
      <c r="DR55" s="252"/>
      <c r="DS55" s="252"/>
      <c r="DT55" s="252"/>
      <c r="DU55" s="252"/>
      <c r="DV55" s="488"/>
    </row>
    <row r="56" spans="2:126" ht="40.5" customHeight="1" x14ac:dyDescent="0.15">
      <c r="B56" s="312"/>
      <c r="C56" s="1630" t="s">
        <v>855</v>
      </c>
      <c r="D56" s="1630"/>
      <c r="E56" s="1630"/>
      <c r="F56" s="1630"/>
      <c r="G56" s="1630"/>
      <c r="H56" s="1630"/>
      <c r="I56" s="1630"/>
      <c r="J56" s="1630"/>
      <c r="K56" s="1630"/>
      <c r="L56" s="1630"/>
      <c r="M56" s="1630"/>
      <c r="N56" s="1630"/>
      <c r="O56" s="1630"/>
      <c r="P56" s="1630"/>
      <c r="Q56" s="1630"/>
      <c r="R56" s="1630"/>
      <c r="S56" s="1630"/>
      <c r="T56" s="1630"/>
      <c r="U56" s="1630"/>
      <c r="V56" s="1630"/>
      <c r="W56" s="1630"/>
      <c r="X56" s="1630"/>
      <c r="Y56" s="1630"/>
      <c r="Z56" s="1630"/>
      <c r="AA56" s="1630"/>
      <c r="AB56" s="1630"/>
      <c r="AC56" s="1630"/>
      <c r="AD56" s="1630"/>
      <c r="AE56" s="1630"/>
      <c r="AF56" s="1630"/>
      <c r="AG56" s="1630"/>
      <c r="AH56" s="1630"/>
      <c r="AI56" s="1630"/>
      <c r="AJ56" s="1630"/>
      <c r="AK56" s="1630"/>
      <c r="AL56" s="1630"/>
      <c r="AM56" s="1630"/>
      <c r="AN56" s="1630"/>
      <c r="AO56" s="1630"/>
      <c r="AP56" s="1630"/>
      <c r="AQ56" s="1630"/>
      <c r="AR56" s="1630"/>
      <c r="AS56" s="1630"/>
      <c r="AT56" s="1630"/>
      <c r="AU56" s="1630"/>
      <c r="AV56" s="1630"/>
      <c r="AW56" s="1630"/>
      <c r="AX56" s="1630"/>
      <c r="AY56" s="1630"/>
      <c r="AZ56" s="1630"/>
      <c r="BA56" s="1630"/>
      <c r="BB56" s="1630"/>
      <c r="BC56" s="1630"/>
      <c r="BD56" s="1630"/>
      <c r="BE56" s="1630"/>
      <c r="BF56" s="1630"/>
      <c r="BG56" s="509"/>
      <c r="BH56" s="262"/>
      <c r="BI56" s="487"/>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c r="DM56" s="252"/>
      <c r="DN56" s="252"/>
      <c r="DO56" s="252"/>
      <c r="DP56" s="252"/>
      <c r="DQ56" s="252"/>
      <c r="DR56" s="252"/>
      <c r="DS56" s="252"/>
      <c r="DT56" s="252"/>
      <c r="DU56" s="252"/>
      <c r="DV56" s="488"/>
    </row>
    <row r="57" spans="2:126" ht="44.25" customHeight="1" x14ac:dyDescent="0.15">
      <c r="B57" s="312"/>
      <c r="C57" s="1630" t="s">
        <v>609</v>
      </c>
      <c r="D57" s="1630"/>
      <c r="E57" s="1630"/>
      <c r="F57" s="1630"/>
      <c r="G57" s="1630"/>
      <c r="H57" s="1630"/>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0"/>
      <c r="AI57" s="1630"/>
      <c r="AJ57" s="1630"/>
      <c r="AK57" s="1630"/>
      <c r="AL57" s="1630"/>
      <c r="AM57" s="1630"/>
      <c r="AN57" s="1630"/>
      <c r="AO57" s="1630"/>
      <c r="AP57" s="1630"/>
      <c r="AQ57" s="1630"/>
      <c r="AR57" s="1630"/>
      <c r="AS57" s="1630"/>
      <c r="AT57" s="1630"/>
      <c r="AU57" s="1630"/>
      <c r="AV57" s="1630"/>
      <c r="AW57" s="1630"/>
      <c r="AX57" s="1630"/>
      <c r="AY57" s="1630"/>
      <c r="AZ57" s="1630"/>
      <c r="BA57" s="1630"/>
      <c r="BB57" s="1630"/>
      <c r="BC57" s="1630"/>
      <c r="BD57" s="1630"/>
      <c r="BE57" s="1630"/>
      <c r="BF57" s="1630"/>
      <c r="BG57" s="509"/>
      <c r="BH57" s="262"/>
      <c r="BI57" s="487"/>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c r="DG57" s="252"/>
      <c r="DH57" s="252"/>
      <c r="DI57" s="252"/>
      <c r="DJ57" s="252"/>
      <c r="DK57" s="252"/>
      <c r="DL57" s="252"/>
      <c r="DM57" s="252"/>
      <c r="DN57" s="252"/>
      <c r="DO57" s="252"/>
      <c r="DP57" s="252"/>
      <c r="DQ57" s="252"/>
      <c r="DR57" s="252"/>
      <c r="DS57" s="252"/>
      <c r="DT57" s="252"/>
      <c r="DU57" s="252"/>
      <c r="DV57" s="488"/>
    </row>
    <row r="58" spans="2:126" ht="45.75" customHeight="1" x14ac:dyDescent="0.15">
      <c r="B58" s="312"/>
      <c r="C58" s="1630" t="s">
        <v>610</v>
      </c>
      <c r="D58" s="1630"/>
      <c r="E58" s="1630"/>
      <c r="F58" s="1630"/>
      <c r="G58" s="1630"/>
      <c r="H58" s="1630"/>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0"/>
      <c r="AI58" s="1630"/>
      <c r="AJ58" s="1630"/>
      <c r="AK58" s="1630"/>
      <c r="AL58" s="1630"/>
      <c r="AM58" s="1630"/>
      <c r="AN58" s="1630"/>
      <c r="AO58" s="1630"/>
      <c r="AP58" s="1630"/>
      <c r="AQ58" s="1630"/>
      <c r="AR58" s="1630"/>
      <c r="AS58" s="1630"/>
      <c r="AT58" s="1630"/>
      <c r="AU58" s="1630"/>
      <c r="AV58" s="1630"/>
      <c r="AW58" s="1630"/>
      <c r="AX58" s="1630"/>
      <c r="AY58" s="1630"/>
      <c r="AZ58" s="1630"/>
      <c r="BA58" s="1630"/>
      <c r="BB58" s="1630"/>
      <c r="BC58" s="1630"/>
      <c r="BD58" s="1630"/>
      <c r="BE58" s="1630"/>
      <c r="BF58" s="1630"/>
      <c r="BG58" s="509"/>
      <c r="BH58" s="262"/>
      <c r="BI58" s="487"/>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52"/>
      <c r="DD58" s="252"/>
      <c r="DE58" s="252"/>
      <c r="DF58" s="252"/>
      <c r="DG58" s="252"/>
      <c r="DH58" s="252"/>
      <c r="DI58" s="252"/>
      <c r="DJ58" s="252"/>
      <c r="DK58" s="252"/>
      <c r="DL58" s="252"/>
      <c r="DM58" s="252"/>
      <c r="DN58" s="252"/>
      <c r="DO58" s="252"/>
      <c r="DP58" s="252"/>
      <c r="DQ58" s="252"/>
      <c r="DR58" s="252"/>
      <c r="DS58" s="252"/>
      <c r="DT58" s="252"/>
      <c r="DU58" s="252"/>
      <c r="DV58" s="488"/>
    </row>
    <row r="59" spans="2:126" x14ac:dyDescent="0.15">
      <c r="B59" s="312"/>
      <c r="C59" s="1639" t="s">
        <v>611</v>
      </c>
      <c r="D59" s="1639"/>
      <c r="E59" s="1639"/>
      <c r="F59" s="1639"/>
      <c r="G59" s="1639"/>
      <c r="H59" s="163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39"/>
      <c r="AI59" s="1639"/>
      <c r="AJ59" s="1639"/>
      <c r="AK59" s="1639"/>
      <c r="AL59" s="1639"/>
      <c r="AM59" s="1639"/>
      <c r="AN59" s="1639"/>
      <c r="AO59" s="1639"/>
      <c r="AP59" s="1639"/>
      <c r="AQ59" s="1639"/>
      <c r="AR59" s="1639"/>
      <c r="AS59" s="1639"/>
      <c r="AT59" s="1639"/>
      <c r="AU59" s="1639"/>
      <c r="AV59" s="1639"/>
      <c r="AW59" s="1639"/>
      <c r="AX59" s="1639"/>
      <c r="AY59" s="1639"/>
      <c r="AZ59" s="1639"/>
      <c r="BA59" s="1639"/>
      <c r="BB59" s="1639"/>
      <c r="BC59" s="1639"/>
      <c r="BD59" s="1639"/>
      <c r="BE59" s="1639"/>
      <c r="BF59" s="1639"/>
      <c r="BG59" s="509"/>
      <c r="BH59" s="262"/>
      <c r="BI59" s="487"/>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c r="DG59" s="252"/>
      <c r="DH59" s="252"/>
      <c r="DI59" s="252"/>
      <c r="DJ59" s="252"/>
      <c r="DK59" s="252"/>
      <c r="DL59" s="252"/>
      <c r="DM59" s="252"/>
      <c r="DN59" s="252"/>
      <c r="DO59" s="252"/>
      <c r="DP59" s="252"/>
      <c r="DQ59" s="252"/>
      <c r="DR59" s="252"/>
      <c r="DS59" s="252"/>
      <c r="DT59" s="252"/>
      <c r="DU59" s="252"/>
      <c r="DV59" s="488"/>
    </row>
    <row r="60" spans="2:126" ht="44.25" customHeight="1" x14ac:dyDescent="0.15">
      <c r="B60" s="312"/>
      <c r="C60" s="1630" t="s">
        <v>612</v>
      </c>
      <c r="D60" s="1630"/>
      <c r="E60" s="1630"/>
      <c r="F60" s="1630"/>
      <c r="G60" s="1630"/>
      <c r="H60" s="1630"/>
      <c r="I60" s="1630"/>
      <c r="J60" s="1630"/>
      <c r="K60" s="1630"/>
      <c r="L60" s="1630"/>
      <c r="M60" s="1630"/>
      <c r="N60" s="1630"/>
      <c r="O60" s="1630"/>
      <c r="P60" s="1630"/>
      <c r="Q60" s="1630"/>
      <c r="R60" s="1630"/>
      <c r="S60" s="1630"/>
      <c r="T60" s="1630"/>
      <c r="U60" s="1630"/>
      <c r="V60" s="1630"/>
      <c r="W60" s="1630"/>
      <c r="X60" s="1630"/>
      <c r="Y60" s="1630"/>
      <c r="Z60" s="1630"/>
      <c r="AA60" s="1630"/>
      <c r="AB60" s="1630"/>
      <c r="AC60" s="1630"/>
      <c r="AD60" s="1630"/>
      <c r="AE60" s="1630"/>
      <c r="AF60" s="1630"/>
      <c r="AG60" s="1630"/>
      <c r="AH60" s="1630"/>
      <c r="AI60" s="1630"/>
      <c r="AJ60" s="1630"/>
      <c r="AK60" s="1630"/>
      <c r="AL60" s="1630"/>
      <c r="AM60" s="1630"/>
      <c r="AN60" s="1630"/>
      <c r="AO60" s="1630"/>
      <c r="AP60" s="1630"/>
      <c r="AQ60" s="1630"/>
      <c r="AR60" s="1630"/>
      <c r="AS60" s="1630"/>
      <c r="AT60" s="1630"/>
      <c r="AU60" s="1630"/>
      <c r="AV60" s="1630"/>
      <c r="AW60" s="1630"/>
      <c r="AX60" s="1630"/>
      <c r="AY60" s="1630"/>
      <c r="AZ60" s="1630"/>
      <c r="BA60" s="1630"/>
      <c r="BB60" s="1630"/>
      <c r="BC60" s="1630"/>
      <c r="BD60" s="1630"/>
      <c r="BE60" s="1630"/>
      <c r="BF60" s="1630"/>
      <c r="BG60" s="509"/>
      <c r="BH60" s="262"/>
      <c r="BI60" s="487"/>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c r="CH60" s="252"/>
      <c r="CI60" s="252"/>
      <c r="CJ60" s="252"/>
      <c r="CK60" s="252"/>
      <c r="CL60" s="252"/>
      <c r="CM60" s="252"/>
      <c r="CN60" s="252"/>
      <c r="CO60" s="252"/>
      <c r="CP60" s="252"/>
      <c r="CQ60" s="252"/>
      <c r="CR60" s="252"/>
      <c r="CS60" s="252"/>
      <c r="CT60" s="252"/>
      <c r="CU60" s="252"/>
      <c r="CV60" s="252"/>
      <c r="CW60" s="252"/>
      <c r="CX60" s="252"/>
      <c r="CY60" s="252"/>
      <c r="CZ60" s="252"/>
      <c r="DA60" s="252"/>
      <c r="DB60" s="252"/>
      <c r="DC60" s="252"/>
      <c r="DD60" s="252"/>
      <c r="DE60" s="252"/>
      <c r="DF60" s="252"/>
      <c r="DG60" s="252"/>
      <c r="DH60" s="252"/>
      <c r="DI60" s="252"/>
      <c r="DJ60" s="252"/>
      <c r="DK60" s="252"/>
      <c r="DL60" s="252"/>
      <c r="DM60" s="252"/>
      <c r="DN60" s="252"/>
      <c r="DO60" s="252"/>
      <c r="DP60" s="252"/>
      <c r="DQ60" s="252"/>
      <c r="DR60" s="252"/>
      <c r="DS60" s="252"/>
      <c r="DT60" s="252"/>
      <c r="DU60" s="252"/>
      <c r="DV60" s="488"/>
    </row>
    <row r="61" spans="2:126" ht="27" customHeight="1" x14ac:dyDescent="0.15">
      <c r="B61" s="312"/>
      <c r="C61" s="1630" t="s">
        <v>615</v>
      </c>
      <c r="D61" s="1630"/>
      <c r="E61" s="1630"/>
      <c r="F61" s="1630"/>
      <c r="G61" s="1630"/>
      <c r="H61" s="1630"/>
      <c r="I61" s="1630"/>
      <c r="J61" s="1630"/>
      <c r="K61" s="1630"/>
      <c r="L61" s="1630"/>
      <c r="M61" s="1630"/>
      <c r="N61" s="1630"/>
      <c r="O61" s="1630"/>
      <c r="P61" s="1630"/>
      <c r="Q61" s="1630"/>
      <c r="R61" s="1630"/>
      <c r="S61" s="1630"/>
      <c r="T61" s="1630"/>
      <c r="U61" s="1630"/>
      <c r="V61" s="1630"/>
      <c r="W61" s="1630"/>
      <c r="X61" s="1630"/>
      <c r="Y61" s="1630"/>
      <c r="Z61" s="1630"/>
      <c r="AA61" s="1630"/>
      <c r="AB61" s="1630"/>
      <c r="AC61" s="1630"/>
      <c r="AD61" s="1630"/>
      <c r="AE61" s="1630"/>
      <c r="AF61" s="1630"/>
      <c r="AG61" s="1630"/>
      <c r="AH61" s="1630"/>
      <c r="AI61" s="1630"/>
      <c r="AJ61" s="1630"/>
      <c r="AK61" s="1630"/>
      <c r="AL61" s="1630"/>
      <c r="AM61" s="1630"/>
      <c r="AN61" s="1630"/>
      <c r="AO61" s="1630"/>
      <c r="AP61" s="1630"/>
      <c r="AQ61" s="1630"/>
      <c r="AR61" s="1630"/>
      <c r="AS61" s="1630"/>
      <c r="AT61" s="1630"/>
      <c r="AU61" s="1630"/>
      <c r="AV61" s="1630"/>
      <c r="AW61" s="1630"/>
      <c r="AX61" s="1630"/>
      <c r="AY61" s="1630"/>
      <c r="AZ61" s="1630"/>
      <c r="BA61" s="1630"/>
      <c r="BB61" s="1630"/>
      <c r="BC61" s="1630"/>
      <c r="BD61" s="1630"/>
      <c r="BE61" s="1630"/>
      <c r="BF61" s="1630"/>
      <c r="BG61" s="509"/>
      <c r="BH61" s="267"/>
      <c r="BI61" s="487"/>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c r="CH61" s="252"/>
      <c r="CI61" s="252"/>
      <c r="CJ61" s="252"/>
      <c r="CK61" s="252"/>
      <c r="CL61" s="252"/>
      <c r="CM61" s="252"/>
      <c r="CN61" s="252"/>
      <c r="CO61" s="252"/>
      <c r="CP61" s="252"/>
      <c r="CQ61" s="252"/>
      <c r="CR61" s="252"/>
      <c r="CS61" s="252"/>
      <c r="CT61" s="252"/>
      <c r="CU61" s="252"/>
      <c r="CV61" s="252"/>
      <c r="CW61" s="252"/>
      <c r="CX61" s="252"/>
      <c r="CY61" s="252"/>
      <c r="CZ61" s="252"/>
      <c r="DA61" s="252"/>
      <c r="DB61" s="252"/>
      <c r="DC61" s="252"/>
      <c r="DD61" s="252"/>
      <c r="DE61" s="252"/>
      <c r="DF61" s="252"/>
      <c r="DG61" s="252"/>
      <c r="DH61" s="252"/>
      <c r="DI61" s="252"/>
      <c r="DJ61" s="252"/>
      <c r="DK61" s="252"/>
      <c r="DL61" s="252"/>
      <c r="DM61" s="252"/>
      <c r="DN61" s="252"/>
      <c r="DO61" s="252"/>
      <c r="DP61" s="252"/>
      <c r="DQ61" s="252"/>
      <c r="DR61" s="252"/>
      <c r="DS61" s="252"/>
      <c r="DT61" s="252"/>
      <c r="DU61" s="252"/>
      <c r="DV61" s="488"/>
    </row>
    <row r="62" spans="2:126" x14ac:dyDescent="0.15">
      <c r="B62" s="312"/>
      <c r="C62" s="1630" t="s">
        <v>767</v>
      </c>
      <c r="D62" s="1630"/>
      <c r="E62" s="1630"/>
      <c r="F62" s="1630"/>
      <c r="G62" s="1630"/>
      <c r="H62" s="1630"/>
      <c r="I62" s="1630"/>
      <c r="J62" s="1630"/>
      <c r="K62" s="1630"/>
      <c r="L62" s="1630"/>
      <c r="M62" s="1630"/>
      <c r="N62" s="1630"/>
      <c r="O62" s="1630"/>
      <c r="P62" s="1630"/>
      <c r="Q62" s="1630"/>
      <c r="R62" s="1630"/>
      <c r="S62" s="1630"/>
      <c r="T62" s="1630"/>
      <c r="U62" s="1630"/>
      <c r="V62" s="1630"/>
      <c r="W62" s="1630"/>
      <c r="X62" s="1630"/>
      <c r="Y62" s="1630"/>
      <c r="Z62" s="1630"/>
      <c r="AA62" s="1630"/>
      <c r="AB62" s="1630"/>
      <c r="AC62" s="1630"/>
      <c r="AD62" s="1630"/>
      <c r="AE62" s="1630"/>
      <c r="AF62" s="1630"/>
      <c r="AG62" s="1630"/>
      <c r="AH62" s="1630"/>
      <c r="AI62" s="1630"/>
      <c r="AJ62" s="1630"/>
      <c r="AK62" s="1630"/>
      <c r="AL62" s="1630"/>
      <c r="AM62" s="1630"/>
      <c r="AN62" s="1630"/>
      <c r="AO62" s="1630"/>
      <c r="AP62" s="1630"/>
      <c r="AQ62" s="1630"/>
      <c r="AR62" s="1630"/>
      <c r="AS62" s="1630"/>
      <c r="AT62" s="1630"/>
      <c r="AU62" s="1630"/>
      <c r="AV62" s="1630"/>
      <c r="AW62" s="1630"/>
      <c r="AX62" s="1630"/>
      <c r="AY62" s="1630"/>
      <c r="AZ62" s="1630"/>
      <c r="BA62" s="1630"/>
      <c r="BB62" s="1630"/>
      <c r="BC62" s="1630"/>
      <c r="BD62" s="1630"/>
      <c r="BE62" s="1630"/>
      <c r="BF62" s="1630"/>
      <c r="BG62" s="509"/>
      <c r="BH62" s="267"/>
      <c r="BI62" s="487"/>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c r="CH62" s="252"/>
      <c r="CI62" s="252"/>
      <c r="CJ62" s="252"/>
      <c r="CK62" s="252"/>
      <c r="CL62" s="252"/>
      <c r="CM62" s="252"/>
      <c r="CN62" s="252"/>
      <c r="CO62" s="252"/>
      <c r="CP62" s="252"/>
      <c r="CQ62" s="252"/>
      <c r="CR62" s="252"/>
      <c r="CS62" s="252"/>
      <c r="CT62" s="252"/>
      <c r="CU62" s="252"/>
      <c r="CV62" s="252"/>
      <c r="CW62" s="252"/>
      <c r="CX62" s="252"/>
      <c r="CY62" s="252"/>
      <c r="CZ62" s="252"/>
      <c r="DA62" s="252"/>
      <c r="DB62" s="252"/>
      <c r="DC62" s="252"/>
      <c r="DD62" s="252"/>
      <c r="DE62" s="252"/>
      <c r="DF62" s="252"/>
      <c r="DG62" s="252"/>
      <c r="DH62" s="252"/>
      <c r="DI62" s="252"/>
      <c r="DJ62" s="252"/>
      <c r="DK62" s="252"/>
      <c r="DL62" s="252"/>
      <c r="DM62" s="252"/>
      <c r="DN62" s="252"/>
      <c r="DO62" s="252"/>
      <c r="DP62" s="252"/>
      <c r="DQ62" s="252"/>
      <c r="DR62" s="252"/>
      <c r="DS62" s="252"/>
      <c r="DT62" s="252"/>
      <c r="DU62" s="252"/>
      <c r="DV62" s="488"/>
    </row>
    <row r="63" spans="2:126" x14ac:dyDescent="0.15">
      <c r="B63" s="312"/>
      <c r="C63" s="1630" t="s">
        <v>768</v>
      </c>
      <c r="D63" s="1630"/>
      <c r="E63" s="1630"/>
      <c r="F63" s="1630"/>
      <c r="G63" s="1630"/>
      <c r="H63" s="1630"/>
      <c r="I63" s="1630"/>
      <c r="J63" s="1630"/>
      <c r="K63" s="1630"/>
      <c r="L63" s="1630"/>
      <c r="M63" s="1630"/>
      <c r="N63" s="1630"/>
      <c r="O63" s="1630"/>
      <c r="P63" s="1630"/>
      <c r="Q63" s="1630"/>
      <c r="R63" s="1630"/>
      <c r="S63" s="1630"/>
      <c r="T63" s="1630"/>
      <c r="U63" s="1630"/>
      <c r="V63" s="1630"/>
      <c r="W63" s="1630"/>
      <c r="X63" s="1630"/>
      <c r="Y63" s="1630"/>
      <c r="Z63" s="1630"/>
      <c r="AA63" s="1630"/>
      <c r="AB63" s="1630"/>
      <c r="AC63" s="1630"/>
      <c r="AD63" s="1630"/>
      <c r="AE63" s="1630"/>
      <c r="AF63" s="1630"/>
      <c r="AG63" s="1630"/>
      <c r="AH63" s="1630"/>
      <c r="AI63" s="1630"/>
      <c r="AJ63" s="1630"/>
      <c r="AK63" s="1630"/>
      <c r="AL63" s="1630"/>
      <c r="AM63" s="1630"/>
      <c r="AN63" s="1630"/>
      <c r="AO63" s="1630"/>
      <c r="AP63" s="1630"/>
      <c r="AQ63" s="1630"/>
      <c r="AR63" s="1630"/>
      <c r="AS63" s="1630"/>
      <c r="AT63" s="1630"/>
      <c r="AU63" s="1630"/>
      <c r="AV63" s="1630"/>
      <c r="AW63" s="1630"/>
      <c r="AX63" s="1630"/>
      <c r="AY63" s="1630"/>
      <c r="AZ63" s="1630"/>
      <c r="BA63" s="1630"/>
      <c r="BB63" s="1630"/>
      <c r="BC63" s="1630"/>
      <c r="BD63" s="1630"/>
      <c r="BE63" s="1630"/>
      <c r="BF63" s="1630"/>
      <c r="BG63" s="509"/>
      <c r="BH63" s="267"/>
      <c r="BI63" s="487"/>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c r="CH63" s="252"/>
      <c r="CI63" s="252"/>
      <c r="CJ63" s="252"/>
      <c r="CK63" s="252"/>
      <c r="CL63" s="252"/>
      <c r="CM63" s="252"/>
      <c r="CN63" s="252"/>
      <c r="CO63" s="252"/>
      <c r="CP63" s="252"/>
      <c r="CQ63" s="252"/>
      <c r="CR63" s="252"/>
      <c r="CS63" s="252"/>
      <c r="CT63" s="252"/>
      <c r="CU63" s="252"/>
      <c r="CV63" s="252"/>
      <c r="CW63" s="252"/>
      <c r="CX63" s="252"/>
      <c r="CY63" s="252"/>
      <c r="CZ63" s="252"/>
      <c r="DA63" s="252"/>
      <c r="DB63" s="252"/>
      <c r="DC63" s="252"/>
      <c r="DD63" s="252"/>
      <c r="DE63" s="252"/>
      <c r="DF63" s="252"/>
      <c r="DG63" s="252"/>
      <c r="DH63" s="252"/>
      <c r="DI63" s="252"/>
      <c r="DJ63" s="252"/>
      <c r="DK63" s="252"/>
      <c r="DL63" s="252"/>
      <c r="DM63" s="252"/>
      <c r="DN63" s="252"/>
      <c r="DO63" s="252"/>
      <c r="DP63" s="252"/>
      <c r="DQ63" s="252"/>
      <c r="DR63" s="252"/>
      <c r="DS63" s="252"/>
      <c r="DT63" s="252"/>
      <c r="DU63" s="252"/>
      <c r="DV63" s="488"/>
    </row>
    <row r="64" spans="2:126" ht="86.25" customHeight="1" x14ac:dyDescent="0.15">
      <c r="B64" s="312"/>
      <c r="C64" s="1639" t="s">
        <v>1138</v>
      </c>
      <c r="D64" s="1639"/>
      <c r="E64" s="1639"/>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509"/>
      <c r="BH64" s="262"/>
      <c r="BI64" s="487"/>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R64" s="252"/>
      <c r="CS64" s="252"/>
      <c r="CT64" s="252"/>
      <c r="CU64" s="252"/>
      <c r="CV64" s="252"/>
      <c r="CW64" s="252"/>
      <c r="CX64" s="252"/>
      <c r="CY64" s="252"/>
      <c r="CZ64" s="252"/>
      <c r="DA64" s="252"/>
      <c r="DB64" s="252"/>
      <c r="DC64" s="252"/>
      <c r="DD64" s="252"/>
      <c r="DE64" s="252"/>
      <c r="DF64" s="252"/>
      <c r="DG64" s="252"/>
      <c r="DH64" s="252"/>
      <c r="DI64" s="252"/>
      <c r="DJ64" s="252"/>
      <c r="DK64" s="252"/>
      <c r="DL64" s="252"/>
      <c r="DM64" s="252"/>
      <c r="DN64" s="252"/>
      <c r="DO64" s="252"/>
      <c r="DP64" s="252"/>
      <c r="DQ64" s="252"/>
      <c r="DR64" s="252"/>
      <c r="DS64" s="252"/>
      <c r="DT64" s="252"/>
      <c r="DU64" s="252"/>
      <c r="DV64" s="488"/>
    </row>
    <row r="65" spans="2:126" x14ac:dyDescent="0.15">
      <c r="B65" s="312"/>
      <c r="C65" s="1639" t="s">
        <v>607</v>
      </c>
      <c r="D65" s="1639"/>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c r="AI65" s="1639"/>
      <c r="AJ65" s="1639"/>
      <c r="AK65" s="1639"/>
      <c r="AL65" s="1639"/>
      <c r="AM65" s="1639"/>
      <c r="AN65" s="1639"/>
      <c r="AO65" s="1639"/>
      <c r="AP65" s="1639"/>
      <c r="AQ65" s="1639"/>
      <c r="AR65" s="1639"/>
      <c r="AS65" s="1639"/>
      <c r="AT65" s="1639"/>
      <c r="AU65" s="1639"/>
      <c r="AV65" s="1639"/>
      <c r="AW65" s="1639"/>
      <c r="AX65" s="1639"/>
      <c r="AY65" s="1639"/>
      <c r="AZ65" s="1639"/>
      <c r="BA65" s="1639"/>
      <c r="BB65" s="1639"/>
      <c r="BC65" s="1639"/>
      <c r="BD65" s="1639"/>
      <c r="BE65" s="1639"/>
      <c r="BF65" s="1639"/>
      <c r="BG65" s="509"/>
      <c r="BH65" s="262"/>
      <c r="BI65" s="487"/>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c r="DM65" s="252"/>
      <c r="DN65" s="252"/>
      <c r="DO65" s="252"/>
      <c r="DP65" s="252"/>
      <c r="DQ65" s="252"/>
      <c r="DR65" s="252"/>
      <c r="DS65" s="252"/>
      <c r="DT65" s="252"/>
      <c r="DU65" s="252"/>
      <c r="DV65" s="488"/>
    </row>
    <row r="66" spans="2:126" ht="29.25" customHeight="1" x14ac:dyDescent="0.15">
      <c r="B66" s="312"/>
      <c r="C66" s="1630" t="s">
        <v>613</v>
      </c>
      <c r="D66" s="1630"/>
      <c r="E66" s="1630"/>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1630"/>
      <c r="AJ66" s="1630"/>
      <c r="AK66" s="1630"/>
      <c r="AL66" s="1630"/>
      <c r="AM66" s="1630"/>
      <c r="AN66" s="1630"/>
      <c r="AO66" s="1630"/>
      <c r="AP66" s="1630"/>
      <c r="AQ66" s="1630"/>
      <c r="AR66" s="1630"/>
      <c r="AS66" s="1630"/>
      <c r="AT66" s="1630"/>
      <c r="AU66" s="1630"/>
      <c r="AV66" s="1630"/>
      <c r="AW66" s="1630"/>
      <c r="AX66" s="1630"/>
      <c r="AY66" s="1630"/>
      <c r="AZ66" s="1630"/>
      <c r="BA66" s="1630"/>
      <c r="BB66" s="1630"/>
      <c r="BC66" s="1630"/>
      <c r="BD66" s="1630"/>
      <c r="BE66" s="1630"/>
      <c r="BF66" s="1630"/>
      <c r="BG66" s="509"/>
      <c r="BH66" s="262"/>
      <c r="BI66" s="487"/>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R66" s="252"/>
      <c r="CS66" s="252"/>
      <c r="CT66" s="252"/>
      <c r="CU66" s="252"/>
      <c r="CV66" s="252"/>
      <c r="CW66" s="252"/>
      <c r="CX66" s="252"/>
      <c r="CY66" s="252"/>
      <c r="CZ66" s="252"/>
      <c r="DA66" s="252"/>
      <c r="DB66" s="252"/>
      <c r="DC66" s="252"/>
      <c r="DD66" s="252"/>
      <c r="DE66" s="252"/>
      <c r="DF66" s="252"/>
      <c r="DG66" s="252"/>
      <c r="DH66" s="252"/>
      <c r="DI66" s="252"/>
      <c r="DJ66" s="252"/>
      <c r="DK66" s="252"/>
      <c r="DL66" s="252"/>
      <c r="DM66" s="252"/>
      <c r="DN66" s="252"/>
      <c r="DO66" s="252"/>
      <c r="DP66" s="252"/>
      <c r="DQ66" s="252"/>
      <c r="DR66" s="252"/>
      <c r="DS66" s="252"/>
      <c r="DT66" s="252"/>
      <c r="DU66" s="252"/>
      <c r="DV66" s="488"/>
    </row>
    <row r="67" spans="2:126" ht="41.25" customHeight="1" x14ac:dyDescent="0.15">
      <c r="B67" s="312"/>
      <c r="C67" s="1630" t="s">
        <v>614</v>
      </c>
      <c r="D67" s="1630"/>
      <c r="E67" s="1630"/>
      <c r="F67" s="1630"/>
      <c r="G67" s="1630"/>
      <c r="H67" s="1630"/>
      <c r="I67" s="1630"/>
      <c r="J67" s="1630"/>
      <c r="K67" s="1630"/>
      <c r="L67" s="1630"/>
      <c r="M67" s="1630"/>
      <c r="N67" s="1630"/>
      <c r="O67" s="1630"/>
      <c r="P67" s="1630"/>
      <c r="Q67" s="1630"/>
      <c r="R67" s="1630"/>
      <c r="S67" s="1630"/>
      <c r="T67" s="1630"/>
      <c r="U67" s="1630"/>
      <c r="V67" s="1630"/>
      <c r="W67" s="1630"/>
      <c r="X67" s="1630"/>
      <c r="Y67" s="1630"/>
      <c r="Z67" s="1630"/>
      <c r="AA67" s="1630"/>
      <c r="AB67" s="1630"/>
      <c r="AC67" s="1630"/>
      <c r="AD67" s="1630"/>
      <c r="AE67" s="1630"/>
      <c r="AF67" s="1630"/>
      <c r="AG67" s="1630"/>
      <c r="AH67" s="1630"/>
      <c r="AI67" s="1630"/>
      <c r="AJ67" s="1630"/>
      <c r="AK67" s="1630"/>
      <c r="AL67" s="1630"/>
      <c r="AM67" s="1630"/>
      <c r="AN67" s="1630"/>
      <c r="AO67" s="1630"/>
      <c r="AP67" s="1630"/>
      <c r="AQ67" s="1630"/>
      <c r="AR67" s="1630"/>
      <c r="AS67" s="1630"/>
      <c r="AT67" s="1630"/>
      <c r="AU67" s="1630"/>
      <c r="AV67" s="1630"/>
      <c r="AW67" s="1630"/>
      <c r="AX67" s="1630"/>
      <c r="AY67" s="1630"/>
      <c r="AZ67" s="1630"/>
      <c r="BA67" s="1630"/>
      <c r="BB67" s="1630"/>
      <c r="BC67" s="1630"/>
      <c r="BD67" s="1630"/>
      <c r="BE67" s="1630"/>
      <c r="BF67" s="1630"/>
      <c r="BG67" s="509"/>
      <c r="BH67" s="262"/>
      <c r="BI67" s="487"/>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c r="DG67" s="252"/>
      <c r="DH67" s="252"/>
      <c r="DI67" s="252"/>
      <c r="DJ67" s="252"/>
      <c r="DK67" s="252"/>
      <c r="DL67" s="252"/>
      <c r="DM67" s="252"/>
      <c r="DN67" s="252"/>
      <c r="DO67" s="252"/>
      <c r="DP67" s="252"/>
      <c r="DQ67" s="252"/>
      <c r="DR67" s="252"/>
      <c r="DS67" s="252"/>
      <c r="DT67" s="252"/>
      <c r="DU67" s="252"/>
      <c r="DV67" s="488"/>
    </row>
    <row r="68" spans="2:126" x14ac:dyDescent="0.15">
      <c r="B68" s="312"/>
      <c r="C68" s="1639" t="s">
        <v>616</v>
      </c>
      <c r="D68" s="1639"/>
      <c r="E68" s="1639"/>
      <c r="F68" s="1639"/>
      <c r="G68" s="1639"/>
      <c r="H68" s="1639"/>
      <c r="I68" s="1639"/>
      <c r="J68" s="1639"/>
      <c r="K68" s="1639"/>
      <c r="L68" s="1639"/>
      <c r="M68" s="1639"/>
      <c r="N68" s="1639"/>
      <c r="O68" s="1639"/>
      <c r="P68" s="1639"/>
      <c r="Q68" s="1639"/>
      <c r="R68" s="1639"/>
      <c r="S68" s="1639"/>
      <c r="T68" s="1639"/>
      <c r="U68" s="1639"/>
      <c r="V68" s="1639"/>
      <c r="W68" s="1639"/>
      <c r="X68" s="1639"/>
      <c r="Y68" s="1639"/>
      <c r="Z68" s="1639"/>
      <c r="AA68" s="1639"/>
      <c r="AB68" s="1639"/>
      <c r="AC68" s="1639"/>
      <c r="AD68" s="1639"/>
      <c r="AE68" s="1639"/>
      <c r="AF68" s="1639"/>
      <c r="AG68" s="1639"/>
      <c r="AH68" s="1639"/>
      <c r="AI68" s="1639"/>
      <c r="AJ68" s="1639"/>
      <c r="AK68" s="1639"/>
      <c r="AL68" s="1639"/>
      <c r="AM68" s="1639"/>
      <c r="AN68" s="1639"/>
      <c r="AO68" s="1639"/>
      <c r="AP68" s="1639"/>
      <c r="AQ68" s="1639"/>
      <c r="AR68" s="1639"/>
      <c r="AS68" s="1639"/>
      <c r="AT68" s="1639"/>
      <c r="AU68" s="1639"/>
      <c r="AV68" s="1639"/>
      <c r="AW68" s="1639"/>
      <c r="AX68" s="1639"/>
      <c r="AY68" s="1639"/>
      <c r="AZ68" s="1639"/>
      <c r="BA68" s="1639"/>
      <c r="BB68" s="1639"/>
      <c r="BC68" s="1639"/>
      <c r="BD68" s="1639"/>
      <c r="BE68" s="1639"/>
      <c r="BF68" s="1639"/>
      <c r="BG68" s="510"/>
      <c r="BH68" s="260"/>
      <c r="BI68" s="487"/>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R68" s="252"/>
      <c r="CS68" s="252"/>
      <c r="CT68" s="252"/>
      <c r="CU68" s="252"/>
      <c r="CV68" s="252"/>
      <c r="CW68" s="252"/>
      <c r="CX68" s="252"/>
      <c r="CY68" s="252"/>
      <c r="CZ68" s="252"/>
      <c r="DA68" s="252"/>
      <c r="DB68" s="252"/>
      <c r="DC68" s="252"/>
      <c r="DD68" s="252"/>
      <c r="DE68" s="252"/>
      <c r="DF68" s="252"/>
      <c r="DG68" s="252"/>
      <c r="DH68" s="252"/>
      <c r="DI68" s="252"/>
      <c r="DJ68" s="252"/>
      <c r="DK68" s="252"/>
      <c r="DL68" s="252"/>
      <c r="DM68" s="252"/>
      <c r="DN68" s="252"/>
      <c r="DO68" s="252"/>
      <c r="DP68" s="252"/>
      <c r="DQ68" s="252"/>
      <c r="DR68" s="252"/>
      <c r="DS68" s="252"/>
      <c r="DT68" s="252"/>
      <c r="DU68" s="252"/>
      <c r="DV68" s="488"/>
    </row>
    <row r="69" spans="2:126" ht="41.25" customHeight="1" x14ac:dyDescent="0.15">
      <c r="B69" s="312"/>
      <c r="C69" s="1630" t="s">
        <v>617</v>
      </c>
      <c r="D69" s="1630"/>
      <c r="E69" s="1630"/>
      <c r="F69" s="1630"/>
      <c r="G69" s="1630"/>
      <c r="H69" s="1630"/>
      <c r="I69" s="1630"/>
      <c r="J69" s="1630"/>
      <c r="K69" s="1630"/>
      <c r="L69" s="1630"/>
      <c r="M69" s="1630"/>
      <c r="N69" s="1630"/>
      <c r="O69" s="1630"/>
      <c r="P69" s="1630"/>
      <c r="Q69" s="1630"/>
      <c r="R69" s="1630"/>
      <c r="S69" s="1630"/>
      <c r="T69" s="1630"/>
      <c r="U69" s="1630"/>
      <c r="V69" s="1630"/>
      <c r="W69" s="1630"/>
      <c r="X69" s="1630"/>
      <c r="Y69" s="1630"/>
      <c r="Z69" s="1630"/>
      <c r="AA69" s="1630"/>
      <c r="AB69" s="1630"/>
      <c r="AC69" s="1630"/>
      <c r="AD69" s="1630"/>
      <c r="AE69" s="1630"/>
      <c r="AF69" s="1630"/>
      <c r="AG69" s="1630"/>
      <c r="AH69" s="1630"/>
      <c r="AI69" s="1630"/>
      <c r="AJ69" s="1630"/>
      <c r="AK69" s="1630"/>
      <c r="AL69" s="1630"/>
      <c r="AM69" s="1630"/>
      <c r="AN69" s="1630"/>
      <c r="AO69" s="1630"/>
      <c r="AP69" s="1630"/>
      <c r="AQ69" s="1630"/>
      <c r="AR69" s="1630"/>
      <c r="AS69" s="1630"/>
      <c r="AT69" s="1630"/>
      <c r="AU69" s="1630"/>
      <c r="AV69" s="1630"/>
      <c r="AW69" s="1630"/>
      <c r="AX69" s="1630"/>
      <c r="AY69" s="1630"/>
      <c r="AZ69" s="1630"/>
      <c r="BA69" s="1630"/>
      <c r="BB69" s="1630"/>
      <c r="BC69" s="1630"/>
      <c r="BD69" s="1630"/>
      <c r="BE69" s="1630"/>
      <c r="BF69" s="1630"/>
      <c r="BG69" s="510"/>
      <c r="BH69" s="260"/>
      <c r="BI69" s="487"/>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252"/>
      <c r="CS69" s="252"/>
      <c r="CT69" s="252"/>
      <c r="CU69" s="252"/>
      <c r="CV69" s="252"/>
      <c r="CW69" s="252"/>
      <c r="CX69" s="252"/>
      <c r="CY69" s="252"/>
      <c r="CZ69" s="252"/>
      <c r="DA69" s="252"/>
      <c r="DB69" s="252"/>
      <c r="DC69" s="252"/>
      <c r="DD69" s="252"/>
      <c r="DE69" s="252"/>
      <c r="DF69" s="252"/>
      <c r="DG69" s="252"/>
      <c r="DH69" s="252"/>
      <c r="DI69" s="252"/>
      <c r="DJ69" s="252"/>
      <c r="DK69" s="252"/>
      <c r="DL69" s="252"/>
      <c r="DM69" s="252"/>
      <c r="DN69" s="252"/>
      <c r="DO69" s="252"/>
      <c r="DP69" s="252"/>
      <c r="DQ69" s="252"/>
      <c r="DR69" s="252"/>
      <c r="DS69" s="252"/>
      <c r="DT69" s="252"/>
      <c r="DU69" s="252"/>
      <c r="DV69" s="488"/>
    </row>
    <row r="70" spans="2:126" x14ac:dyDescent="0.15">
      <c r="B70" s="312"/>
      <c r="C70" s="1638" t="s">
        <v>782</v>
      </c>
      <c r="D70" s="1638"/>
      <c r="E70" s="1638"/>
      <c r="F70" s="1638"/>
      <c r="G70" s="1638"/>
      <c r="H70" s="1638"/>
      <c r="I70" s="1638"/>
      <c r="J70" s="1638"/>
      <c r="K70" s="1638"/>
      <c r="L70" s="1638"/>
      <c r="M70" s="1638"/>
      <c r="N70" s="1638"/>
      <c r="O70" s="1638"/>
      <c r="P70" s="1638"/>
      <c r="Q70" s="1638"/>
      <c r="R70" s="1638"/>
      <c r="S70" s="1638"/>
      <c r="T70" s="1638"/>
      <c r="U70" s="1638"/>
      <c r="V70" s="1638"/>
      <c r="W70" s="1638"/>
      <c r="X70" s="1638"/>
      <c r="Y70" s="1638"/>
      <c r="Z70" s="1638"/>
      <c r="AA70" s="1638"/>
      <c r="AB70" s="1638"/>
      <c r="AC70" s="1638"/>
      <c r="AD70" s="1638"/>
      <c r="AE70" s="1638"/>
      <c r="AF70" s="1638"/>
      <c r="AG70" s="1638"/>
      <c r="AH70" s="1638"/>
      <c r="AI70" s="1638"/>
      <c r="AJ70" s="1638"/>
      <c r="AK70" s="1638"/>
      <c r="AL70" s="1638"/>
      <c r="AM70" s="1638"/>
      <c r="AN70" s="1638"/>
      <c r="AO70" s="1638"/>
      <c r="AP70" s="1638"/>
      <c r="AQ70" s="1638"/>
      <c r="AR70" s="1638"/>
      <c r="AS70" s="1638"/>
      <c r="AT70" s="1638"/>
      <c r="AU70" s="1638"/>
      <c r="AV70" s="1638"/>
      <c r="AW70" s="1638"/>
      <c r="AX70" s="1638"/>
      <c r="AY70" s="1638"/>
      <c r="AZ70" s="1638"/>
      <c r="BA70" s="1638"/>
      <c r="BB70" s="1638"/>
      <c r="BC70" s="1638"/>
      <c r="BD70" s="1638"/>
      <c r="BE70" s="1638"/>
      <c r="BF70" s="1638"/>
      <c r="BG70" s="510"/>
      <c r="BH70" s="268"/>
      <c r="BI70" s="487"/>
      <c r="BJ70" s="252"/>
      <c r="BK70" s="252"/>
      <c r="BL70" s="252"/>
      <c r="BM70" s="252"/>
      <c r="BN70" s="252"/>
      <c r="BO70" s="252"/>
      <c r="BP70" s="252"/>
      <c r="BQ70" s="252"/>
      <c r="BR70" s="252"/>
      <c r="BS70" s="252"/>
      <c r="BT70" s="252"/>
      <c r="BU70" s="252"/>
      <c r="BV70" s="252"/>
      <c r="BW70" s="252"/>
      <c r="BX70" s="252"/>
      <c r="BY70" s="252"/>
      <c r="BZ70" s="252"/>
      <c r="CA70" s="252"/>
      <c r="CB70" s="252"/>
      <c r="CC70" s="252"/>
      <c r="CD70" s="252"/>
      <c r="CE70" s="252"/>
      <c r="CF70" s="252"/>
      <c r="CG70" s="252"/>
      <c r="CH70" s="252"/>
      <c r="CI70" s="252"/>
      <c r="CJ70" s="252"/>
      <c r="CK70" s="252"/>
      <c r="CL70" s="252"/>
      <c r="CM70" s="252"/>
      <c r="CN70" s="252"/>
      <c r="CO70" s="252"/>
      <c r="CP70" s="252"/>
      <c r="CQ70" s="252"/>
      <c r="CR70" s="252"/>
      <c r="CS70" s="252"/>
      <c r="CT70" s="252"/>
      <c r="CU70" s="252"/>
      <c r="CV70" s="252"/>
      <c r="CW70" s="252"/>
      <c r="CX70" s="252"/>
      <c r="CY70" s="252"/>
      <c r="CZ70" s="252"/>
      <c r="DA70" s="252"/>
      <c r="DB70" s="252"/>
      <c r="DC70" s="252"/>
      <c r="DD70" s="252"/>
      <c r="DE70" s="252"/>
      <c r="DF70" s="252"/>
      <c r="DG70" s="252"/>
      <c r="DH70" s="252"/>
      <c r="DI70" s="252"/>
      <c r="DJ70" s="252"/>
      <c r="DK70" s="252"/>
      <c r="DL70" s="252"/>
      <c r="DM70" s="252"/>
      <c r="DN70" s="252"/>
      <c r="DO70" s="252"/>
      <c r="DP70" s="252"/>
      <c r="DQ70" s="252"/>
      <c r="DR70" s="252"/>
      <c r="DS70" s="252"/>
      <c r="DT70" s="252"/>
      <c r="DU70" s="252"/>
      <c r="DV70" s="488"/>
    </row>
    <row r="71" spans="2:126" x14ac:dyDescent="0.15">
      <c r="B71" s="312"/>
      <c r="C71" s="1638" t="s">
        <v>778</v>
      </c>
      <c r="D71" s="1638"/>
      <c r="E71" s="1638"/>
      <c r="F71" s="1638"/>
      <c r="G71" s="1638"/>
      <c r="H71" s="1638"/>
      <c r="I71" s="1638"/>
      <c r="J71" s="1638"/>
      <c r="K71" s="1638"/>
      <c r="L71" s="1638"/>
      <c r="M71" s="1638"/>
      <c r="N71" s="1638"/>
      <c r="O71" s="1638"/>
      <c r="P71" s="1638"/>
      <c r="Q71" s="1638"/>
      <c r="R71" s="1638"/>
      <c r="S71" s="1638"/>
      <c r="T71" s="1638"/>
      <c r="U71" s="1638"/>
      <c r="V71" s="1638"/>
      <c r="W71" s="1638"/>
      <c r="X71" s="1638"/>
      <c r="Y71" s="1638"/>
      <c r="Z71" s="1638"/>
      <c r="AA71" s="1638"/>
      <c r="AB71" s="1638"/>
      <c r="AC71" s="1638"/>
      <c r="AD71" s="1638"/>
      <c r="AE71" s="1638"/>
      <c r="AF71" s="1638"/>
      <c r="AG71" s="1638"/>
      <c r="AH71" s="1638"/>
      <c r="AI71" s="1638"/>
      <c r="AJ71" s="1638"/>
      <c r="AK71" s="1638"/>
      <c r="AL71" s="1638"/>
      <c r="AM71" s="1638"/>
      <c r="AN71" s="1638"/>
      <c r="AO71" s="1638"/>
      <c r="AP71" s="1638"/>
      <c r="AQ71" s="1638"/>
      <c r="AR71" s="1638"/>
      <c r="AS71" s="1638"/>
      <c r="AT71" s="1638"/>
      <c r="AU71" s="1638"/>
      <c r="AV71" s="1638"/>
      <c r="AW71" s="1638"/>
      <c r="AX71" s="1638"/>
      <c r="AY71" s="1638"/>
      <c r="AZ71" s="1638"/>
      <c r="BA71" s="1638"/>
      <c r="BB71" s="1638"/>
      <c r="BC71" s="1638"/>
      <c r="BD71" s="1638"/>
      <c r="BE71" s="1638"/>
      <c r="BF71" s="1638"/>
      <c r="BG71" s="510"/>
      <c r="BH71" s="268"/>
      <c r="BI71" s="487"/>
      <c r="BJ71" s="252"/>
      <c r="BK71" s="252"/>
      <c r="BL71" s="252"/>
      <c r="BM71" s="252"/>
      <c r="BN71" s="252"/>
      <c r="BO71" s="252"/>
      <c r="BP71" s="252"/>
      <c r="BQ71" s="252"/>
      <c r="BR71" s="252"/>
      <c r="BS71" s="252"/>
      <c r="BT71" s="252"/>
      <c r="BU71" s="252"/>
      <c r="BV71" s="252"/>
      <c r="BW71" s="252"/>
      <c r="BX71" s="252"/>
      <c r="BY71" s="252"/>
      <c r="BZ71" s="252"/>
      <c r="CA71" s="252"/>
      <c r="CB71" s="252"/>
      <c r="CC71" s="252"/>
      <c r="CD71" s="252"/>
      <c r="CE71" s="252"/>
      <c r="CF71" s="252"/>
      <c r="CG71" s="252"/>
      <c r="CH71" s="252"/>
      <c r="CI71" s="252"/>
      <c r="CJ71" s="252"/>
      <c r="CK71" s="252"/>
      <c r="CL71" s="252"/>
      <c r="CM71" s="252"/>
      <c r="CN71" s="252"/>
      <c r="CO71" s="252"/>
      <c r="CP71" s="252"/>
      <c r="CQ71" s="252"/>
      <c r="CR71" s="252"/>
      <c r="CS71" s="252"/>
      <c r="CT71" s="252"/>
      <c r="CU71" s="252"/>
      <c r="CV71" s="252"/>
      <c r="CW71" s="252"/>
      <c r="CX71" s="252"/>
      <c r="CY71" s="252"/>
      <c r="CZ71" s="252"/>
      <c r="DA71" s="252"/>
      <c r="DB71" s="252"/>
      <c r="DC71" s="252"/>
      <c r="DD71" s="252"/>
      <c r="DE71" s="252"/>
      <c r="DF71" s="252"/>
      <c r="DG71" s="252"/>
      <c r="DH71" s="252"/>
      <c r="DI71" s="252"/>
      <c r="DJ71" s="252"/>
      <c r="DK71" s="252"/>
      <c r="DL71" s="252"/>
      <c r="DM71" s="252"/>
      <c r="DN71" s="252"/>
      <c r="DO71" s="252"/>
      <c r="DP71" s="252"/>
      <c r="DQ71" s="252"/>
      <c r="DR71" s="252"/>
      <c r="DS71" s="252"/>
      <c r="DT71" s="252"/>
      <c r="DU71" s="252"/>
      <c r="DV71" s="488"/>
    </row>
    <row r="72" spans="2:126" ht="69.75" customHeight="1" x14ac:dyDescent="0.15">
      <c r="B72" s="312"/>
      <c r="C72" s="1630" t="s">
        <v>848</v>
      </c>
      <c r="D72" s="1630"/>
      <c r="E72" s="1630"/>
      <c r="F72" s="1630"/>
      <c r="G72" s="1630"/>
      <c r="H72" s="1630"/>
      <c r="I72" s="1630"/>
      <c r="J72" s="1630"/>
      <c r="K72" s="1630"/>
      <c r="L72" s="1630"/>
      <c r="M72" s="1630"/>
      <c r="N72" s="1630"/>
      <c r="O72" s="1630"/>
      <c r="P72" s="1630"/>
      <c r="Q72" s="1630"/>
      <c r="R72" s="1630"/>
      <c r="S72" s="1630"/>
      <c r="T72" s="1630"/>
      <c r="U72" s="1630"/>
      <c r="V72" s="1630"/>
      <c r="W72" s="1630"/>
      <c r="X72" s="1630"/>
      <c r="Y72" s="1630"/>
      <c r="Z72" s="1630"/>
      <c r="AA72" s="1630"/>
      <c r="AB72" s="1630"/>
      <c r="AC72" s="1630"/>
      <c r="AD72" s="1630"/>
      <c r="AE72" s="1630"/>
      <c r="AF72" s="1630"/>
      <c r="AG72" s="1630"/>
      <c r="AH72" s="1630"/>
      <c r="AI72" s="1630"/>
      <c r="AJ72" s="1630"/>
      <c r="AK72" s="1630"/>
      <c r="AL72" s="1630"/>
      <c r="AM72" s="1630"/>
      <c r="AN72" s="1630"/>
      <c r="AO72" s="1630"/>
      <c r="AP72" s="1630"/>
      <c r="AQ72" s="1630"/>
      <c r="AR72" s="1630"/>
      <c r="AS72" s="1630"/>
      <c r="AT72" s="1630"/>
      <c r="AU72" s="1630"/>
      <c r="AV72" s="1630"/>
      <c r="AW72" s="1630"/>
      <c r="AX72" s="1630"/>
      <c r="AY72" s="1630"/>
      <c r="AZ72" s="1630"/>
      <c r="BA72" s="1630"/>
      <c r="BB72" s="1630"/>
      <c r="BC72" s="1630"/>
      <c r="BD72" s="1630"/>
      <c r="BE72" s="1630"/>
      <c r="BF72" s="1630"/>
      <c r="BG72" s="510"/>
      <c r="BH72" s="268"/>
      <c r="BI72" s="487"/>
      <c r="BJ72" s="252"/>
      <c r="BK72" s="252"/>
      <c r="BL72" s="252"/>
      <c r="BM72" s="252"/>
      <c r="BN72" s="252"/>
      <c r="BO72" s="252"/>
      <c r="BP72" s="252"/>
      <c r="BQ72" s="252"/>
      <c r="BR72" s="252"/>
      <c r="BS72" s="252"/>
      <c r="BT72" s="252"/>
      <c r="BU72" s="252"/>
      <c r="BV72" s="252"/>
      <c r="BW72" s="252"/>
      <c r="BX72" s="252"/>
      <c r="BY72" s="252"/>
      <c r="BZ72" s="252"/>
      <c r="CA72" s="252"/>
      <c r="CB72" s="252"/>
      <c r="CC72" s="252"/>
      <c r="CD72" s="252"/>
      <c r="CE72" s="252"/>
      <c r="CF72" s="252"/>
      <c r="CG72" s="252"/>
      <c r="CH72" s="252"/>
      <c r="CI72" s="252"/>
      <c r="CJ72" s="252"/>
      <c r="CK72" s="252"/>
      <c r="CL72" s="252"/>
      <c r="CM72" s="252"/>
      <c r="CN72" s="252"/>
      <c r="CO72" s="252"/>
      <c r="CP72" s="252"/>
      <c r="CQ72" s="252"/>
      <c r="CR72" s="252"/>
      <c r="CS72" s="252"/>
      <c r="CT72" s="252"/>
      <c r="CU72" s="252"/>
      <c r="CV72" s="252"/>
      <c r="CW72" s="252"/>
      <c r="CX72" s="252"/>
      <c r="CY72" s="252"/>
      <c r="CZ72" s="252"/>
      <c r="DA72" s="252"/>
      <c r="DB72" s="252"/>
      <c r="DC72" s="252"/>
      <c r="DD72" s="252"/>
      <c r="DE72" s="252"/>
      <c r="DF72" s="252"/>
      <c r="DG72" s="252"/>
      <c r="DH72" s="252"/>
      <c r="DI72" s="252"/>
      <c r="DJ72" s="252"/>
      <c r="DK72" s="252"/>
      <c r="DL72" s="252"/>
      <c r="DM72" s="252"/>
      <c r="DN72" s="252"/>
      <c r="DO72" s="252"/>
      <c r="DP72" s="252"/>
      <c r="DQ72" s="252"/>
      <c r="DR72" s="252"/>
      <c r="DS72" s="252"/>
      <c r="DT72" s="252"/>
      <c r="DU72" s="252"/>
      <c r="DV72" s="488"/>
    </row>
    <row r="73" spans="2:126" x14ac:dyDescent="0.15">
      <c r="B73" s="312"/>
      <c r="C73" s="1639" t="s">
        <v>1136</v>
      </c>
      <c r="D73" s="1639"/>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1639"/>
      <c r="AB73" s="1639"/>
      <c r="AC73" s="1639"/>
      <c r="AD73" s="1639"/>
      <c r="AE73" s="1639"/>
      <c r="AF73" s="1639"/>
      <c r="AG73" s="1639"/>
      <c r="AH73" s="1639"/>
      <c r="AI73" s="1639"/>
      <c r="AJ73" s="1639"/>
      <c r="AK73" s="1639"/>
      <c r="AL73" s="1639"/>
      <c r="AM73" s="1639"/>
      <c r="AN73" s="1639"/>
      <c r="AO73" s="1639"/>
      <c r="AP73" s="1639"/>
      <c r="AQ73" s="1639"/>
      <c r="AR73" s="1639"/>
      <c r="AS73" s="1639"/>
      <c r="AT73" s="1639"/>
      <c r="AU73" s="1639"/>
      <c r="AV73" s="1639"/>
      <c r="AW73" s="1639"/>
      <c r="AX73" s="1639"/>
      <c r="AY73" s="1639"/>
      <c r="AZ73" s="1639"/>
      <c r="BA73" s="1639"/>
      <c r="BB73" s="1639"/>
      <c r="BC73" s="1639"/>
      <c r="BD73" s="1639"/>
      <c r="BE73" s="1639"/>
      <c r="BF73" s="1639"/>
      <c r="BG73" s="510"/>
      <c r="BH73" s="268"/>
      <c r="BI73" s="487"/>
      <c r="BJ73" s="252"/>
      <c r="BK73" s="252"/>
      <c r="BL73" s="252"/>
      <c r="BM73" s="252"/>
      <c r="BN73" s="252"/>
      <c r="BO73" s="252"/>
      <c r="BP73" s="252"/>
      <c r="BQ73" s="252"/>
      <c r="BR73" s="252"/>
      <c r="BS73" s="252"/>
      <c r="BT73" s="252"/>
      <c r="BU73" s="252"/>
      <c r="BV73" s="252"/>
      <c r="BW73" s="252"/>
      <c r="BX73" s="252"/>
      <c r="BY73" s="252"/>
      <c r="BZ73" s="252"/>
      <c r="CA73" s="252"/>
      <c r="CB73" s="252"/>
      <c r="CC73" s="252"/>
      <c r="CD73" s="252"/>
      <c r="CE73" s="252"/>
      <c r="CF73" s="252"/>
      <c r="CG73" s="252"/>
      <c r="CH73" s="252"/>
      <c r="CI73" s="252"/>
      <c r="CJ73" s="252"/>
      <c r="CK73" s="252"/>
      <c r="CL73" s="252"/>
      <c r="CM73" s="252"/>
      <c r="CN73" s="252"/>
      <c r="CO73" s="252"/>
      <c r="CP73" s="252"/>
      <c r="CQ73" s="252"/>
      <c r="CR73" s="252"/>
      <c r="CS73" s="252"/>
      <c r="CT73" s="252"/>
      <c r="CU73" s="252"/>
      <c r="CV73" s="252"/>
      <c r="CW73" s="252"/>
      <c r="CX73" s="252"/>
      <c r="CY73" s="252"/>
      <c r="CZ73" s="252"/>
      <c r="DA73" s="252"/>
      <c r="DB73" s="252"/>
      <c r="DC73" s="252"/>
      <c r="DD73" s="252"/>
      <c r="DE73" s="252"/>
      <c r="DF73" s="252"/>
      <c r="DG73" s="252"/>
      <c r="DH73" s="252"/>
      <c r="DI73" s="252"/>
      <c r="DJ73" s="252"/>
      <c r="DK73" s="252"/>
      <c r="DL73" s="252"/>
      <c r="DM73" s="252"/>
      <c r="DN73" s="252"/>
      <c r="DO73" s="252"/>
      <c r="DP73" s="252"/>
      <c r="DQ73" s="252"/>
      <c r="DR73" s="252"/>
      <c r="DS73" s="252"/>
      <c r="DT73" s="252"/>
      <c r="DU73" s="252"/>
      <c r="DV73" s="488"/>
    </row>
    <row r="74" spans="2:126" ht="210" customHeight="1" x14ac:dyDescent="0.15">
      <c r="B74" s="312"/>
      <c r="C74" s="1630" t="s">
        <v>1134</v>
      </c>
      <c r="D74" s="1630"/>
      <c r="E74" s="1630"/>
      <c r="F74" s="1630"/>
      <c r="G74" s="1630"/>
      <c r="H74" s="1630"/>
      <c r="I74" s="1630"/>
      <c r="J74" s="1630"/>
      <c r="K74" s="1630"/>
      <c r="L74" s="1630"/>
      <c r="M74" s="1630"/>
      <c r="N74" s="1630"/>
      <c r="O74" s="1630"/>
      <c r="P74" s="1630"/>
      <c r="Q74" s="1630"/>
      <c r="R74" s="1630"/>
      <c r="S74" s="1630"/>
      <c r="T74" s="1630"/>
      <c r="U74" s="1630"/>
      <c r="V74" s="1630"/>
      <c r="W74" s="1630"/>
      <c r="X74" s="1630"/>
      <c r="Y74" s="1630"/>
      <c r="Z74" s="1630"/>
      <c r="AA74" s="1630"/>
      <c r="AB74" s="1630"/>
      <c r="AC74" s="1630"/>
      <c r="AD74" s="1630"/>
      <c r="AE74" s="1630"/>
      <c r="AF74" s="1630"/>
      <c r="AG74" s="1630"/>
      <c r="AH74" s="1630"/>
      <c r="AI74" s="1630"/>
      <c r="AJ74" s="1630"/>
      <c r="AK74" s="1630"/>
      <c r="AL74" s="1630"/>
      <c r="AM74" s="1630"/>
      <c r="AN74" s="1630"/>
      <c r="AO74" s="1630"/>
      <c r="AP74" s="1630"/>
      <c r="AQ74" s="1630"/>
      <c r="AR74" s="1630"/>
      <c r="AS74" s="1630"/>
      <c r="AT74" s="1630"/>
      <c r="AU74" s="1630"/>
      <c r="AV74" s="1630"/>
      <c r="AW74" s="1630"/>
      <c r="AX74" s="1630"/>
      <c r="AY74" s="1630"/>
      <c r="AZ74" s="1630"/>
      <c r="BA74" s="1630"/>
      <c r="BB74" s="1630"/>
      <c r="BC74" s="1630"/>
      <c r="BD74" s="1630"/>
      <c r="BE74" s="1630"/>
      <c r="BF74" s="1630"/>
      <c r="BG74" s="510"/>
      <c r="BH74" s="268"/>
      <c r="BI74" s="487"/>
      <c r="BJ74" s="252"/>
      <c r="BK74" s="252"/>
      <c r="BL74" s="252"/>
      <c r="BM74" s="252"/>
      <c r="BN74" s="252"/>
      <c r="BO74" s="252"/>
      <c r="BP74" s="252"/>
      <c r="BQ74" s="252"/>
      <c r="BR74" s="252"/>
      <c r="BS74" s="252"/>
      <c r="BT74" s="252"/>
      <c r="BU74" s="252"/>
      <c r="BV74" s="252"/>
      <c r="BW74" s="252"/>
      <c r="BX74" s="252"/>
      <c r="BY74" s="252"/>
      <c r="BZ74" s="252"/>
      <c r="CA74" s="252"/>
      <c r="CB74" s="252"/>
      <c r="CC74" s="252"/>
      <c r="CD74" s="252"/>
      <c r="CE74" s="252"/>
      <c r="CF74" s="252"/>
      <c r="CG74" s="252"/>
      <c r="CH74" s="252"/>
      <c r="CI74" s="252"/>
      <c r="CJ74" s="252"/>
      <c r="CK74" s="252"/>
      <c r="CL74" s="252"/>
      <c r="CM74" s="252"/>
      <c r="CN74" s="252"/>
      <c r="CO74" s="252"/>
      <c r="CP74" s="252"/>
      <c r="CQ74" s="252"/>
      <c r="CR74" s="252"/>
      <c r="CS74" s="252"/>
      <c r="CT74" s="252"/>
      <c r="CU74" s="252"/>
      <c r="CV74" s="252"/>
      <c r="CW74" s="252"/>
      <c r="CX74" s="252"/>
      <c r="CY74" s="252"/>
      <c r="CZ74" s="252"/>
      <c r="DA74" s="252"/>
      <c r="DB74" s="252"/>
      <c r="DC74" s="252"/>
      <c r="DD74" s="252"/>
      <c r="DE74" s="252"/>
      <c r="DF74" s="252"/>
      <c r="DG74" s="252"/>
      <c r="DH74" s="252"/>
      <c r="DI74" s="252"/>
      <c r="DJ74" s="252"/>
      <c r="DK74" s="252"/>
      <c r="DL74" s="252"/>
      <c r="DM74" s="252"/>
      <c r="DN74" s="252"/>
      <c r="DO74" s="252"/>
      <c r="DP74" s="252"/>
      <c r="DQ74" s="252"/>
      <c r="DR74" s="252"/>
      <c r="DS74" s="252"/>
      <c r="DT74" s="252"/>
      <c r="DU74" s="252"/>
      <c r="DV74" s="488"/>
    </row>
    <row r="75" spans="2:126" x14ac:dyDescent="0.15">
      <c r="B75" s="312"/>
      <c r="C75" s="1639" t="s">
        <v>607</v>
      </c>
      <c r="D75" s="1639"/>
      <c r="E75" s="1639"/>
      <c r="F75" s="1639"/>
      <c r="G75" s="1639"/>
      <c r="H75" s="1639"/>
      <c r="I75" s="1639"/>
      <c r="J75" s="1639"/>
      <c r="K75" s="1639"/>
      <c r="L75" s="1639"/>
      <c r="M75" s="1639"/>
      <c r="N75" s="1639"/>
      <c r="O75" s="1639"/>
      <c r="P75" s="1639"/>
      <c r="Q75" s="1639"/>
      <c r="R75" s="1639"/>
      <c r="S75" s="1639"/>
      <c r="T75" s="1639"/>
      <c r="U75" s="1639"/>
      <c r="V75" s="1639"/>
      <c r="W75" s="1639"/>
      <c r="X75" s="1639"/>
      <c r="Y75" s="1639"/>
      <c r="Z75" s="1639"/>
      <c r="AA75" s="1639"/>
      <c r="AB75" s="1639"/>
      <c r="AC75" s="1639"/>
      <c r="AD75" s="1639"/>
      <c r="AE75" s="1639"/>
      <c r="AF75" s="1639"/>
      <c r="AG75" s="1639"/>
      <c r="AH75" s="1639"/>
      <c r="AI75" s="1639"/>
      <c r="AJ75" s="1639"/>
      <c r="AK75" s="1639"/>
      <c r="AL75" s="1639"/>
      <c r="AM75" s="1639"/>
      <c r="AN75" s="1639"/>
      <c r="AO75" s="1639"/>
      <c r="AP75" s="1639"/>
      <c r="AQ75" s="1639"/>
      <c r="AR75" s="1639"/>
      <c r="AS75" s="1639"/>
      <c r="AT75" s="1639"/>
      <c r="AU75" s="1639"/>
      <c r="AV75" s="1639"/>
      <c r="AW75" s="1639"/>
      <c r="AX75" s="1639"/>
      <c r="AY75" s="1639"/>
      <c r="AZ75" s="1639"/>
      <c r="BA75" s="1639"/>
      <c r="BB75" s="1639"/>
      <c r="BC75" s="1639"/>
      <c r="BD75" s="1639"/>
      <c r="BE75" s="1639"/>
      <c r="BF75" s="1639"/>
      <c r="BG75" s="510"/>
      <c r="BH75" s="268"/>
      <c r="BI75" s="487"/>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c r="DM75" s="252"/>
      <c r="DN75" s="252"/>
      <c r="DO75" s="252"/>
      <c r="DP75" s="252"/>
      <c r="DQ75" s="252"/>
      <c r="DR75" s="252"/>
      <c r="DS75" s="252"/>
      <c r="DT75" s="252"/>
      <c r="DU75" s="252"/>
      <c r="DV75" s="488"/>
    </row>
    <row r="76" spans="2:126" ht="70.5" customHeight="1" x14ac:dyDescent="0.15">
      <c r="B76" s="312"/>
      <c r="C76" s="1630" t="s">
        <v>1137</v>
      </c>
      <c r="D76" s="1630"/>
      <c r="E76" s="1630"/>
      <c r="F76" s="1630"/>
      <c r="G76" s="1630"/>
      <c r="H76" s="1630"/>
      <c r="I76" s="1630"/>
      <c r="J76" s="1630"/>
      <c r="K76" s="1630"/>
      <c r="L76" s="1630"/>
      <c r="M76" s="1630"/>
      <c r="N76" s="1630"/>
      <c r="O76" s="1630"/>
      <c r="P76" s="1630"/>
      <c r="Q76" s="1630"/>
      <c r="R76" s="1630"/>
      <c r="S76" s="1630"/>
      <c r="T76" s="1630"/>
      <c r="U76" s="1630"/>
      <c r="V76" s="1630"/>
      <c r="W76" s="1630"/>
      <c r="X76" s="1630"/>
      <c r="Y76" s="1630"/>
      <c r="Z76" s="1630"/>
      <c r="AA76" s="1630"/>
      <c r="AB76" s="1630"/>
      <c r="AC76" s="1630"/>
      <c r="AD76" s="1630"/>
      <c r="AE76" s="1630"/>
      <c r="AF76" s="1630"/>
      <c r="AG76" s="1630"/>
      <c r="AH76" s="1630"/>
      <c r="AI76" s="1630"/>
      <c r="AJ76" s="1630"/>
      <c r="AK76" s="1630"/>
      <c r="AL76" s="1630"/>
      <c r="AM76" s="1630"/>
      <c r="AN76" s="1630"/>
      <c r="AO76" s="1630"/>
      <c r="AP76" s="1630"/>
      <c r="AQ76" s="1630"/>
      <c r="AR76" s="1630"/>
      <c r="AS76" s="1630"/>
      <c r="AT76" s="1630"/>
      <c r="AU76" s="1630"/>
      <c r="AV76" s="1630"/>
      <c r="AW76" s="1630"/>
      <c r="AX76" s="1630"/>
      <c r="AY76" s="1630"/>
      <c r="AZ76" s="1630"/>
      <c r="BA76" s="1630"/>
      <c r="BB76" s="1630"/>
      <c r="BC76" s="1630"/>
      <c r="BD76" s="1630"/>
      <c r="BE76" s="1630"/>
      <c r="BF76" s="1630"/>
      <c r="BG76" s="510"/>
      <c r="BH76" s="268"/>
      <c r="BI76" s="487"/>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c r="DM76" s="252"/>
      <c r="DN76" s="252"/>
      <c r="DO76" s="252"/>
      <c r="DP76" s="252"/>
      <c r="DQ76" s="252"/>
      <c r="DR76" s="252"/>
      <c r="DS76" s="252"/>
      <c r="DT76" s="252"/>
      <c r="DU76" s="252"/>
      <c r="DV76" s="488"/>
    </row>
    <row r="77" spans="2:126" x14ac:dyDescent="0.15">
      <c r="B77" s="312"/>
      <c r="C77" s="1639" t="s">
        <v>779</v>
      </c>
      <c r="D77" s="1639"/>
      <c r="E77" s="1639"/>
      <c r="F77" s="1639"/>
      <c r="G77" s="1639"/>
      <c r="H77" s="1639"/>
      <c r="I77" s="1639"/>
      <c r="J77" s="1639"/>
      <c r="K77" s="1639"/>
      <c r="L77" s="1639"/>
      <c r="M77" s="1639"/>
      <c r="N77" s="1639"/>
      <c r="O77" s="1639"/>
      <c r="P77" s="1639"/>
      <c r="Q77" s="1639"/>
      <c r="R77" s="1639"/>
      <c r="S77" s="1639"/>
      <c r="T77" s="1639"/>
      <c r="U77" s="1639"/>
      <c r="V77" s="1639"/>
      <c r="W77" s="1639"/>
      <c r="X77" s="1639"/>
      <c r="Y77" s="1639"/>
      <c r="Z77" s="1639"/>
      <c r="AA77" s="1639"/>
      <c r="AB77" s="1639"/>
      <c r="AC77" s="1639"/>
      <c r="AD77" s="1639"/>
      <c r="AE77" s="1639"/>
      <c r="AF77" s="1639"/>
      <c r="AG77" s="1639"/>
      <c r="AH77" s="1639"/>
      <c r="AI77" s="1639"/>
      <c r="AJ77" s="1639"/>
      <c r="AK77" s="1639"/>
      <c r="AL77" s="1639"/>
      <c r="AM77" s="1639"/>
      <c r="AN77" s="1639"/>
      <c r="AO77" s="1639"/>
      <c r="AP77" s="1639"/>
      <c r="AQ77" s="1639"/>
      <c r="AR77" s="1639"/>
      <c r="AS77" s="1639"/>
      <c r="AT77" s="1639"/>
      <c r="AU77" s="1639"/>
      <c r="AV77" s="1639"/>
      <c r="AW77" s="1639"/>
      <c r="AX77" s="1639"/>
      <c r="AY77" s="1639"/>
      <c r="AZ77" s="1639"/>
      <c r="BA77" s="1639"/>
      <c r="BB77" s="1639"/>
      <c r="BC77" s="1639"/>
      <c r="BD77" s="1639"/>
      <c r="BE77" s="1639"/>
      <c r="BF77" s="1639"/>
      <c r="BG77" s="510"/>
      <c r="BH77" s="268"/>
      <c r="BI77" s="487"/>
      <c r="BJ77" s="252"/>
      <c r="BK77" s="252"/>
      <c r="BL77" s="252"/>
      <c r="BM77" s="252"/>
      <c r="BN77" s="252"/>
      <c r="BO77" s="252"/>
      <c r="BP77" s="252"/>
      <c r="BQ77" s="252"/>
      <c r="BR77" s="252"/>
      <c r="BS77" s="252"/>
      <c r="BT77" s="252"/>
      <c r="BU77" s="252"/>
      <c r="BV77" s="252"/>
      <c r="BW77" s="252"/>
      <c r="BX77" s="252"/>
      <c r="BY77" s="252"/>
      <c r="BZ77" s="252"/>
      <c r="CA77" s="252"/>
      <c r="CB77" s="252"/>
      <c r="CC77" s="252"/>
      <c r="CD77" s="252"/>
      <c r="CE77" s="252"/>
      <c r="CF77" s="252"/>
      <c r="CG77" s="252"/>
      <c r="CH77" s="252"/>
      <c r="CI77" s="252"/>
      <c r="CJ77" s="252"/>
      <c r="CK77" s="252"/>
      <c r="CL77" s="252"/>
      <c r="CM77" s="252"/>
      <c r="CN77" s="252"/>
      <c r="CO77" s="252"/>
      <c r="CP77" s="252"/>
      <c r="CQ77" s="252"/>
      <c r="CR77" s="252"/>
      <c r="CS77" s="252"/>
      <c r="CT77" s="252"/>
      <c r="CU77" s="252"/>
      <c r="CV77" s="252"/>
      <c r="CW77" s="252"/>
      <c r="CX77" s="252"/>
      <c r="CY77" s="252"/>
      <c r="CZ77" s="252"/>
      <c r="DA77" s="252"/>
      <c r="DB77" s="252"/>
      <c r="DC77" s="252"/>
      <c r="DD77" s="252"/>
      <c r="DE77" s="252"/>
      <c r="DF77" s="252"/>
      <c r="DG77" s="252"/>
      <c r="DH77" s="252"/>
      <c r="DI77" s="252"/>
      <c r="DJ77" s="252"/>
      <c r="DK77" s="252"/>
      <c r="DL77" s="252"/>
      <c r="DM77" s="252"/>
      <c r="DN77" s="252"/>
      <c r="DO77" s="252"/>
      <c r="DP77" s="252"/>
      <c r="DQ77" s="252"/>
      <c r="DR77" s="252"/>
      <c r="DS77" s="252"/>
      <c r="DT77" s="252"/>
      <c r="DU77" s="252"/>
      <c r="DV77" s="488"/>
    </row>
    <row r="78" spans="2:126" ht="29.25" customHeight="1" x14ac:dyDescent="0.15">
      <c r="B78" s="312"/>
      <c r="C78" s="505"/>
      <c r="D78" s="1022"/>
      <c r="E78" s="1640" t="s">
        <v>780</v>
      </c>
      <c r="F78" s="1640"/>
      <c r="G78" s="1640"/>
      <c r="H78" s="1640"/>
      <c r="I78" s="1640"/>
      <c r="J78" s="1640"/>
      <c r="K78" s="1640"/>
      <c r="L78" s="1640"/>
      <c r="M78" s="1640"/>
      <c r="N78" s="1640"/>
      <c r="O78" s="1640"/>
      <c r="P78" s="1640"/>
      <c r="Q78" s="1640"/>
      <c r="R78" s="1640"/>
      <c r="S78" s="1640"/>
      <c r="T78" s="1640"/>
      <c r="U78" s="1640"/>
      <c r="V78" s="1640"/>
      <c r="W78" s="1640"/>
      <c r="X78" s="1640"/>
      <c r="Y78" s="1640"/>
      <c r="Z78" s="1640"/>
      <c r="AA78" s="1640"/>
      <c r="AB78" s="1640"/>
      <c r="AC78" s="1640"/>
      <c r="AD78" s="1640"/>
      <c r="AE78" s="1640"/>
      <c r="AF78" s="1640"/>
      <c r="AG78" s="1640"/>
      <c r="AH78" s="1640"/>
      <c r="AI78" s="1640"/>
      <c r="AJ78" s="1640"/>
      <c r="AK78" s="1640"/>
      <c r="AL78" s="1640"/>
      <c r="AM78" s="1640"/>
      <c r="AN78" s="1640"/>
      <c r="AO78" s="1640"/>
      <c r="AP78" s="1640"/>
      <c r="AQ78" s="1640"/>
      <c r="AR78" s="1640"/>
      <c r="AS78" s="1640"/>
      <c r="AT78" s="1640"/>
      <c r="AU78" s="1640"/>
      <c r="AV78" s="1640"/>
      <c r="AW78" s="1640"/>
      <c r="AX78" s="1640"/>
      <c r="AY78" s="1640"/>
      <c r="AZ78" s="1640"/>
      <c r="BA78" s="1640"/>
      <c r="BB78" s="1640"/>
      <c r="BC78" s="1640"/>
      <c r="BD78" s="1640"/>
      <c r="BE78" s="1640"/>
      <c r="BF78" s="1640"/>
      <c r="BG78" s="510"/>
      <c r="BH78" s="268"/>
      <c r="BI78" s="487"/>
      <c r="BJ78" s="252"/>
      <c r="BK78" s="252"/>
      <c r="BL78" s="252"/>
      <c r="BM78" s="252"/>
      <c r="BN78" s="252"/>
      <c r="BO78" s="252"/>
      <c r="BP78" s="252"/>
      <c r="BQ78" s="252"/>
      <c r="BR78" s="252"/>
      <c r="BS78" s="252"/>
      <c r="BT78" s="252"/>
      <c r="BU78" s="252"/>
      <c r="BV78" s="252"/>
      <c r="BW78" s="252"/>
      <c r="BX78" s="252"/>
      <c r="BY78" s="252"/>
      <c r="BZ78" s="252"/>
      <c r="CA78" s="252"/>
      <c r="CB78" s="252"/>
      <c r="CC78" s="252"/>
      <c r="CD78" s="252"/>
      <c r="CE78" s="252"/>
      <c r="CF78" s="252"/>
      <c r="CG78" s="252"/>
      <c r="CH78" s="252"/>
      <c r="CI78" s="252"/>
      <c r="CJ78" s="252"/>
      <c r="CK78" s="252"/>
      <c r="CL78" s="252"/>
      <c r="CM78" s="252"/>
      <c r="CN78" s="252"/>
      <c r="CO78" s="252"/>
      <c r="CP78" s="252"/>
      <c r="CQ78" s="252"/>
      <c r="CR78" s="252"/>
      <c r="CS78" s="252"/>
      <c r="CT78" s="252"/>
      <c r="CU78" s="252"/>
      <c r="CV78" s="252"/>
      <c r="CW78" s="252"/>
      <c r="CX78" s="252"/>
      <c r="CY78" s="252"/>
      <c r="CZ78" s="252"/>
      <c r="DA78" s="252"/>
      <c r="DB78" s="252"/>
      <c r="DC78" s="252"/>
      <c r="DD78" s="252"/>
      <c r="DE78" s="252"/>
      <c r="DF78" s="252"/>
      <c r="DG78" s="252"/>
      <c r="DH78" s="252"/>
      <c r="DI78" s="252"/>
      <c r="DJ78" s="252"/>
      <c r="DK78" s="252"/>
      <c r="DL78" s="252"/>
      <c r="DM78" s="252"/>
      <c r="DN78" s="252"/>
      <c r="DO78" s="252"/>
      <c r="DP78" s="252"/>
      <c r="DQ78" s="252"/>
      <c r="DR78" s="252"/>
      <c r="DS78" s="252"/>
      <c r="DT78" s="252"/>
      <c r="DU78" s="252"/>
      <c r="DV78" s="488"/>
    </row>
    <row r="79" spans="2:126" ht="43.5" customHeight="1" x14ac:dyDescent="0.15">
      <c r="B79" s="315"/>
      <c r="C79" s="511"/>
      <c r="D79" s="1023"/>
      <c r="E79" s="1641" t="s">
        <v>781</v>
      </c>
      <c r="F79" s="1641"/>
      <c r="G79" s="1641"/>
      <c r="H79" s="1641"/>
      <c r="I79" s="1641"/>
      <c r="J79" s="1641"/>
      <c r="K79" s="1641"/>
      <c r="L79" s="1641"/>
      <c r="M79" s="164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641"/>
      <c r="AM79" s="1641"/>
      <c r="AN79" s="1641"/>
      <c r="AO79" s="1641"/>
      <c r="AP79" s="1641"/>
      <c r="AQ79" s="1641"/>
      <c r="AR79" s="1641"/>
      <c r="AS79" s="1641"/>
      <c r="AT79" s="1641"/>
      <c r="AU79" s="1641"/>
      <c r="AV79" s="1641"/>
      <c r="AW79" s="1641"/>
      <c r="AX79" s="1641"/>
      <c r="AY79" s="1641"/>
      <c r="AZ79" s="1641"/>
      <c r="BA79" s="1641"/>
      <c r="BB79" s="1641"/>
      <c r="BC79" s="1641"/>
      <c r="BD79" s="1641"/>
      <c r="BE79" s="1641"/>
      <c r="BF79" s="1641"/>
      <c r="BG79" s="512"/>
      <c r="BH79" s="268"/>
      <c r="BI79" s="487"/>
      <c r="BJ79" s="252"/>
      <c r="BK79" s="252"/>
      <c r="BL79" s="252"/>
      <c r="BM79" s="252"/>
      <c r="BN79" s="252"/>
      <c r="BO79" s="252"/>
      <c r="BP79" s="252"/>
      <c r="BQ79" s="252"/>
      <c r="BR79" s="252"/>
      <c r="BS79" s="252"/>
      <c r="BT79" s="252"/>
      <c r="BU79" s="252"/>
      <c r="BV79" s="252"/>
      <c r="BW79" s="252"/>
      <c r="BX79" s="252"/>
      <c r="BY79" s="252"/>
      <c r="BZ79" s="252"/>
      <c r="CA79" s="252"/>
      <c r="CB79" s="252"/>
      <c r="CC79" s="252"/>
      <c r="CD79" s="252"/>
      <c r="CE79" s="252"/>
      <c r="CF79" s="252"/>
      <c r="CG79" s="252"/>
      <c r="CH79" s="252"/>
      <c r="CI79" s="252"/>
      <c r="CJ79" s="252"/>
      <c r="CK79" s="252"/>
      <c r="CL79" s="252"/>
      <c r="CM79" s="252"/>
      <c r="CN79" s="252"/>
      <c r="CO79" s="252"/>
      <c r="CP79" s="252"/>
      <c r="CQ79" s="252"/>
      <c r="CR79" s="252"/>
      <c r="CS79" s="252"/>
      <c r="CT79" s="252"/>
      <c r="CU79" s="252"/>
      <c r="CV79" s="252"/>
      <c r="CW79" s="252"/>
      <c r="CX79" s="252"/>
      <c r="CY79" s="252"/>
      <c r="CZ79" s="252"/>
      <c r="DA79" s="252"/>
      <c r="DB79" s="252"/>
      <c r="DC79" s="252"/>
      <c r="DD79" s="252"/>
      <c r="DE79" s="252"/>
      <c r="DF79" s="252"/>
      <c r="DG79" s="252"/>
      <c r="DH79" s="252"/>
      <c r="DI79" s="252"/>
      <c r="DJ79" s="252"/>
      <c r="DK79" s="252"/>
      <c r="DL79" s="252"/>
      <c r="DM79" s="252"/>
      <c r="DN79" s="252"/>
      <c r="DO79" s="252"/>
      <c r="DP79" s="252"/>
      <c r="DQ79" s="252"/>
      <c r="DR79" s="252"/>
      <c r="DS79" s="252"/>
      <c r="DT79" s="252"/>
      <c r="DU79" s="252"/>
      <c r="DV79" s="488"/>
    </row>
    <row r="80" spans="2:126" x14ac:dyDescent="0.15">
      <c r="B80" s="1680" t="s">
        <v>843</v>
      </c>
      <c r="C80" s="1681"/>
      <c r="D80" s="1681"/>
      <c r="E80" s="1681"/>
      <c r="F80" s="1681"/>
      <c r="G80" s="1681"/>
      <c r="H80" s="1681"/>
      <c r="I80" s="1681"/>
      <c r="J80" s="1681"/>
      <c r="K80" s="1681"/>
      <c r="L80" s="1681"/>
      <c r="M80" s="1681"/>
      <c r="N80" s="1681"/>
      <c r="O80" s="1681"/>
      <c r="P80" s="1681"/>
      <c r="Q80" s="1681"/>
      <c r="R80" s="1681"/>
      <c r="S80" s="1681"/>
      <c r="T80" s="1681"/>
      <c r="U80" s="1681"/>
      <c r="V80" s="1681"/>
      <c r="W80" s="1681"/>
      <c r="X80" s="1681"/>
      <c r="Y80" s="1681"/>
      <c r="Z80" s="1681"/>
      <c r="AA80" s="1681"/>
      <c r="AB80" s="1681"/>
      <c r="AC80" s="1681"/>
      <c r="AD80" s="1681"/>
      <c r="AE80" s="1681"/>
      <c r="AF80" s="1681"/>
      <c r="AG80" s="1681"/>
      <c r="AH80" s="1681"/>
      <c r="AI80" s="1681"/>
      <c r="AJ80" s="1681"/>
      <c r="AK80" s="1681"/>
      <c r="AL80" s="1681"/>
      <c r="AM80" s="1681"/>
      <c r="AN80" s="1681"/>
      <c r="AO80" s="1681"/>
      <c r="AP80" s="1681"/>
      <c r="AQ80" s="1681"/>
      <c r="AR80" s="1681"/>
      <c r="AS80" s="1681"/>
      <c r="AT80" s="1681"/>
      <c r="AU80" s="1681"/>
      <c r="AV80" s="1681"/>
      <c r="AW80" s="1681"/>
      <c r="AX80" s="1681"/>
      <c r="AY80" s="1681"/>
      <c r="AZ80" s="1681"/>
      <c r="BA80" s="1681"/>
      <c r="BB80" s="1681"/>
      <c r="BC80" s="1681"/>
      <c r="BD80" s="1681"/>
      <c r="BE80" s="1681"/>
      <c r="BF80" s="1681"/>
      <c r="BG80" s="1682"/>
      <c r="BH80" s="264"/>
      <c r="BI80" s="487"/>
      <c r="BJ80" s="252"/>
      <c r="BK80" s="252"/>
      <c r="BL80" s="252"/>
      <c r="BM80" s="252"/>
      <c r="BN80" s="252"/>
      <c r="BO80" s="252"/>
      <c r="BP80" s="252"/>
      <c r="BQ80" s="252"/>
      <c r="BR80" s="252"/>
      <c r="BS80" s="252"/>
      <c r="BT80" s="252"/>
      <c r="BU80" s="252"/>
      <c r="BV80" s="252"/>
      <c r="BW80" s="252"/>
      <c r="BX80" s="252"/>
      <c r="BY80" s="252"/>
      <c r="BZ80" s="252"/>
      <c r="CA80" s="252"/>
      <c r="CB80" s="252"/>
      <c r="CC80" s="252"/>
      <c r="CD80" s="252"/>
      <c r="CE80" s="252"/>
      <c r="CF80" s="252"/>
      <c r="CG80" s="252"/>
      <c r="CH80" s="252"/>
      <c r="CI80" s="252"/>
      <c r="CJ80" s="252"/>
      <c r="CK80" s="252"/>
      <c r="CL80" s="252"/>
      <c r="CM80" s="252"/>
      <c r="CN80" s="252"/>
      <c r="CO80" s="252"/>
      <c r="CP80" s="252"/>
      <c r="CQ80" s="252"/>
      <c r="CR80" s="252"/>
      <c r="CS80" s="252"/>
      <c r="CT80" s="252"/>
      <c r="CU80" s="252"/>
      <c r="CV80" s="252"/>
      <c r="CW80" s="252"/>
      <c r="CX80" s="252"/>
      <c r="CY80" s="252"/>
      <c r="CZ80" s="252"/>
      <c r="DA80" s="252"/>
      <c r="DB80" s="252"/>
      <c r="DC80" s="252"/>
      <c r="DD80" s="252"/>
      <c r="DE80" s="252"/>
      <c r="DF80" s="252"/>
      <c r="DG80" s="252"/>
      <c r="DH80" s="252"/>
      <c r="DI80" s="252"/>
      <c r="DJ80" s="252"/>
      <c r="DK80" s="252"/>
      <c r="DL80" s="252"/>
      <c r="DM80" s="252"/>
      <c r="DN80" s="252"/>
      <c r="DO80" s="252"/>
      <c r="DP80" s="252"/>
      <c r="DQ80" s="252"/>
      <c r="DR80" s="252"/>
      <c r="DS80" s="252"/>
      <c r="DT80" s="252"/>
      <c r="DU80" s="252"/>
      <c r="DV80" s="488"/>
    </row>
    <row r="81" spans="2:126" ht="15" thickBot="1" x14ac:dyDescent="0.2">
      <c r="B81" s="317"/>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9"/>
      <c r="BH81" s="260"/>
      <c r="BI81" s="487"/>
      <c r="BJ81" s="493" t="str">
        <f>+IF(BO12=2,2,IF(BO13=3,3,""))</f>
        <v/>
      </c>
      <c r="BK81" s="1649" t="s">
        <v>619</v>
      </c>
      <c r="BL81" s="1649"/>
      <c r="BM81" s="1649"/>
      <c r="BN81" s="1649"/>
      <c r="BO81" s="1649"/>
      <c r="BP81" s="1649"/>
      <c r="BQ81" s="1649"/>
      <c r="BR81" s="1649"/>
      <c r="BS81" s="1649"/>
      <c r="BT81" s="1649"/>
      <c r="BU81" s="1649"/>
      <c r="BV81" s="1649"/>
      <c r="BW81" s="493" t="str">
        <f>+IF(BO14=4,4,IF(BO15=5,5,""))</f>
        <v/>
      </c>
      <c r="BX81" s="1649" t="s">
        <v>481</v>
      </c>
      <c r="BY81" s="1649"/>
      <c r="BZ81" s="1649"/>
      <c r="CA81" s="1649"/>
      <c r="CB81" s="1649"/>
      <c r="CC81" s="1649"/>
      <c r="CD81" s="1649"/>
      <c r="CE81" s="1649"/>
      <c r="CF81" s="1649"/>
      <c r="CG81" s="1649"/>
      <c r="CH81" s="1649"/>
      <c r="CI81" s="1649"/>
      <c r="CJ81" s="493" t="str">
        <f>+IF(BU11="a","a",IF(BU14="d","d",IF(BU15="e","e",IF(BU16="f","f",""))))</f>
        <v/>
      </c>
      <c r="CK81" s="1649" t="s">
        <v>651</v>
      </c>
      <c r="CL81" s="1649"/>
      <c r="CM81" s="1649"/>
      <c r="CN81" s="1649"/>
      <c r="CO81" s="1649"/>
      <c r="CP81" s="1649"/>
      <c r="CQ81" s="1649"/>
      <c r="CR81" s="1649"/>
      <c r="CS81" s="1649"/>
      <c r="CT81" s="1649"/>
      <c r="CU81" s="1649"/>
      <c r="CV81" s="1649"/>
      <c r="CW81" s="493" t="str">
        <f>+IF(BU13="c","c","")</f>
        <v/>
      </c>
      <c r="CX81" s="1649" t="s">
        <v>661</v>
      </c>
      <c r="CY81" s="1649"/>
      <c r="CZ81" s="1649"/>
      <c r="DA81" s="1649"/>
      <c r="DB81" s="1649"/>
      <c r="DC81" s="1649"/>
      <c r="DD81" s="1649"/>
      <c r="DE81" s="1649"/>
      <c r="DF81" s="1649"/>
      <c r="DG81" s="1649"/>
      <c r="DH81" s="1649"/>
      <c r="DI81" s="1649"/>
      <c r="DJ81" s="493" t="str">
        <f>+IF(BU12="b","b","")</f>
        <v/>
      </c>
      <c r="DK81" s="1649" t="s">
        <v>666</v>
      </c>
      <c r="DL81" s="1649"/>
      <c r="DM81" s="1649"/>
      <c r="DN81" s="1649"/>
      <c r="DO81" s="1649"/>
      <c r="DP81" s="1649"/>
      <c r="DQ81" s="1649"/>
      <c r="DR81" s="1649"/>
      <c r="DS81" s="1649"/>
      <c r="DT81" s="1649"/>
      <c r="DU81" s="1649"/>
      <c r="DV81" s="1659"/>
    </row>
    <row r="82" spans="2:126" ht="15" thickBot="1" x14ac:dyDescent="0.2">
      <c r="B82" s="312"/>
      <c r="C82" s="1683" t="str">
        <f>+IF(B2="","",B2)</f>
        <v/>
      </c>
      <c r="D82" s="1684"/>
      <c r="E82" s="1684"/>
      <c r="F82" s="1684"/>
      <c r="G82" s="1684"/>
      <c r="H82" s="1684"/>
      <c r="I82" s="1684"/>
      <c r="J82" s="1684"/>
      <c r="K82" s="1684"/>
      <c r="L82" s="1684"/>
      <c r="M82" s="1684"/>
      <c r="N82" s="1684"/>
      <c r="O82" s="1684"/>
      <c r="P82" s="1684"/>
      <c r="Q82" s="1684"/>
      <c r="R82" s="1684"/>
      <c r="S82" s="1684"/>
      <c r="T82" s="1685"/>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314"/>
      <c r="BH82" s="260"/>
      <c r="BI82" s="489" t="str">
        <f>+IF(BJ82=1,1,IF(BW82=2,2,IF(CJ82=3,3,IF(CW82=4,4,IF(DJ82=5,5,"")))))</f>
        <v/>
      </c>
      <c r="BJ82" s="252" t="str">
        <f>IF(OR($BJ$81="",BK82=""),"",1)</f>
        <v/>
      </c>
      <c r="BK82" s="1658" t="s">
        <v>621</v>
      </c>
      <c r="BL82" s="1658"/>
      <c r="BM82" s="1658"/>
      <c r="BN82" s="1658"/>
      <c r="BO82" s="1658"/>
      <c r="BP82" s="1658"/>
      <c r="BQ82" s="1658"/>
      <c r="BR82" s="1658"/>
      <c r="BS82" s="1658"/>
      <c r="BT82" s="1658"/>
      <c r="BU82" s="1658"/>
      <c r="BV82" s="1658"/>
      <c r="BW82" s="252" t="str">
        <f>+IF(OR($BW$81="",BX82=""),"",2)</f>
        <v/>
      </c>
      <c r="BX82" s="1658" t="s">
        <v>621</v>
      </c>
      <c r="BY82" s="1658"/>
      <c r="BZ82" s="1658"/>
      <c r="CA82" s="1658"/>
      <c r="CB82" s="1658"/>
      <c r="CC82" s="1658"/>
      <c r="CD82" s="1658"/>
      <c r="CE82" s="1658"/>
      <c r="CF82" s="1658"/>
      <c r="CG82" s="1658"/>
      <c r="CH82" s="1658"/>
      <c r="CI82" s="1658"/>
      <c r="CJ82" s="252" t="str">
        <f>+IF(OR($CJ$81="",CK82=""),"",3)</f>
        <v/>
      </c>
      <c r="CK82" s="1658" t="s">
        <v>621</v>
      </c>
      <c r="CL82" s="1658"/>
      <c r="CM82" s="1658"/>
      <c r="CN82" s="1658"/>
      <c r="CO82" s="1658"/>
      <c r="CP82" s="1658"/>
      <c r="CQ82" s="1658"/>
      <c r="CR82" s="1658"/>
      <c r="CS82" s="1658"/>
      <c r="CT82" s="1658"/>
      <c r="CU82" s="1658"/>
      <c r="CV82" s="1658"/>
      <c r="CW82" s="252" t="str">
        <f>+IF(OR($CW$81="",CX82=""),"",4)</f>
        <v/>
      </c>
      <c r="CX82" s="1658" t="s">
        <v>668</v>
      </c>
      <c r="CY82" s="1658"/>
      <c r="CZ82" s="1658"/>
      <c r="DA82" s="1658"/>
      <c r="DB82" s="1658"/>
      <c r="DC82" s="1658"/>
      <c r="DD82" s="1658"/>
      <c r="DE82" s="1658"/>
      <c r="DF82" s="1658"/>
      <c r="DG82" s="1658"/>
      <c r="DH82" s="1658"/>
      <c r="DI82" s="1658"/>
      <c r="DJ82" s="252" t="str">
        <f>+IF(OR($DJ$81="",DK82=""),"",5)</f>
        <v/>
      </c>
      <c r="DK82" s="1658" t="s">
        <v>621</v>
      </c>
      <c r="DL82" s="1658"/>
      <c r="DM82" s="1658"/>
      <c r="DN82" s="1658"/>
      <c r="DO82" s="1658"/>
      <c r="DP82" s="1658"/>
      <c r="DQ82" s="1658"/>
      <c r="DR82" s="1658"/>
      <c r="DS82" s="1658"/>
      <c r="DT82" s="1658"/>
      <c r="DU82" s="1658"/>
      <c r="DV82" s="1707"/>
    </row>
    <row r="83" spans="2:126" x14ac:dyDescent="0.15">
      <c r="B83" s="312"/>
      <c r="C83" s="300" t="s">
        <v>618</v>
      </c>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314"/>
      <c r="BH83" s="260"/>
      <c r="BI83" s="489" t="str">
        <f t="shared" ref="BI83:BI107" si="0">+IF(BJ83=1,1,IF(BW83=2,2,IF(CJ83=3,3,IF(CW83=4,4,IF(DJ83=5,5,"")))))</f>
        <v/>
      </c>
      <c r="BJ83" s="252" t="str">
        <f t="shared" ref="BJ83:BJ107" si="1">IF(OR($BJ$81="",BK83=""),"",1)</f>
        <v/>
      </c>
      <c r="BK83" s="1658" t="s">
        <v>622</v>
      </c>
      <c r="BL83" s="1658"/>
      <c r="BM83" s="1658"/>
      <c r="BN83" s="1658"/>
      <c r="BO83" s="1658"/>
      <c r="BP83" s="1658"/>
      <c r="BQ83" s="1658"/>
      <c r="BR83" s="1658"/>
      <c r="BS83" s="1658"/>
      <c r="BT83" s="1658"/>
      <c r="BU83" s="1658"/>
      <c r="BV83" s="1658"/>
      <c r="BW83" s="252" t="str">
        <f t="shared" ref="BW83:BW107" si="2">+IF(OR($BW$81="",BX83=""),"",2)</f>
        <v/>
      </c>
      <c r="BX83" s="1658" t="s">
        <v>628</v>
      </c>
      <c r="BY83" s="1658"/>
      <c r="BZ83" s="1658"/>
      <c r="CA83" s="1658"/>
      <c r="CB83" s="1658"/>
      <c r="CC83" s="1658"/>
      <c r="CD83" s="1658"/>
      <c r="CE83" s="1658"/>
      <c r="CF83" s="1658"/>
      <c r="CG83" s="1658"/>
      <c r="CH83" s="1658"/>
      <c r="CI83" s="1658"/>
      <c r="CJ83" s="252" t="str">
        <f t="shared" ref="CJ83:CJ107" si="3">+IF(OR($CJ$81="",CK83=""),"",3)</f>
        <v/>
      </c>
      <c r="CK83" s="1658" t="s">
        <v>652</v>
      </c>
      <c r="CL83" s="1658"/>
      <c r="CM83" s="1658"/>
      <c r="CN83" s="1658"/>
      <c r="CO83" s="1658"/>
      <c r="CP83" s="1658"/>
      <c r="CQ83" s="1658"/>
      <c r="CR83" s="1658"/>
      <c r="CS83" s="1658"/>
      <c r="CT83" s="1658"/>
      <c r="CU83" s="1658"/>
      <c r="CV83" s="1658"/>
      <c r="CW83" s="252" t="str">
        <f t="shared" ref="CW83:CW107" si="4">+IF(OR($CW$81="",CX83=""),"",4)</f>
        <v/>
      </c>
      <c r="CX83" s="1658" t="s">
        <v>621</v>
      </c>
      <c r="CY83" s="1658"/>
      <c r="CZ83" s="1658"/>
      <c r="DA83" s="1658"/>
      <c r="DB83" s="1658"/>
      <c r="DC83" s="1658"/>
      <c r="DD83" s="1658"/>
      <c r="DE83" s="1658"/>
      <c r="DF83" s="1658"/>
      <c r="DG83" s="1658"/>
      <c r="DH83" s="1658"/>
      <c r="DI83" s="1658"/>
      <c r="DJ83" s="252" t="str">
        <f t="shared" ref="DJ83:DJ107" si="5">+IF(OR($DJ$81="",DK83=""),"",5)</f>
        <v/>
      </c>
      <c r="DK83" s="1658" t="s">
        <v>652</v>
      </c>
      <c r="DL83" s="1658"/>
      <c r="DM83" s="1658"/>
      <c r="DN83" s="1658"/>
      <c r="DO83" s="1658"/>
      <c r="DP83" s="1658"/>
      <c r="DQ83" s="1658"/>
      <c r="DR83" s="1658"/>
      <c r="DS83" s="1658"/>
      <c r="DT83" s="1658"/>
      <c r="DU83" s="1658"/>
      <c r="DV83" s="1707"/>
    </row>
    <row r="84" spans="2:126" x14ac:dyDescent="0.15">
      <c r="B84" s="312"/>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299"/>
      <c r="BD84" s="299"/>
      <c r="BE84" s="299"/>
      <c r="BF84" s="299"/>
      <c r="BG84" s="314"/>
      <c r="BH84" s="260"/>
      <c r="BI84" s="489" t="str">
        <f t="shared" si="0"/>
        <v/>
      </c>
      <c r="BJ84" s="252" t="str">
        <f t="shared" si="1"/>
        <v/>
      </c>
      <c r="BK84" s="1658" t="s">
        <v>623</v>
      </c>
      <c r="BL84" s="1658"/>
      <c r="BM84" s="1658"/>
      <c r="BN84" s="1658"/>
      <c r="BO84" s="1658"/>
      <c r="BP84" s="1658"/>
      <c r="BQ84" s="1658"/>
      <c r="BR84" s="1658"/>
      <c r="BS84" s="1658"/>
      <c r="BT84" s="1658"/>
      <c r="BU84" s="1658"/>
      <c r="BV84" s="1658"/>
      <c r="BW84" s="252" t="str">
        <f t="shared" si="2"/>
        <v/>
      </c>
      <c r="BX84" s="1658" t="s">
        <v>629</v>
      </c>
      <c r="BY84" s="1658"/>
      <c r="BZ84" s="1658"/>
      <c r="CA84" s="1658"/>
      <c r="CB84" s="1658"/>
      <c r="CC84" s="1658"/>
      <c r="CD84" s="1658"/>
      <c r="CE84" s="1658"/>
      <c r="CF84" s="1658"/>
      <c r="CG84" s="1658"/>
      <c r="CH84" s="1658"/>
      <c r="CI84" s="1658"/>
      <c r="CJ84" s="252" t="str">
        <f t="shared" si="3"/>
        <v/>
      </c>
      <c r="CK84" s="1701" t="s">
        <v>653</v>
      </c>
      <c r="CL84" s="1701"/>
      <c r="CM84" s="1701"/>
      <c r="CN84" s="1701"/>
      <c r="CO84" s="1701"/>
      <c r="CP84" s="1701"/>
      <c r="CQ84" s="1701"/>
      <c r="CR84" s="1701"/>
      <c r="CS84" s="1701"/>
      <c r="CT84" s="1701"/>
      <c r="CU84" s="1701"/>
      <c r="CV84" s="1701"/>
      <c r="CW84" s="252" t="str">
        <f t="shared" si="4"/>
        <v/>
      </c>
      <c r="CX84" s="1701" t="s">
        <v>653</v>
      </c>
      <c r="CY84" s="1701"/>
      <c r="CZ84" s="1701"/>
      <c r="DA84" s="1701"/>
      <c r="DB84" s="1701"/>
      <c r="DC84" s="1701"/>
      <c r="DD84" s="1701"/>
      <c r="DE84" s="1701"/>
      <c r="DF84" s="1701"/>
      <c r="DG84" s="1701"/>
      <c r="DH84" s="1701"/>
      <c r="DI84" s="1701"/>
      <c r="DJ84" s="252" t="str">
        <f t="shared" si="5"/>
        <v/>
      </c>
      <c r="DK84" s="1701" t="s">
        <v>653</v>
      </c>
      <c r="DL84" s="1701"/>
      <c r="DM84" s="1701"/>
      <c r="DN84" s="1701"/>
      <c r="DO84" s="1701"/>
      <c r="DP84" s="1701"/>
      <c r="DQ84" s="1701"/>
      <c r="DR84" s="1701"/>
      <c r="DS84" s="1701"/>
      <c r="DT84" s="1701"/>
      <c r="DU84" s="1701"/>
      <c r="DV84" s="1702"/>
    </row>
    <row r="85" spans="2:126" x14ac:dyDescent="0.15">
      <c r="B85" s="312"/>
      <c r="C85" s="1698" t="s">
        <v>620</v>
      </c>
      <c r="D85" s="1698"/>
      <c r="E85" s="1698"/>
      <c r="F85" s="1698"/>
      <c r="G85" s="1698"/>
      <c r="H85" s="1698"/>
      <c r="I85" s="1698"/>
      <c r="J85" s="1698"/>
      <c r="K85" s="1698"/>
      <c r="L85" s="1698"/>
      <c r="M85" s="1698"/>
      <c r="N85" s="1698"/>
      <c r="O85" s="1698"/>
      <c r="P85" s="1698"/>
      <c r="Q85" s="1698"/>
      <c r="R85" s="1698"/>
      <c r="S85" s="1698"/>
      <c r="T85" s="1698"/>
      <c r="U85" s="1698"/>
      <c r="V85" s="1698"/>
      <c r="W85" s="1698"/>
      <c r="X85" s="1698"/>
      <c r="Y85" s="1698"/>
      <c r="Z85" s="1698"/>
      <c r="AA85" s="1698"/>
      <c r="AB85" s="1698"/>
      <c r="AC85" s="1698"/>
      <c r="AD85" s="1698"/>
      <c r="AE85" s="1698"/>
      <c r="AF85" s="1698"/>
      <c r="AG85" s="1698"/>
      <c r="AH85" s="1698"/>
      <c r="AI85" s="1698"/>
      <c r="AJ85" s="1698"/>
      <c r="AK85" s="1698"/>
      <c r="AL85" s="1698"/>
      <c r="AM85" s="1698"/>
      <c r="AN85" s="1698"/>
      <c r="AO85" s="1698"/>
      <c r="AP85" s="1698"/>
      <c r="AQ85" s="1698"/>
      <c r="AR85" s="1698"/>
      <c r="AS85" s="1698"/>
      <c r="AT85" s="1698"/>
      <c r="AU85" s="1698"/>
      <c r="AV85" s="1698"/>
      <c r="AW85" s="1698"/>
      <c r="AX85" s="1698"/>
      <c r="AY85" s="1698"/>
      <c r="AZ85" s="1698"/>
      <c r="BA85" s="1698"/>
      <c r="BB85" s="1698"/>
      <c r="BC85" s="1698"/>
      <c r="BD85" s="1698"/>
      <c r="BE85" s="1698"/>
      <c r="BF85" s="1698"/>
      <c r="BG85" s="314"/>
      <c r="BH85" s="260"/>
      <c r="BI85" s="489" t="str">
        <f t="shared" si="0"/>
        <v/>
      </c>
      <c r="BJ85" s="252" t="str">
        <f t="shared" si="1"/>
        <v/>
      </c>
      <c r="BK85" s="1658" t="s">
        <v>624</v>
      </c>
      <c r="BL85" s="1658"/>
      <c r="BM85" s="1658"/>
      <c r="BN85" s="1658"/>
      <c r="BO85" s="1658"/>
      <c r="BP85" s="1658"/>
      <c r="BQ85" s="1658"/>
      <c r="BR85" s="1658"/>
      <c r="BS85" s="1658"/>
      <c r="BT85" s="1658"/>
      <c r="BU85" s="1658"/>
      <c r="BV85" s="1658"/>
      <c r="BW85" s="252" t="str">
        <f t="shared" si="2"/>
        <v/>
      </c>
      <c r="BX85" s="1658" t="s">
        <v>630</v>
      </c>
      <c r="BY85" s="1658"/>
      <c r="BZ85" s="1658"/>
      <c r="CA85" s="1658"/>
      <c r="CB85" s="1658"/>
      <c r="CC85" s="1658"/>
      <c r="CD85" s="1658"/>
      <c r="CE85" s="1658"/>
      <c r="CF85" s="1658"/>
      <c r="CG85" s="1658"/>
      <c r="CH85" s="1658"/>
      <c r="CI85" s="1658"/>
      <c r="CJ85" s="252" t="str">
        <f t="shared" si="3"/>
        <v/>
      </c>
      <c r="CK85" s="1701" t="s">
        <v>654</v>
      </c>
      <c r="CL85" s="1701"/>
      <c r="CM85" s="1701"/>
      <c r="CN85" s="1701"/>
      <c r="CO85" s="1701"/>
      <c r="CP85" s="1701"/>
      <c r="CQ85" s="1701"/>
      <c r="CR85" s="1701"/>
      <c r="CS85" s="1701"/>
      <c r="CT85" s="1701"/>
      <c r="CU85" s="1701"/>
      <c r="CV85" s="1701"/>
      <c r="CW85" s="252" t="str">
        <f t="shared" si="4"/>
        <v/>
      </c>
      <c r="CX85" s="1701" t="s">
        <v>926</v>
      </c>
      <c r="CY85" s="1701"/>
      <c r="CZ85" s="1701"/>
      <c r="DA85" s="1701"/>
      <c r="DB85" s="1701"/>
      <c r="DC85" s="1701"/>
      <c r="DD85" s="1701"/>
      <c r="DE85" s="1701"/>
      <c r="DF85" s="1701"/>
      <c r="DG85" s="1701"/>
      <c r="DH85" s="1701"/>
      <c r="DI85" s="1701"/>
      <c r="DJ85" s="252" t="str">
        <f t="shared" si="5"/>
        <v/>
      </c>
      <c r="DK85" s="1701" t="s">
        <v>928</v>
      </c>
      <c r="DL85" s="1701"/>
      <c r="DM85" s="1701"/>
      <c r="DN85" s="1701"/>
      <c r="DO85" s="1701"/>
      <c r="DP85" s="1701"/>
      <c r="DQ85" s="1701"/>
      <c r="DR85" s="1701"/>
      <c r="DS85" s="1701"/>
      <c r="DT85" s="1701"/>
      <c r="DU85" s="1701"/>
      <c r="DV85" s="1702"/>
    </row>
    <row r="86" spans="2:126" ht="28.5" customHeight="1" x14ac:dyDescent="0.15">
      <c r="B86" s="312"/>
      <c r="C86" s="1648" t="str">
        <f>+IF(BI82=1,BK82,IF(BI82=2,BX82,IF(BI82=3,CK82,IF(BI82=4,CX82,IF(BI82=5,DK82,"")))))</f>
        <v/>
      </c>
      <c r="D86" s="1648"/>
      <c r="E86" s="1648"/>
      <c r="F86" s="1648"/>
      <c r="G86" s="1648"/>
      <c r="H86" s="1648"/>
      <c r="I86" s="1648"/>
      <c r="J86" s="1648"/>
      <c r="K86" s="1648"/>
      <c r="L86" s="1648"/>
      <c r="M86" s="1648"/>
      <c r="N86" s="1648"/>
      <c r="O86" s="1648"/>
      <c r="P86" s="1648"/>
      <c r="Q86" s="1648"/>
      <c r="R86" s="1648"/>
      <c r="S86" s="1648"/>
      <c r="T86" s="1648"/>
      <c r="U86" s="1648"/>
      <c r="V86" s="1648"/>
      <c r="W86" s="1648"/>
      <c r="X86" s="1648"/>
      <c r="Y86" s="1648"/>
      <c r="Z86" s="1648"/>
      <c r="AA86" s="1648"/>
      <c r="AB86" s="1648"/>
      <c r="AC86" s="1648"/>
      <c r="AD86" s="1648"/>
      <c r="AE86" s="1648"/>
      <c r="AF86" s="1648"/>
      <c r="AG86" s="1648"/>
      <c r="AH86" s="1648"/>
      <c r="AI86" s="1648"/>
      <c r="AJ86" s="1648"/>
      <c r="AK86" s="1648"/>
      <c r="AL86" s="1648"/>
      <c r="AM86" s="1648"/>
      <c r="AN86" s="1648"/>
      <c r="AO86" s="1648"/>
      <c r="AP86" s="1648"/>
      <c r="AQ86" s="1648"/>
      <c r="AR86" s="1648"/>
      <c r="AS86" s="1648"/>
      <c r="AT86" s="1648"/>
      <c r="AU86" s="1648"/>
      <c r="AV86" s="1648"/>
      <c r="AW86" s="1648"/>
      <c r="AX86" s="1648"/>
      <c r="AY86" s="1648"/>
      <c r="AZ86" s="1648"/>
      <c r="BA86" s="1648"/>
      <c r="BB86" s="1648"/>
      <c r="BC86" s="1648"/>
      <c r="BD86" s="1648"/>
      <c r="BE86" s="1648"/>
      <c r="BF86" s="1648"/>
      <c r="BG86" s="314"/>
      <c r="BH86" s="260"/>
      <c r="BI86" s="489" t="str">
        <f t="shared" si="0"/>
        <v/>
      </c>
      <c r="BJ86" s="252" t="str">
        <f t="shared" si="1"/>
        <v/>
      </c>
      <c r="BK86" s="1658" t="s">
        <v>625</v>
      </c>
      <c r="BL86" s="1658"/>
      <c r="BM86" s="1658"/>
      <c r="BN86" s="1658"/>
      <c r="BO86" s="1658"/>
      <c r="BP86" s="1658"/>
      <c r="BQ86" s="1658"/>
      <c r="BR86" s="1658"/>
      <c r="BS86" s="1658"/>
      <c r="BT86" s="1658"/>
      <c r="BU86" s="1658"/>
      <c r="BV86" s="1658"/>
      <c r="BW86" s="252" t="str">
        <f t="shared" si="2"/>
        <v/>
      </c>
      <c r="BX86" s="1658" t="s">
        <v>631</v>
      </c>
      <c r="BY86" s="1658"/>
      <c r="BZ86" s="1658"/>
      <c r="CA86" s="1658"/>
      <c r="CB86" s="1658"/>
      <c r="CC86" s="1658"/>
      <c r="CD86" s="1658"/>
      <c r="CE86" s="1658"/>
      <c r="CF86" s="1658"/>
      <c r="CG86" s="1658"/>
      <c r="CH86" s="1658"/>
      <c r="CI86" s="1658"/>
      <c r="CJ86" s="252" t="str">
        <f t="shared" si="3"/>
        <v/>
      </c>
      <c r="CK86" s="1701" t="s">
        <v>655</v>
      </c>
      <c r="CL86" s="1701"/>
      <c r="CM86" s="1701"/>
      <c r="CN86" s="1701"/>
      <c r="CO86" s="1701"/>
      <c r="CP86" s="1701"/>
      <c r="CQ86" s="1701"/>
      <c r="CR86" s="1701"/>
      <c r="CS86" s="1701"/>
      <c r="CT86" s="1701"/>
      <c r="CU86" s="1701"/>
      <c r="CV86" s="1701"/>
      <c r="CW86" s="252" t="str">
        <f t="shared" si="4"/>
        <v/>
      </c>
      <c r="CX86" s="1701" t="s">
        <v>662</v>
      </c>
      <c r="CY86" s="1701"/>
      <c r="CZ86" s="1701"/>
      <c r="DA86" s="1701"/>
      <c r="DB86" s="1701"/>
      <c r="DC86" s="1701"/>
      <c r="DD86" s="1701"/>
      <c r="DE86" s="1701"/>
      <c r="DF86" s="1701"/>
      <c r="DG86" s="1701"/>
      <c r="DH86" s="1701"/>
      <c r="DI86" s="1701"/>
      <c r="DJ86" s="252" t="str">
        <f t="shared" si="5"/>
        <v/>
      </c>
      <c r="DK86" s="1701" t="s">
        <v>655</v>
      </c>
      <c r="DL86" s="1701"/>
      <c r="DM86" s="1701"/>
      <c r="DN86" s="1701"/>
      <c r="DO86" s="1701"/>
      <c r="DP86" s="1701"/>
      <c r="DQ86" s="1701"/>
      <c r="DR86" s="1701"/>
      <c r="DS86" s="1701"/>
      <c r="DT86" s="1701"/>
      <c r="DU86" s="1701"/>
      <c r="DV86" s="1702"/>
    </row>
    <row r="87" spans="2:126" ht="42" customHeight="1" x14ac:dyDescent="0.15">
      <c r="B87" s="312"/>
      <c r="C87" s="1648" t="str">
        <f t="shared" ref="C87:C107" si="6">+IF(BI83=1,BK83,IF(BI83=2,BX83,IF(BI83=3,CK83,IF(BI83=4,CX83,IF(BI83=5,DK83,"")))))</f>
        <v/>
      </c>
      <c r="D87" s="1648"/>
      <c r="E87" s="1648"/>
      <c r="F87" s="1648"/>
      <c r="G87" s="1648"/>
      <c r="H87" s="1648"/>
      <c r="I87" s="1648"/>
      <c r="J87" s="1648"/>
      <c r="K87" s="1648"/>
      <c r="L87" s="1648"/>
      <c r="M87" s="1648"/>
      <c r="N87" s="1648"/>
      <c r="O87" s="1648"/>
      <c r="P87" s="1648"/>
      <c r="Q87" s="1648"/>
      <c r="R87" s="1648"/>
      <c r="S87" s="1648"/>
      <c r="T87" s="1648"/>
      <c r="U87" s="1648"/>
      <c r="V87" s="1648"/>
      <c r="W87" s="1648"/>
      <c r="X87" s="1648"/>
      <c r="Y87" s="1648"/>
      <c r="Z87" s="1648"/>
      <c r="AA87" s="1648"/>
      <c r="AB87" s="1648"/>
      <c r="AC87" s="1648"/>
      <c r="AD87" s="1648"/>
      <c r="AE87" s="1648"/>
      <c r="AF87" s="1648"/>
      <c r="AG87" s="1648"/>
      <c r="AH87" s="1648"/>
      <c r="AI87" s="1648"/>
      <c r="AJ87" s="1648"/>
      <c r="AK87" s="1648"/>
      <c r="AL87" s="1648"/>
      <c r="AM87" s="1648"/>
      <c r="AN87" s="1648"/>
      <c r="AO87" s="1648"/>
      <c r="AP87" s="1648"/>
      <c r="AQ87" s="1648"/>
      <c r="AR87" s="1648"/>
      <c r="AS87" s="1648"/>
      <c r="AT87" s="1648"/>
      <c r="AU87" s="1648"/>
      <c r="AV87" s="1648"/>
      <c r="AW87" s="1648"/>
      <c r="AX87" s="1648"/>
      <c r="AY87" s="1648"/>
      <c r="AZ87" s="1648"/>
      <c r="BA87" s="1648"/>
      <c r="BB87" s="1648"/>
      <c r="BC87" s="1648"/>
      <c r="BD87" s="1648"/>
      <c r="BE87" s="1648"/>
      <c r="BF87" s="1648"/>
      <c r="BG87" s="314"/>
      <c r="BH87" s="260"/>
      <c r="BI87" s="489" t="str">
        <f t="shared" si="0"/>
        <v/>
      </c>
      <c r="BJ87" s="252" t="str">
        <f t="shared" si="1"/>
        <v/>
      </c>
      <c r="BK87" s="1658" t="s">
        <v>626</v>
      </c>
      <c r="BL87" s="1658"/>
      <c r="BM87" s="1658"/>
      <c r="BN87" s="1658"/>
      <c r="BO87" s="1658"/>
      <c r="BP87" s="1658"/>
      <c r="BQ87" s="1658"/>
      <c r="BR87" s="1658"/>
      <c r="BS87" s="1658"/>
      <c r="BT87" s="1658"/>
      <c r="BU87" s="1658"/>
      <c r="BV87" s="1658"/>
      <c r="BW87" s="252" t="str">
        <f t="shared" si="2"/>
        <v/>
      </c>
      <c r="BX87" s="1658" t="s">
        <v>632</v>
      </c>
      <c r="BY87" s="1658"/>
      <c r="BZ87" s="1658"/>
      <c r="CA87" s="1658"/>
      <c r="CB87" s="1658"/>
      <c r="CC87" s="1658"/>
      <c r="CD87" s="1658"/>
      <c r="CE87" s="1658"/>
      <c r="CF87" s="1658"/>
      <c r="CG87" s="1658"/>
      <c r="CH87" s="1658"/>
      <c r="CI87" s="1658"/>
      <c r="CJ87" s="252" t="str">
        <f t="shared" si="3"/>
        <v/>
      </c>
      <c r="CK87" s="1701" t="s">
        <v>656</v>
      </c>
      <c r="CL87" s="1701"/>
      <c r="CM87" s="1701"/>
      <c r="CN87" s="1701"/>
      <c r="CO87" s="1701"/>
      <c r="CP87" s="1701"/>
      <c r="CQ87" s="1701"/>
      <c r="CR87" s="1701"/>
      <c r="CS87" s="1701"/>
      <c r="CT87" s="1701"/>
      <c r="CU87" s="1701"/>
      <c r="CV87" s="1701"/>
      <c r="CW87" s="252" t="str">
        <f t="shared" si="4"/>
        <v/>
      </c>
      <c r="CX87" s="1701" t="s">
        <v>663</v>
      </c>
      <c r="CY87" s="1701"/>
      <c r="CZ87" s="1701"/>
      <c r="DA87" s="1701"/>
      <c r="DB87" s="1701"/>
      <c r="DC87" s="1701"/>
      <c r="DD87" s="1701"/>
      <c r="DE87" s="1701"/>
      <c r="DF87" s="1701"/>
      <c r="DG87" s="1701"/>
      <c r="DH87" s="1701"/>
      <c r="DI87" s="1701"/>
      <c r="DJ87" s="252" t="str">
        <f t="shared" si="5"/>
        <v/>
      </c>
      <c r="DK87" s="1701" t="s">
        <v>667</v>
      </c>
      <c r="DL87" s="1701"/>
      <c r="DM87" s="1701"/>
      <c r="DN87" s="1701"/>
      <c r="DO87" s="1701"/>
      <c r="DP87" s="1701"/>
      <c r="DQ87" s="1701"/>
      <c r="DR87" s="1701"/>
      <c r="DS87" s="1701"/>
      <c r="DT87" s="1701"/>
      <c r="DU87" s="1701"/>
      <c r="DV87" s="1702"/>
    </row>
    <row r="88" spans="2:126" ht="28.5" customHeight="1" x14ac:dyDescent="0.15">
      <c r="B88" s="312"/>
      <c r="C88" s="1648" t="str">
        <f t="shared" si="6"/>
        <v/>
      </c>
      <c r="D88" s="1648"/>
      <c r="E88" s="1648"/>
      <c r="F88" s="1648"/>
      <c r="G88" s="1648"/>
      <c r="H88" s="1648"/>
      <c r="I88" s="1648"/>
      <c r="J88" s="1648"/>
      <c r="K88" s="1648"/>
      <c r="L88" s="1648"/>
      <c r="M88" s="1648"/>
      <c r="N88" s="1648"/>
      <c r="O88" s="1648"/>
      <c r="P88" s="1648"/>
      <c r="Q88" s="1648"/>
      <c r="R88" s="1648"/>
      <c r="S88" s="1648"/>
      <c r="T88" s="1648"/>
      <c r="U88" s="1648"/>
      <c r="V88" s="1648"/>
      <c r="W88" s="1648"/>
      <c r="X88" s="1648"/>
      <c r="Y88" s="1648"/>
      <c r="Z88" s="1648"/>
      <c r="AA88" s="1648"/>
      <c r="AB88" s="1648"/>
      <c r="AC88" s="1648"/>
      <c r="AD88" s="1648"/>
      <c r="AE88" s="1648"/>
      <c r="AF88" s="1648"/>
      <c r="AG88" s="1648"/>
      <c r="AH88" s="1648"/>
      <c r="AI88" s="1648"/>
      <c r="AJ88" s="1648"/>
      <c r="AK88" s="1648"/>
      <c r="AL88" s="1648"/>
      <c r="AM88" s="1648"/>
      <c r="AN88" s="1648"/>
      <c r="AO88" s="1648"/>
      <c r="AP88" s="1648"/>
      <c r="AQ88" s="1648"/>
      <c r="AR88" s="1648"/>
      <c r="AS88" s="1648"/>
      <c r="AT88" s="1648"/>
      <c r="AU88" s="1648"/>
      <c r="AV88" s="1648"/>
      <c r="AW88" s="1648"/>
      <c r="AX88" s="1648"/>
      <c r="AY88" s="1648"/>
      <c r="AZ88" s="1648"/>
      <c r="BA88" s="1648"/>
      <c r="BB88" s="1648"/>
      <c r="BC88" s="1648"/>
      <c r="BD88" s="1648"/>
      <c r="BE88" s="1648"/>
      <c r="BF88" s="1648"/>
      <c r="BG88" s="314"/>
      <c r="BH88" s="260"/>
      <c r="BI88" s="489" t="str">
        <f t="shared" si="0"/>
        <v/>
      </c>
      <c r="BJ88" s="252" t="str">
        <f t="shared" si="1"/>
        <v/>
      </c>
      <c r="BK88" s="1658" t="s">
        <v>627</v>
      </c>
      <c r="BL88" s="1658"/>
      <c r="BM88" s="1658"/>
      <c r="BN88" s="1658"/>
      <c r="BO88" s="1658"/>
      <c r="BP88" s="1658"/>
      <c r="BQ88" s="1658"/>
      <c r="BR88" s="1658"/>
      <c r="BS88" s="1658"/>
      <c r="BT88" s="1658"/>
      <c r="BU88" s="1658"/>
      <c r="BV88" s="1658"/>
      <c r="BW88" s="252" t="str">
        <f t="shared" si="2"/>
        <v/>
      </c>
      <c r="BX88" s="1658" t="s">
        <v>633</v>
      </c>
      <c r="BY88" s="1658"/>
      <c r="BZ88" s="1658"/>
      <c r="CA88" s="1658"/>
      <c r="CB88" s="1658"/>
      <c r="CC88" s="1658"/>
      <c r="CD88" s="1658"/>
      <c r="CE88" s="1658"/>
      <c r="CF88" s="1658"/>
      <c r="CG88" s="1658"/>
      <c r="CH88" s="1658"/>
      <c r="CI88" s="1658"/>
      <c r="CJ88" s="252" t="str">
        <f t="shared" si="3"/>
        <v/>
      </c>
      <c r="CK88" s="1701" t="s">
        <v>657</v>
      </c>
      <c r="CL88" s="1701"/>
      <c r="CM88" s="1701"/>
      <c r="CN88" s="1701"/>
      <c r="CO88" s="1701"/>
      <c r="CP88" s="1701"/>
      <c r="CQ88" s="1701"/>
      <c r="CR88" s="1701"/>
      <c r="CS88" s="1701"/>
      <c r="CT88" s="1701"/>
      <c r="CU88" s="1701"/>
      <c r="CV88" s="1701"/>
      <c r="CW88" s="252" t="str">
        <f t="shared" si="4"/>
        <v/>
      </c>
      <c r="CX88" s="1701" t="s">
        <v>664</v>
      </c>
      <c r="CY88" s="1701"/>
      <c r="CZ88" s="1701"/>
      <c r="DA88" s="1701"/>
      <c r="DB88" s="1701"/>
      <c r="DC88" s="1701"/>
      <c r="DD88" s="1701"/>
      <c r="DE88" s="1701"/>
      <c r="DF88" s="1701"/>
      <c r="DG88" s="1701"/>
      <c r="DH88" s="1701"/>
      <c r="DI88" s="1701"/>
      <c r="DJ88" s="252" t="str">
        <f t="shared" si="5"/>
        <v/>
      </c>
      <c r="DK88" s="1701" t="s">
        <v>657</v>
      </c>
      <c r="DL88" s="1701"/>
      <c r="DM88" s="1701"/>
      <c r="DN88" s="1701"/>
      <c r="DO88" s="1701"/>
      <c r="DP88" s="1701"/>
      <c r="DQ88" s="1701"/>
      <c r="DR88" s="1701"/>
      <c r="DS88" s="1701"/>
      <c r="DT88" s="1701"/>
      <c r="DU88" s="1701"/>
      <c r="DV88" s="1702"/>
    </row>
    <row r="89" spans="2:126" ht="53.25" customHeight="1" x14ac:dyDescent="0.15">
      <c r="B89" s="312"/>
      <c r="C89" s="1648" t="str">
        <f t="shared" si="6"/>
        <v/>
      </c>
      <c r="D89" s="1648"/>
      <c r="E89" s="1648"/>
      <c r="F89" s="1648"/>
      <c r="G89" s="1648"/>
      <c r="H89" s="1648"/>
      <c r="I89" s="1648"/>
      <c r="J89" s="1648"/>
      <c r="K89" s="1648"/>
      <c r="L89" s="1648"/>
      <c r="M89" s="1648"/>
      <c r="N89" s="1648"/>
      <c r="O89" s="1648"/>
      <c r="P89" s="1648"/>
      <c r="Q89" s="1648"/>
      <c r="R89" s="1648"/>
      <c r="S89" s="1648"/>
      <c r="T89" s="1648"/>
      <c r="U89" s="1648"/>
      <c r="V89" s="1648"/>
      <c r="W89" s="1648"/>
      <c r="X89" s="1648"/>
      <c r="Y89" s="1648"/>
      <c r="Z89" s="1648"/>
      <c r="AA89" s="1648"/>
      <c r="AB89" s="1648"/>
      <c r="AC89" s="1648"/>
      <c r="AD89" s="1648"/>
      <c r="AE89" s="1648"/>
      <c r="AF89" s="1648"/>
      <c r="AG89" s="1648"/>
      <c r="AH89" s="1648"/>
      <c r="AI89" s="1648"/>
      <c r="AJ89" s="1648"/>
      <c r="AK89" s="1648"/>
      <c r="AL89" s="1648"/>
      <c r="AM89" s="1648"/>
      <c r="AN89" s="1648"/>
      <c r="AO89" s="1648"/>
      <c r="AP89" s="1648"/>
      <c r="AQ89" s="1648"/>
      <c r="AR89" s="1648"/>
      <c r="AS89" s="1648"/>
      <c r="AT89" s="1648"/>
      <c r="AU89" s="1648"/>
      <c r="AV89" s="1648"/>
      <c r="AW89" s="1648"/>
      <c r="AX89" s="1648"/>
      <c r="AY89" s="1648"/>
      <c r="AZ89" s="1648"/>
      <c r="BA89" s="1648"/>
      <c r="BB89" s="1648"/>
      <c r="BC89" s="1648"/>
      <c r="BD89" s="1648"/>
      <c r="BE89" s="1648"/>
      <c r="BF89" s="1648"/>
      <c r="BG89" s="314"/>
      <c r="BH89" s="260"/>
      <c r="BI89" s="489" t="str">
        <f t="shared" si="0"/>
        <v/>
      </c>
      <c r="BJ89" s="252" t="str">
        <f t="shared" si="1"/>
        <v/>
      </c>
      <c r="BK89" s="1658" t="s">
        <v>919</v>
      </c>
      <c r="BL89" s="1658"/>
      <c r="BM89" s="1658"/>
      <c r="BN89" s="1658"/>
      <c r="BO89" s="1658"/>
      <c r="BP89" s="1658"/>
      <c r="BQ89" s="1658"/>
      <c r="BR89" s="1658"/>
      <c r="BS89" s="1658"/>
      <c r="BT89" s="1658"/>
      <c r="BU89" s="1658"/>
      <c r="BV89" s="1658"/>
      <c r="BW89" s="252" t="str">
        <f t="shared" si="2"/>
        <v/>
      </c>
      <c r="BX89" s="1658" t="s">
        <v>634</v>
      </c>
      <c r="BY89" s="1658"/>
      <c r="BZ89" s="1658"/>
      <c r="CA89" s="1658"/>
      <c r="CB89" s="1658"/>
      <c r="CC89" s="1658"/>
      <c r="CD89" s="1658"/>
      <c r="CE89" s="1658"/>
      <c r="CF89" s="1658"/>
      <c r="CG89" s="1658"/>
      <c r="CH89" s="1658"/>
      <c r="CI89" s="1658"/>
      <c r="CJ89" s="252" t="str">
        <f t="shared" si="3"/>
        <v/>
      </c>
      <c r="CK89" s="1701" t="s">
        <v>658</v>
      </c>
      <c r="CL89" s="1701"/>
      <c r="CM89" s="1701"/>
      <c r="CN89" s="1701"/>
      <c r="CO89" s="1701"/>
      <c r="CP89" s="1701"/>
      <c r="CQ89" s="1701"/>
      <c r="CR89" s="1701"/>
      <c r="CS89" s="1701"/>
      <c r="CT89" s="1701"/>
      <c r="CU89" s="1701"/>
      <c r="CV89" s="1701"/>
      <c r="CW89" s="252" t="str">
        <f t="shared" si="4"/>
        <v/>
      </c>
      <c r="CX89" s="1701" t="s">
        <v>665</v>
      </c>
      <c r="CY89" s="1701"/>
      <c r="CZ89" s="1701"/>
      <c r="DA89" s="1701"/>
      <c r="DB89" s="1701"/>
      <c r="DC89" s="1701"/>
      <c r="DD89" s="1701"/>
      <c r="DE89" s="1701"/>
      <c r="DF89" s="1701"/>
      <c r="DG89" s="1701"/>
      <c r="DH89" s="1701"/>
      <c r="DI89" s="1701"/>
      <c r="DJ89" s="252" t="str">
        <f t="shared" si="5"/>
        <v/>
      </c>
      <c r="DK89" s="1701" t="s">
        <v>929</v>
      </c>
      <c r="DL89" s="1701"/>
      <c r="DM89" s="1701"/>
      <c r="DN89" s="1701"/>
      <c r="DO89" s="1701"/>
      <c r="DP89" s="1701"/>
      <c r="DQ89" s="1701"/>
      <c r="DR89" s="1701"/>
      <c r="DS89" s="1701"/>
      <c r="DT89" s="1701"/>
      <c r="DU89" s="1701"/>
      <c r="DV89" s="1702"/>
    </row>
    <row r="90" spans="2:126" ht="31.5" customHeight="1" x14ac:dyDescent="0.15">
      <c r="B90" s="312"/>
      <c r="C90" s="1648" t="str">
        <f t="shared" si="6"/>
        <v/>
      </c>
      <c r="D90" s="1648"/>
      <c r="E90" s="1648"/>
      <c r="F90" s="1648"/>
      <c r="G90" s="1648"/>
      <c r="H90" s="1648"/>
      <c r="I90" s="1648"/>
      <c r="J90" s="1648"/>
      <c r="K90" s="1648"/>
      <c r="L90" s="1648"/>
      <c r="M90" s="1648"/>
      <c r="N90" s="1648"/>
      <c r="O90" s="1648"/>
      <c r="P90" s="1648"/>
      <c r="Q90" s="1648"/>
      <c r="R90" s="1648"/>
      <c r="S90" s="1648"/>
      <c r="T90" s="1648"/>
      <c r="U90" s="1648"/>
      <c r="V90" s="1648"/>
      <c r="W90" s="1648"/>
      <c r="X90" s="1648"/>
      <c r="Y90" s="1648"/>
      <c r="Z90" s="1648"/>
      <c r="AA90" s="1648"/>
      <c r="AB90" s="1648"/>
      <c r="AC90" s="1648"/>
      <c r="AD90" s="1648"/>
      <c r="AE90" s="1648"/>
      <c r="AF90" s="1648"/>
      <c r="AG90" s="1648"/>
      <c r="AH90" s="1648"/>
      <c r="AI90" s="1648"/>
      <c r="AJ90" s="1648"/>
      <c r="AK90" s="1648"/>
      <c r="AL90" s="1648"/>
      <c r="AM90" s="1648"/>
      <c r="AN90" s="1648"/>
      <c r="AO90" s="1648"/>
      <c r="AP90" s="1648"/>
      <c r="AQ90" s="1648"/>
      <c r="AR90" s="1648"/>
      <c r="AS90" s="1648"/>
      <c r="AT90" s="1648"/>
      <c r="AU90" s="1648"/>
      <c r="AV90" s="1648"/>
      <c r="AW90" s="1648"/>
      <c r="AX90" s="1648"/>
      <c r="AY90" s="1648"/>
      <c r="AZ90" s="1648"/>
      <c r="BA90" s="1648"/>
      <c r="BB90" s="1648"/>
      <c r="BC90" s="1648"/>
      <c r="BD90" s="1648"/>
      <c r="BE90" s="1648"/>
      <c r="BF90" s="1648"/>
      <c r="BG90" s="314"/>
      <c r="BH90" s="260"/>
      <c r="BI90" s="489" t="str">
        <f t="shared" si="0"/>
        <v/>
      </c>
      <c r="BJ90" s="252" t="str">
        <f t="shared" si="1"/>
        <v/>
      </c>
      <c r="BK90" s="1658" t="s">
        <v>918</v>
      </c>
      <c r="BL90" s="1658"/>
      <c r="BM90" s="1658"/>
      <c r="BN90" s="1658"/>
      <c r="BO90" s="1658"/>
      <c r="BP90" s="1658"/>
      <c r="BQ90" s="1658"/>
      <c r="BR90" s="1658"/>
      <c r="BS90" s="1658"/>
      <c r="BT90" s="1658"/>
      <c r="BU90" s="1658"/>
      <c r="BV90" s="1658"/>
      <c r="BW90" s="252" t="str">
        <f t="shared" si="2"/>
        <v/>
      </c>
      <c r="BX90" s="1658" t="s">
        <v>635</v>
      </c>
      <c r="BY90" s="1658"/>
      <c r="BZ90" s="1658"/>
      <c r="CA90" s="1658"/>
      <c r="CB90" s="1658"/>
      <c r="CC90" s="1658"/>
      <c r="CD90" s="1658"/>
      <c r="CE90" s="1658"/>
      <c r="CF90" s="1658"/>
      <c r="CG90" s="1658"/>
      <c r="CH90" s="1658"/>
      <c r="CI90" s="1658"/>
      <c r="CJ90" s="252" t="str">
        <f t="shared" si="3"/>
        <v/>
      </c>
      <c r="CK90" s="1701" t="s">
        <v>659</v>
      </c>
      <c r="CL90" s="1701"/>
      <c r="CM90" s="1701"/>
      <c r="CN90" s="1701"/>
      <c r="CO90" s="1701"/>
      <c r="CP90" s="1701"/>
      <c r="CQ90" s="1701"/>
      <c r="CR90" s="1701"/>
      <c r="CS90" s="1701"/>
      <c r="CT90" s="1701"/>
      <c r="CU90" s="1701"/>
      <c r="CV90" s="1701"/>
      <c r="CW90" s="252" t="str">
        <f t="shared" si="4"/>
        <v/>
      </c>
      <c r="CX90" s="1701" t="s">
        <v>927</v>
      </c>
      <c r="CY90" s="1701"/>
      <c r="CZ90" s="1701"/>
      <c r="DA90" s="1701"/>
      <c r="DB90" s="1701"/>
      <c r="DC90" s="1701"/>
      <c r="DD90" s="1701"/>
      <c r="DE90" s="1701"/>
      <c r="DF90" s="1701"/>
      <c r="DG90" s="1701"/>
      <c r="DH90" s="1701"/>
      <c r="DI90" s="1701"/>
      <c r="DJ90" s="252" t="str">
        <f t="shared" si="5"/>
        <v/>
      </c>
      <c r="DK90" s="1701" t="s">
        <v>650</v>
      </c>
      <c r="DL90" s="1701"/>
      <c r="DM90" s="1701"/>
      <c r="DN90" s="1701"/>
      <c r="DO90" s="1701"/>
      <c r="DP90" s="1701"/>
      <c r="DQ90" s="1701"/>
      <c r="DR90" s="1701"/>
      <c r="DS90" s="1701"/>
      <c r="DT90" s="1701"/>
      <c r="DU90" s="1701"/>
      <c r="DV90" s="1702"/>
    </row>
    <row r="91" spans="2:126" s="430" customFormat="1" ht="30" customHeight="1" x14ac:dyDescent="0.2">
      <c r="B91" s="427"/>
      <c r="C91" s="1648" t="str">
        <f t="shared" si="6"/>
        <v/>
      </c>
      <c r="D91" s="1648"/>
      <c r="E91" s="1648"/>
      <c r="F91" s="1648"/>
      <c r="G91" s="1648"/>
      <c r="H91" s="1648"/>
      <c r="I91" s="1648"/>
      <c r="J91" s="1648"/>
      <c r="K91" s="1648"/>
      <c r="L91" s="1648"/>
      <c r="M91" s="1648"/>
      <c r="N91" s="1648"/>
      <c r="O91" s="1648"/>
      <c r="P91" s="1648"/>
      <c r="Q91" s="1648"/>
      <c r="R91" s="1648"/>
      <c r="S91" s="1648"/>
      <c r="T91" s="1648"/>
      <c r="U91" s="1648"/>
      <c r="V91" s="1648"/>
      <c r="W91" s="1648"/>
      <c r="X91" s="1648"/>
      <c r="Y91" s="1648"/>
      <c r="Z91" s="1648"/>
      <c r="AA91" s="1648"/>
      <c r="AB91" s="1648"/>
      <c r="AC91" s="1648"/>
      <c r="AD91" s="1648"/>
      <c r="AE91" s="1648"/>
      <c r="AF91" s="1648"/>
      <c r="AG91" s="1648"/>
      <c r="AH91" s="1648"/>
      <c r="AI91" s="1648"/>
      <c r="AJ91" s="1648"/>
      <c r="AK91" s="1648"/>
      <c r="AL91" s="1648"/>
      <c r="AM91" s="1648"/>
      <c r="AN91" s="1648"/>
      <c r="AO91" s="1648"/>
      <c r="AP91" s="1648"/>
      <c r="AQ91" s="1648"/>
      <c r="AR91" s="1648"/>
      <c r="AS91" s="1648"/>
      <c r="AT91" s="1648"/>
      <c r="AU91" s="1648"/>
      <c r="AV91" s="1648"/>
      <c r="AW91" s="1648"/>
      <c r="AX91" s="1648"/>
      <c r="AY91" s="1648"/>
      <c r="AZ91" s="1648"/>
      <c r="BA91" s="1648"/>
      <c r="BB91" s="1648"/>
      <c r="BC91" s="1648"/>
      <c r="BD91" s="1648"/>
      <c r="BE91" s="1648"/>
      <c r="BF91" s="1648"/>
      <c r="BG91" s="428"/>
      <c r="BH91" s="429"/>
      <c r="BI91" s="494" t="str">
        <f t="shared" si="0"/>
        <v/>
      </c>
      <c r="BJ91" s="495" t="str">
        <f t="shared" si="1"/>
        <v/>
      </c>
      <c r="BK91" s="1666" t="s">
        <v>917</v>
      </c>
      <c r="BL91" s="1666"/>
      <c r="BM91" s="1666"/>
      <c r="BN91" s="1666"/>
      <c r="BO91" s="1666"/>
      <c r="BP91" s="1666"/>
      <c r="BQ91" s="1666"/>
      <c r="BR91" s="1666"/>
      <c r="BS91" s="1666"/>
      <c r="BT91" s="1666"/>
      <c r="BU91" s="1666"/>
      <c r="BV91" s="1666"/>
      <c r="BW91" s="495" t="str">
        <f t="shared" si="2"/>
        <v/>
      </c>
      <c r="BX91" s="1666" t="s">
        <v>636</v>
      </c>
      <c r="BY91" s="1666"/>
      <c r="BZ91" s="1666"/>
      <c r="CA91" s="1666"/>
      <c r="CB91" s="1666"/>
      <c r="CC91" s="1666"/>
      <c r="CD91" s="1666"/>
      <c r="CE91" s="1666"/>
      <c r="CF91" s="1666"/>
      <c r="CG91" s="1666"/>
      <c r="CH91" s="1666"/>
      <c r="CI91" s="1666"/>
      <c r="CJ91" s="495" t="str">
        <f t="shared" si="3"/>
        <v/>
      </c>
      <c r="CK91" s="1703" t="s">
        <v>660</v>
      </c>
      <c r="CL91" s="1703"/>
      <c r="CM91" s="1703"/>
      <c r="CN91" s="1703"/>
      <c r="CO91" s="1703"/>
      <c r="CP91" s="1703"/>
      <c r="CQ91" s="1703"/>
      <c r="CR91" s="1703"/>
      <c r="CS91" s="1703"/>
      <c r="CT91" s="1703"/>
      <c r="CU91" s="1703"/>
      <c r="CV91" s="1703"/>
      <c r="CW91" s="495" t="str">
        <f t="shared" si="4"/>
        <v/>
      </c>
      <c r="CX91" s="1703"/>
      <c r="CY91" s="1703"/>
      <c r="CZ91" s="1703"/>
      <c r="DA91" s="1703"/>
      <c r="DB91" s="1703"/>
      <c r="DC91" s="1703"/>
      <c r="DD91" s="1703"/>
      <c r="DE91" s="1703"/>
      <c r="DF91" s="1703"/>
      <c r="DG91" s="1703"/>
      <c r="DH91" s="1703"/>
      <c r="DI91" s="1703"/>
      <c r="DJ91" s="495" t="str">
        <f t="shared" si="5"/>
        <v/>
      </c>
      <c r="DK91" s="1703" t="s">
        <v>660</v>
      </c>
      <c r="DL91" s="1703"/>
      <c r="DM91" s="1703"/>
      <c r="DN91" s="1703"/>
      <c r="DO91" s="1703"/>
      <c r="DP91" s="1703"/>
      <c r="DQ91" s="1703"/>
      <c r="DR91" s="1703"/>
      <c r="DS91" s="1703"/>
      <c r="DT91" s="1703"/>
      <c r="DU91" s="1703"/>
      <c r="DV91" s="1704"/>
    </row>
    <row r="92" spans="2:126" s="430" customFormat="1" ht="40.5" customHeight="1" x14ac:dyDescent="0.2">
      <c r="B92" s="427"/>
      <c r="C92" s="1648" t="str">
        <f t="shared" si="6"/>
        <v/>
      </c>
      <c r="D92" s="1648"/>
      <c r="E92" s="1648"/>
      <c r="F92" s="1648"/>
      <c r="G92" s="1648"/>
      <c r="H92" s="1648"/>
      <c r="I92" s="1648"/>
      <c r="J92" s="1648"/>
      <c r="K92" s="1648"/>
      <c r="L92" s="1648"/>
      <c r="M92" s="1648"/>
      <c r="N92" s="1648"/>
      <c r="O92" s="1648"/>
      <c r="P92" s="1648"/>
      <c r="Q92" s="1648"/>
      <c r="R92" s="1648"/>
      <c r="S92" s="1648"/>
      <c r="T92" s="1648"/>
      <c r="U92" s="1648"/>
      <c r="V92" s="1648"/>
      <c r="W92" s="1648"/>
      <c r="X92" s="1648"/>
      <c r="Y92" s="1648"/>
      <c r="Z92" s="1648"/>
      <c r="AA92" s="1648"/>
      <c r="AB92" s="1648"/>
      <c r="AC92" s="1648"/>
      <c r="AD92" s="1648"/>
      <c r="AE92" s="1648"/>
      <c r="AF92" s="1648"/>
      <c r="AG92" s="1648"/>
      <c r="AH92" s="1648"/>
      <c r="AI92" s="1648"/>
      <c r="AJ92" s="1648"/>
      <c r="AK92" s="1648"/>
      <c r="AL92" s="1648"/>
      <c r="AM92" s="1648"/>
      <c r="AN92" s="1648"/>
      <c r="AO92" s="1648"/>
      <c r="AP92" s="1648"/>
      <c r="AQ92" s="1648"/>
      <c r="AR92" s="1648"/>
      <c r="AS92" s="1648"/>
      <c r="AT92" s="1648"/>
      <c r="AU92" s="1648"/>
      <c r="AV92" s="1648"/>
      <c r="AW92" s="1648"/>
      <c r="AX92" s="1648"/>
      <c r="AY92" s="1648"/>
      <c r="AZ92" s="1648"/>
      <c r="BA92" s="1648"/>
      <c r="BB92" s="1648"/>
      <c r="BC92" s="1648"/>
      <c r="BD92" s="1648"/>
      <c r="BE92" s="1648"/>
      <c r="BF92" s="1648"/>
      <c r="BG92" s="428"/>
      <c r="BH92" s="429"/>
      <c r="BI92" s="494" t="str">
        <f t="shared" si="0"/>
        <v/>
      </c>
      <c r="BJ92" s="495" t="str">
        <f t="shared" si="1"/>
        <v/>
      </c>
      <c r="BK92" s="1664" t="s">
        <v>916</v>
      </c>
      <c r="BL92" s="1664"/>
      <c r="BM92" s="1664"/>
      <c r="BN92" s="1664"/>
      <c r="BO92" s="1664"/>
      <c r="BP92" s="1664"/>
      <c r="BQ92" s="1664"/>
      <c r="BR92" s="1664"/>
      <c r="BS92" s="1664"/>
      <c r="BT92" s="1664"/>
      <c r="BU92" s="1664"/>
      <c r="BV92" s="1664"/>
      <c r="BW92" s="495" t="str">
        <f t="shared" si="2"/>
        <v/>
      </c>
      <c r="BX92" s="1664" t="s">
        <v>637</v>
      </c>
      <c r="BY92" s="1664"/>
      <c r="BZ92" s="1664"/>
      <c r="CA92" s="1664"/>
      <c r="CB92" s="1664"/>
      <c r="CC92" s="1664"/>
      <c r="CD92" s="1664"/>
      <c r="CE92" s="1664"/>
      <c r="CF92" s="1664"/>
      <c r="CG92" s="1664"/>
      <c r="CH92" s="1664"/>
      <c r="CI92" s="1664"/>
      <c r="CJ92" s="495" t="str">
        <f t="shared" si="3"/>
        <v/>
      </c>
      <c r="CK92" s="1666" t="s">
        <v>924</v>
      </c>
      <c r="CL92" s="1664"/>
      <c r="CM92" s="1664"/>
      <c r="CN92" s="1664"/>
      <c r="CO92" s="1664"/>
      <c r="CP92" s="1664"/>
      <c r="CQ92" s="1664"/>
      <c r="CR92" s="1664"/>
      <c r="CS92" s="1664"/>
      <c r="CT92" s="1664"/>
      <c r="CU92" s="1664"/>
      <c r="CV92" s="1664"/>
      <c r="CW92" s="495" t="str">
        <f t="shared" si="4"/>
        <v/>
      </c>
      <c r="CX92" s="1705"/>
      <c r="CY92" s="1705"/>
      <c r="CZ92" s="1705"/>
      <c r="DA92" s="1705"/>
      <c r="DB92" s="1705"/>
      <c r="DC92" s="1705"/>
      <c r="DD92" s="1705"/>
      <c r="DE92" s="1705"/>
      <c r="DF92" s="1705"/>
      <c r="DG92" s="1705"/>
      <c r="DH92" s="1705"/>
      <c r="DI92" s="1705"/>
      <c r="DJ92" s="495" t="str">
        <f t="shared" si="5"/>
        <v/>
      </c>
      <c r="DK92" s="1705" t="s">
        <v>930</v>
      </c>
      <c r="DL92" s="1705"/>
      <c r="DM92" s="1705"/>
      <c r="DN92" s="1705"/>
      <c r="DO92" s="1705"/>
      <c r="DP92" s="1705"/>
      <c r="DQ92" s="1705"/>
      <c r="DR92" s="1705"/>
      <c r="DS92" s="1705"/>
      <c r="DT92" s="1705"/>
      <c r="DU92" s="1705"/>
      <c r="DV92" s="1706"/>
    </row>
    <row r="93" spans="2:126" s="430" customFormat="1" ht="42.75" customHeight="1" x14ac:dyDescent="0.2">
      <c r="B93" s="427"/>
      <c r="C93" s="1648" t="str">
        <f t="shared" si="6"/>
        <v/>
      </c>
      <c r="D93" s="1648"/>
      <c r="E93" s="1648"/>
      <c r="F93" s="1648"/>
      <c r="G93" s="1648"/>
      <c r="H93" s="1648"/>
      <c r="I93" s="164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648"/>
      <c r="AG93" s="1648"/>
      <c r="AH93" s="1648"/>
      <c r="AI93" s="1648"/>
      <c r="AJ93" s="1648"/>
      <c r="AK93" s="1648"/>
      <c r="AL93" s="1648"/>
      <c r="AM93" s="1648"/>
      <c r="AN93" s="1648"/>
      <c r="AO93" s="1648"/>
      <c r="AP93" s="1648"/>
      <c r="AQ93" s="1648"/>
      <c r="AR93" s="1648"/>
      <c r="AS93" s="1648"/>
      <c r="AT93" s="1648"/>
      <c r="AU93" s="1648"/>
      <c r="AV93" s="1648"/>
      <c r="AW93" s="1648"/>
      <c r="AX93" s="1648"/>
      <c r="AY93" s="1648"/>
      <c r="AZ93" s="1648"/>
      <c r="BA93" s="1648"/>
      <c r="BB93" s="1648"/>
      <c r="BC93" s="1648"/>
      <c r="BD93" s="1648"/>
      <c r="BE93" s="1648"/>
      <c r="BF93" s="1648"/>
      <c r="BG93" s="428"/>
      <c r="BH93" s="429"/>
      <c r="BI93" s="494" t="str">
        <f t="shared" si="0"/>
        <v/>
      </c>
      <c r="BJ93" s="495" t="str">
        <f t="shared" si="1"/>
        <v/>
      </c>
      <c r="BK93" s="1664" t="s">
        <v>920</v>
      </c>
      <c r="BL93" s="1664"/>
      <c r="BM93" s="1664"/>
      <c r="BN93" s="1664"/>
      <c r="BO93" s="1664"/>
      <c r="BP93" s="1664"/>
      <c r="BQ93" s="1664"/>
      <c r="BR93" s="1664"/>
      <c r="BS93" s="1664"/>
      <c r="BT93" s="1664"/>
      <c r="BU93" s="1664"/>
      <c r="BV93" s="1664"/>
      <c r="BW93" s="495" t="str">
        <f t="shared" si="2"/>
        <v/>
      </c>
      <c r="BX93" s="1664" t="s">
        <v>638</v>
      </c>
      <c r="BY93" s="1664"/>
      <c r="BZ93" s="1664"/>
      <c r="CA93" s="1664"/>
      <c r="CB93" s="1664"/>
      <c r="CC93" s="1664"/>
      <c r="CD93" s="1664"/>
      <c r="CE93" s="1664"/>
      <c r="CF93" s="1664"/>
      <c r="CG93" s="1664"/>
      <c r="CH93" s="1664"/>
      <c r="CI93" s="1664"/>
      <c r="CJ93" s="495" t="str">
        <f t="shared" si="3"/>
        <v/>
      </c>
      <c r="CK93" s="1666" t="s">
        <v>925</v>
      </c>
      <c r="CL93" s="1664"/>
      <c r="CM93" s="1664"/>
      <c r="CN93" s="1664"/>
      <c r="CO93" s="1664"/>
      <c r="CP93" s="1664"/>
      <c r="CQ93" s="1664"/>
      <c r="CR93" s="1664"/>
      <c r="CS93" s="1664"/>
      <c r="CT93" s="1664"/>
      <c r="CU93" s="1664"/>
      <c r="CV93" s="1664"/>
      <c r="CW93" s="495" t="str">
        <f t="shared" si="4"/>
        <v/>
      </c>
      <c r="CX93" s="1705"/>
      <c r="CY93" s="1705"/>
      <c r="CZ93" s="1705"/>
      <c r="DA93" s="1705"/>
      <c r="DB93" s="1705"/>
      <c r="DC93" s="1705"/>
      <c r="DD93" s="1705"/>
      <c r="DE93" s="1705"/>
      <c r="DF93" s="1705"/>
      <c r="DG93" s="1705"/>
      <c r="DH93" s="1705"/>
      <c r="DI93" s="1705"/>
      <c r="DJ93" s="495" t="str">
        <f t="shared" si="5"/>
        <v/>
      </c>
      <c r="DK93" s="1703" t="s">
        <v>931</v>
      </c>
      <c r="DL93" s="1705"/>
      <c r="DM93" s="1705"/>
      <c r="DN93" s="1705"/>
      <c r="DO93" s="1705"/>
      <c r="DP93" s="1705"/>
      <c r="DQ93" s="1705"/>
      <c r="DR93" s="1705"/>
      <c r="DS93" s="1705"/>
      <c r="DT93" s="1705"/>
      <c r="DU93" s="1705"/>
      <c r="DV93" s="1706"/>
    </row>
    <row r="94" spans="2:126" s="430" customFormat="1" ht="30" customHeight="1" x14ac:dyDescent="0.2">
      <c r="B94" s="427"/>
      <c r="C94" s="1648" t="str">
        <f t="shared" si="6"/>
        <v/>
      </c>
      <c r="D94" s="1648"/>
      <c r="E94" s="1648"/>
      <c r="F94" s="1648"/>
      <c r="G94" s="1648"/>
      <c r="H94" s="1648"/>
      <c r="I94" s="1648"/>
      <c r="J94" s="1648"/>
      <c r="K94" s="1648"/>
      <c r="L94" s="1648"/>
      <c r="M94" s="1648"/>
      <c r="N94" s="1648"/>
      <c r="O94" s="1648"/>
      <c r="P94" s="1648"/>
      <c r="Q94" s="1648"/>
      <c r="R94" s="1648"/>
      <c r="S94" s="1648"/>
      <c r="T94" s="1648"/>
      <c r="U94" s="1648"/>
      <c r="V94" s="1648"/>
      <c r="W94" s="1648"/>
      <c r="X94" s="1648"/>
      <c r="Y94" s="1648"/>
      <c r="Z94" s="1648"/>
      <c r="AA94" s="1648"/>
      <c r="AB94" s="1648"/>
      <c r="AC94" s="1648"/>
      <c r="AD94" s="1648"/>
      <c r="AE94" s="1648"/>
      <c r="AF94" s="1648"/>
      <c r="AG94" s="1648"/>
      <c r="AH94" s="1648"/>
      <c r="AI94" s="1648"/>
      <c r="AJ94" s="1648"/>
      <c r="AK94" s="1648"/>
      <c r="AL94" s="1648"/>
      <c r="AM94" s="1648"/>
      <c r="AN94" s="1648"/>
      <c r="AO94" s="1648"/>
      <c r="AP94" s="1648"/>
      <c r="AQ94" s="1648"/>
      <c r="AR94" s="1648"/>
      <c r="AS94" s="1648"/>
      <c r="AT94" s="1648"/>
      <c r="AU94" s="1648"/>
      <c r="AV94" s="1648"/>
      <c r="AW94" s="1648"/>
      <c r="AX94" s="1648"/>
      <c r="AY94" s="1648"/>
      <c r="AZ94" s="1648"/>
      <c r="BA94" s="1648"/>
      <c r="BB94" s="1648"/>
      <c r="BC94" s="1648"/>
      <c r="BD94" s="1648"/>
      <c r="BE94" s="1648"/>
      <c r="BF94" s="1648"/>
      <c r="BG94" s="428"/>
      <c r="BH94" s="429"/>
      <c r="BI94" s="494" t="str">
        <f t="shared" si="0"/>
        <v/>
      </c>
      <c r="BJ94" s="495" t="str">
        <f t="shared" si="1"/>
        <v/>
      </c>
      <c r="BK94" s="1664" t="s">
        <v>921</v>
      </c>
      <c r="BL94" s="1664"/>
      <c r="BM94" s="1664"/>
      <c r="BN94" s="1664"/>
      <c r="BO94" s="1664"/>
      <c r="BP94" s="1664"/>
      <c r="BQ94" s="1664"/>
      <c r="BR94" s="1664"/>
      <c r="BS94" s="1664"/>
      <c r="BT94" s="1664"/>
      <c r="BU94" s="1664"/>
      <c r="BV94" s="1664"/>
      <c r="BW94" s="495" t="str">
        <f t="shared" si="2"/>
        <v/>
      </c>
      <c r="BX94" s="1664" t="s">
        <v>639</v>
      </c>
      <c r="BY94" s="1664"/>
      <c r="BZ94" s="1664"/>
      <c r="CA94" s="1664"/>
      <c r="CB94" s="1664"/>
      <c r="CC94" s="1664"/>
      <c r="CD94" s="1664"/>
      <c r="CE94" s="1664"/>
      <c r="CF94" s="1664"/>
      <c r="CG94" s="1664"/>
      <c r="CH94" s="1664"/>
      <c r="CI94" s="1664"/>
      <c r="CJ94" s="495" t="str">
        <f t="shared" si="3"/>
        <v/>
      </c>
      <c r="CK94" s="1664" t="str">
        <f>+"– a vállalkozás a 651/2014/EU bizottsági rendelet szerint nem minősül nehéz helyzetben lévő vállalkozásnak"</f>
        <v>– a vállalkozás a 651/2014/EU bizottsági rendelet szerint nem minősül nehéz helyzetben lévő vállalkozásnak</v>
      </c>
      <c r="CL94" s="1664"/>
      <c r="CM94" s="1664"/>
      <c r="CN94" s="1664"/>
      <c r="CO94" s="1664"/>
      <c r="CP94" s="1664"/>
      <c r="CQ94" s="1664"/>
      <c r="CR94" s="1664"/>
      <c r="CS94" s="1664"/>
      <c r="CT94" s="1664"/>
      <c r="CU94" s="1664"/>
      <c r="CV94" s="1664"/>
      <c r="CW94" s="495" t="str">
        <f t="shared" si="4"/>
        <v/>
      </c>
      <c r="CX94" s="1705"/>
      <c r="CY94" s="1705"/>
      <c r="CZ94" s="1705"/>
      <c r="DA94" s="1705"/>
      <c r="DB94" s="1705"/>
      <c r="DC94" s="1705"/>
      <c r="DD94" s="1705"/>
      <c r="DE94" s="1705"/>
      <c r="DF94" s="1705"/>
      <c r="DG94" s="1705"/>
      <c r="DH94" s="1705"/>
      <c r="DI94" s="1705"/>
      <c r="DJ94" s="495" t="str">
        <f t="shared" si="5"/>
        <v/>
      </c>
      <c r="DK94" s="1703" t="s">
        <v>932</v>
      </c>
      <c r="DL94" s="1705"/>
      <c r="DM94" s="1705"/>
      <c r="DN94" s="1705"/>
      <c r="DO94" s="1705"/>
      <c r="DP94" s="1705"/>
      <c r="DQ94" s="1705"/>
      <c r="DR94" s="1705"/>
      <c r="DS94" s="1705"/>
      <c r="DT94" s="1705"/>
      <c r="DU94" s="1705"/>
      <c r="DV94" s="1706"/>
    </row>
    <row r="95" spans="2:126" s="430" customFormat="1" ht="30" customHeight="1" x14ac:dyDescent="0.2">
      <c r="B95" s="427"/>
      <c r="C95" s="1648" t="str">
        <f t="shared" si="6"/>
        <v/>
      </c>
      <c r="D95" s="1648"/>
      <c r="E95" s="1648"/>
      <c r="F95" s="1648"/>
      <c r="G95" s="1648"/>
      <c r="H95" s="1648"/>
      <c r="I95" s="1648"/>
      <c r="J95" s="1648"/>
      <c r="K95" s="1648"/>
      <c r="L95" s="1648"/>
      <c r="M95" s="1648"/>
      <c r="N95" s="1648"/>
      <c r="O95" s="1648"/>
      <c r="P95" s="1648"/>
      <c r="Q95" s="1648"/>
      <c r="R95" s="1648"/>
      <c r="S95" s="1648"/>
      <c r="T95" s="1648"/>
      <c r="U95" s="1648"/>
      <c r="V95" s="1648"/>
      <c r="W95" s="1648"/>
      <c r="X95" s="1648"/>
      <c r="Y95" s="1648"/>
      <c r="Z95" s="1648"/>
      <c r="AA95" s="1648"/>
      <c r="AB95" s="1648"/>
      <c r="AC95" s="1648"/>
      <c r="AD95" s="1648"/>
      <c r="AE95" s="1648"/>
      <c r="AF95" s="1648"/>
      <c r="AG95" s="1648"/>
      <c r="AH95" s="1648"/>
      <c r="AI95" s="1648"/>
      <c r="AJ95" s="1648"/>
      <c r="AK95" s="1648"/>
      <c r="AL95" s="1648"/>
      <c r="AM95" s="1648"/>
      <c r="AN95" s="1648"/>
      <c r="AO95" s="1648"/>
      <c r="AP95" s="1648"/>
      <c r="AQ95" s="1648"/>
      <c r="AR95" s="1648"/>
      <c r="AS95" s="1648"/>
      <c r="AT95" s="1648"/>
      <c r="AU95" s="1648"/>
      <c r="AV95" s="1648"/>
      <c r="AW95" s="1648"/>
      <c r="AX95" s="1648"/>
      <c r="AY95" s="1648"/>
      <c r="AZ95" s="1648"/>
      <c r="BA95" s="1648"/>
      <c r="BB95" s="1648"/>
      <c r="BC95" s="1648"/>
      <c r="BD95" s="1648"/>
      <c r="BE95" s="1648"/>
      <c r="BF95" s="1648"/>
      <c r="BG95" s="428"/>
      <c r="BH95" s="429"/>
      <c r="BI95" s="494" t="str">
        <f t="shared" si="0"/>
        <v/>
      </c>
      <c r="BJ95" s="495" t="str">
        <f t="shared" si="1"/>
        <v/>
      </c>
      <c r="BK95" s="1664" t="s">
        <v>922</v>
      </c>
      <c r="BL95" s="1664"/>
      <c r="BM95" s="1664"/>
      <c r="BN95" s="1664"/>
      <c r="BO95" s="1664"/>
      <c r="BP95" s="1664"/>
      <c r="BQ95" s="1664"/>
      <c r="BR95" s="1664"/>
      <c r="BS95" s="1664"/>
      <c r="BT95" s="1664"/>
      <c r="BU95" s="1664"/>
      <c r="BV95" s="1664"/>
      <c r="BW95" s="495" t="str">
        <f t="shared" si="2"/>
        <v/>
      </c>
      <c r="BX95" s="1664" t="s">
        <v>640</v>
      </c>
      <c r="BY95" s="1664"/>
      <c r="BZ95" s="1664"/>
      <c r="CA95" s="1664"/>
      <c r="CB95" s="1664"/>
      <c r="CC95" s="1664"/>
      <c r="CD95" s="1664"/>
      <c r="CE95" s="1664"/>
      <c r="CF95" s="1664"/>
      <c r="CG95" s="1664"/>
      <c r="CH95" s="1664"/>
      <c r="CI95" s="1664"/>
      <c r="CJ95" s="495" t="str">
        <f t="shared" si="3"/>
        <v/>
      </c>
      <c r="CK95" s="1664" t="str">
        <f>+""</f>
        <v/>
      </c>
      <c r="CL95" s="1664"/>
      <c r="CM95" s="1664"/>
      <c r="CN95" s="1664"/>
      <c r="CO95" s="1664"/>
      <c r="CP95" s="1664"/>
      <c r="CQ95" s="1664"/>
      <c r="CR95" s="1664"/>
      <c r="CS95" s="1664"/>
      <c r="CT95" s="1664"/>
      <c r="CU95" s="1664"/>
      <c r="CV95" s="1664"/>
      <c r="CW95" s="495" t="str">
        <f t="shared" si="4"/>
        <v/>
      </c>
      <c r="CX95" s="1705"/>
      <c r="CY95" s="1705"/>
      <c r="CZ95" s="1705"/>
      <c r="DA95" s="1705"/>
      <c r="DB95" s="1705"/>
      <c r="DC95" s="1705"/>
      <c r="DD95" s="1705"/>
      <c r="DE95" s="1705"/>
      <c r="DF95" s="1705"/>
      <c r="DG95" s="1705"/>
      <c r="DH95" s="1705"/>
      <c r="DI95" s="1705"/>
      <c r="DJ95" s="495" t="str">
        <f t="shared" si="5"/>
        <v/>
      </c>
      <c r="DK95" s="1705" t="s">
        <v>1080</v>
      </c>
      <c r="DL95" s="1705"/>
      <c r="DM95" s="1705"/>
      <c r="DN95" s="1705"/>
      <c r="DO95" s="1705"/>
      <c r="DP95" s="1705"/>
      <c r="DQ95" s="1705"/>
      <c r="DR95" s="1705"/>
      <c r="DS95" s="1705"/>
      <c r="DT95" s="1705"/>
      <c r="DU95" s="1705"/>
      <c r="DV95" s="1706"/>
    </row>
    <row r="96" spans="2:126" ht="57.75" customHeight="1" x14ac:dyDescent="0.15">
      <c r="B96" s="312"/>
      <c r="C96" s="1648" t="str">
        <f t="shared" si="6"/>
        <v/>
      </c>
      <c r="D96" s="1648"/>
      <c r="E96" s="1648"/>
      <c r="F96" s="1648"/>
      <c r="G96" s="1648"/>
      <c r="H96" s="1648"/>
      <c r="I96" s="1648"/>
      <c r="J96" s="1648"/>
      <c r="K96" s="1648"/>
      <c r="L96" s="1648"/>
      <c r="M96" s="1648"/>
      <c r="N96" s="1648"/>
      <c r="O96" s="1648"/>
      <c r="P96" s="1648"/>
      <c r="Q96" s="1648"/>
      <c r="R96" s="1648"/>
      <c r="S96" s="1648"/>
      <c r="T96" s="1648"/>
      <c r="U96" s="1648"/>
      <c r="V96" s="1648"/>
      <c r="W96" s="1648"/>
      <c r="X96" s="1648"/>
      <c r="Y96" s="1648"/>
      <c r="Z96" s="1648"/>
      <c r="AA96" s="1648"/>
      <c r="AB96" s="1648"/>
      <c r="AC96" s="1648"/>
      <c r="AD96" s="1648"/>
      <c r="AE96" s="1648"/>
      <c r="AF96" s="1648"/>
      <c r="AG96" s="1648"/>
      <c r="AH96" s="1648"/>
      <c r="AI96" s="1648"/>
      <c r="AJ96" s="1648"/>
      <c r="AK96" s="1648"/>
      <c r="AL96" s="1648"/>
      <c r="AM96" s="1648"/>
      <c r="AN96" s="1648"/>
      <c r="AO96" s="1648"/>
      <c r="AP96" s="1648"/>
      <c r="AQ96" s="1648"/>
      <c r="AR96" s="1648"/>
      <c r="AS96" s="1648"/>
      <c r="AT96" s="1648"/>
      <c r="AU96" s="1648"/>
      <c r="AV96" s="1648"/>
      <c r="AW96" s="1648"/>
      <c r="AX96" s="1648"/>
      <c r="AY96" s="1648"/>
      <c r="AZ96" s="1648"/>
      <c r="BA96" s="1648"/>
      <c r="BB96" s="1648"/>
      <c r="BC96" s="1648"/>
      <c r="BD96" s="1648"/>
      <c r="BE96" s="1648"/>
      <c r="BF96" s="1648"/>
      <c r="BG96" s="314"/>
      <c r="BH96" s="260"/>
      <c r="BI96" s="489" t="str">
        <f t="shared" si="0"/>
        <v/>
      </c>
      <c r="BJ96" s="252" t="str">
        <f t="shared" si="1"/>
        <v/>
      </c>
      <c r="BK96" s="1646"/>
      <c r="BL96" s="1646"/>
      <c r="BM96" s="1646"/>
      <c r="BN96" s="1646"/>
      <c r="BO96" s="1646"/>
      <c r="BP96" s="1646"/>
      <c r="BQ96" s="1646"/>
      <c r="BR96" s="1646"/>
      <c r="BS96" s="1646"/>
      <c r="BT96" s="1646"/>
      <c r="BU96" s="1646"/>
      <c r="BV96" s="1646"/>
      <c r="BW96" s="252" t="str">
        <f t="shared" si="2"/>
        <v/>
      </c>
      <c r="BX96" s="1658" t="s">
        <v>641</v>
      </c>
      <c r="BY96" s="1646"/>
      <c r="BZ96" s="1646"/>
      <c r="CA96" s="1646"/>
      <c r="CB96" s="1646"/>
      <c r="CC96" s="1646"/>
      <c r="CD96" s="1646"/>
      <c r="CE96" s="1646"/>
      <c r="CF96" s="1646"/>
      <c r="CG96" s="1646"/>
      <c r="CH96" s="1646"/>
      <c r="CI96" s="1646"/>
      <c r="CJ96" s="252" t="str">
        <f t="shared" si="3"/>
        <v/>
      </c>
      <c r="CK96" s="1646" t="str">
        <f>+""</f>
        <v/>
      </c>
      <c r="CL96" s="1646"/>
      <c r="CM96" s="1646"/>
      <c r="CN96" s="1646"/>
      <c r="CO96" s="1646"/>
      <c r="CP96" s="1646"/>
      <c r="CQ96" s="1646"/>
      <c r="CR96" s="1646"/>
      <c r="CS96" s="1646"/>
      <c r="CT96" s="1646"/>
      <c r="CU96" s="1646"/>
      <c r="CV96" s="1646"/>
      <c r="CW96" s="252" t="str">
        <f t="shared" si="4"/>
        <v/>
      </c>
      <c r="CX96" s="1701"/>
      <c r="CY96" s="1699"/>
      <c r="CZ96" s="1699"/>
      <c r="DA96" s="1699"/>
      <c r="DB96" s="1699"/>
      <c r="DC96" s="1699"/>
      <c r="DD96" s="1699"/>
      <c r="DE96" s="1699"/>
      <c r="DF96" s="1699"/>
      <c r="DG96" s="1699"/>
      <c r="DH96" s="1699"/>
      <c r="DI96" s="1699"/>
      <c r="DJ96" s="252" t="str">
        <f t="shared" si="5"/>
        <v/>
      </c>
      <c r="DK96" s="1701"/>
      <c r="DL96" s="1699"/>
      <c r="DM96" s="1699"/>
      <c r="DN96" s="1699"/>
      <c r="DO96" s="1699"/>
      <c r="DP96" s="1699"/>
      <c r="DQ96" s="1699"/>
      <c r="DR96" s="1699"/>
      <c r="DS96" s="1699"/>
      <c r="DT96" s="1699"/>
      <c r="DU96" s="1699"/>
      <c r="DV96" s="1700"/>
    </row>
    <row r="97" spans="2:126" ht="56.25" customHeight="1" x14ac:dyDescent="0.15">
      <c r="B97" s="312"/>
      <c r="C97" s="1648" t="str">
        <f t="shared" si="6"/>
        <v/>
      </c>
      <c r="D97" s="1648"/>
      <c r="E97" s="1648"/>
      <c r="F97" s="1648"/>
      <c r="G97" s="1648"/>
      <c r="H97" s="1648"/>
      <c r="I97" s="1648"/>
      <c r="J97" s="1648"/>
      <c r="K97" s="1648"/>
      <c r="L97" s="1648"/>
      <c r="M97" s="1648"/>
      <c r="N97" s="1648"/>
      <c r="O97" s="1648"/>
      <c r="P97" s="1648"/>
      <c r="Q97" s="1648"/>
      <c r="R97" s="1648"/>
      <c r="S97" s="1648"/>
      <c r="T97" s="1648"/>
      <c r="U97" s="1648"/>
      <c r="V97" s="1648"/>
      <c r="W97" s="1648"/>
      <c r="X97" s="1648"/>
      <c r="Y97" s="1648"/>
      <c r="Z97" s="1648"/>
      <c r="AA97" s="1648"/>
      <c r="AB97" s="1648"/>
      <c r="AC97" s="1648"/>
      <c r="AD97" s="1648"/>
      <c r="AE97" s="1648"/>
      <c r="AF97" s="1648"/>
      <c r="AG97" s="1648"/>
      <c r="AH97" s="1648"/>
      <c r="AI97" s="1648"/>
      <c r="AJ97" s="1648"/>
      <c r="AK97" s="1648"/>
      <c r="AL97" s="1648"/>
      <c r="AM97" s="1648"/>
      <c r="AN97" s="1648"/>
      <c r="AO97" s="1648"/>
      <c r="AP97" s="1648"/>
      <c r="AQ97" s="1648"/>
      <c r="AR97" s="1648"/>
      <c r="AS97" s="1648"/>
      <c r="AT97" s="1648"/>
      <c r="AU97" s="1648"/>
      <c r="AV97" s="1648"/>
      <c r="AW97" s="1648"/>
      <c r="AX97" s="1648"/>
      <c r="AY97" s="1648"/>
      <c r="AZ97" s="1648"/>
      <c r="BA97" s="1648"/>
      <c r="BB97" s="1648"/>
      <c r="BC97" s="1648"/>
      <c r="BD97" s="1648"/>
      <c r="BE97" s="1648"/>
      <c r="BF97" s="1648"/>
      <c r="BG97" s="314"/>
      <c r="BH97" s="260"/>
      <c r="BI97" s="489" t="str">
        <f t="shared" si="0"/>
        <v/>
      </c>
      <c r="BJ97" s="252" t="str">
        <f t="shared" si="1"/>
        <v/>
      </c>
      <c r="BK97" s="1646"/>
      <c r="BL97" s="1646"/>
      <c r="BM97" s="1646"/>
      <c r="BN97" s="1646"/>
      <c r="BO97" s="1646"/>
      <c r="BP97" s="1646"/>
      <c r="BQ97" s="1646"/>
      <c r="BR97" s="1646"/>
      <c r="BS97" s="1646"/>
      <c r="BT97" s="1646"/>
      <c r="BU97" s="1646"/>
      <c r="BV97" s="1646"/>
      <c r="BW97" s="252" t="str">
        <f t="shared" si="2"/>
        <v/>
      </c>
      <c r="BX97" s="1646" t="s">
        <v>642</v>
      </c>
      <c r="BY97" s="1646"/>
      <c r="BZ97" s="1646"/>
      <c r="CA97" s="1646"/>
      <c r="CB97" s="1646"/>
      <c r="CC97" s="1646"/>
      <c r="CD97" s="1646"/>
      <c r="CE97" s="1646"/>
      <c r="CF97" s="1646"/>
      <c r="CG97" s="1646"/>
      <c r="CH97" s="1646"/>
      <c r="CI97" s="1646"/>
      <c r="CJ97" s="252" t="str">
        <f t="shared" si="3"/>
        <v/>
      </c>
      <c r="CK97" s="1646" t="str">
        <f>+""</f>
        <v/>
      </c>
      <c r="CL97" s="1646"/>
      <c r="CM97" s="1646"/>
      <c r="CN97" s="1646"/>
      <c r="CO97" s="1646"/>
      <c r="CP97" s="1646"/>
      <c r="CQ97" s="1646"/>
      <c r="CR97" s="1646"/>
      <c r="CS97" s="1646"/>
      <c r="CT97" s="1646"/>
      <c r="CU97" s="1646"/>
      <c r="CV97" s="1646"/>
      <c r="CW97" s="252" t="str">
        <f t="shared" si="4"/>
        <v/>
      </c>
      <c r="CX97" s="1699"/>
      <c r="CY97" s="1699"/>
      <c r="CZ97" s="1699"/>
      <c r="DA97" s="1699"/>
      <c r="DB97" s="1699"/>
      <c r="DC97" s="1699"/>
      <c r="DD97" s="1699"/>
      <c r="DE97" s="1699"/>
      <c r="DF97" s="1699"/>
      <c r="DG97" s="1699"/>
      <c r="DH97" s="1699"/>
      <c r="DI97" s="1699"/>
      <c r="DJ97" s="252" t="str">
        <f t="shared" si="5"/>
        <v/>
      </c>
      <c r="DK97" s="1699"/>
      <c r="DL97" s="1699"/>
      <c r="DM97" s="1699"/>
      <c r="DN97" s="1699"/>
      <c r="DO97" s="1699"/>
      <c r="DP97" s="1699"/>
      <c r="DQ97" s="1699"/>
      <c r="DR97" s="1699"/>
      <c r="DS97" s="1699"/>
      <c r="DT97" s="1699"/>
      <c r="DU97" s="1699"/>
      <c r="DV97" s="1700"/>
    </row>
    <row r="98" spans="2:126" ht="41.25" customHeight="1" x14ac:dyDescent="0.15">
      <c r="B98" s="312"/>
      <c r="C98" s="1648" t="str">
        <f t="shared" si="6"/>
        <v/>
      </c>
      <c r="D98" s="1648"/>
      <c r="E98" s="1648"/>
      <c r="F98" s="1648"/>
      <c r="G98" s="1648"/>
      <c r="H98" s="1648"/>
      <c r="I98" s="1648"/>
      <c r="J98" s="1648"/>
      <c r="K98" s="1648"/>
      <c r="L98" s="1648"/>
      <c r="M98" s="1648"/>
      <c r="N98" s="1648"/>
      <c r="O98" s="1648"/>
      <c r="P98" s="1648"/>
      <c r="Q98" s="1648"/>
      <c r="R98" s="1648"/>
      <c r="S98" s="1648"/>
      <c r="T98" s="1648"/>
      <c r="U98" s="1648"/>
      <c r="V98" s="1648"/>
      <c r="W98" s="1648"/>
      <c r="X98" s="1648"/>
      <c r="Y98" s="1648"/>
      <c r="Z98" s="1648"/>
      <c r="AA98" s="1648"/>
      <c r="AB98" s="1648"/>
      <c r="AC98" s="1648"/>
      <c r="AD98" s="1648"/>
      <c r="AE98" s="1648"/>
      <c r="AF98" s="1648"/>
      <c r="AG98" s="1648"/>
      <c r="AH98" s="1648"/>
      <c r="AI98" s="1648"/>
      <c r="AJ98" s="1648"/>
      <c r="AK98" s="1648"/>
      <c r="AL98" s="1648"/>
      <c r="AM98" s="1648"/>
      <c r="AN98" s="1648"/>
      <c r="AO98" s="1648"/>
      <c r="AP98" s="1648"/>
      <c r="AQ98" s="1648"/>
      <c r="AR98" s="1648"/>
      <c r="AS98" s="1648"/>
      <c r="AT98" s="1648"/>
      <c r="AU98" s="1648"/>
      <c r="AV98" s="1648"/>
      <c r="AW98" s="1648"/>
      <c r="AX98" s="1648"/>
      <c r="AY98" s="1648"/>
      <c r="AZ98" s="1648"/>
      <c r="BA98" s="1648"/>
      <c r="BB98" s="1648"/>
      <c r="BC98" s="1648"/>
      <c r="BD98" s="1648"/>
      <c r="BE98" s="1648"/>
      <c r="BF98" s="1648"/>
      <c r="BG98" s="314"/>
      <c r="BH98" s="260"/>
      <c r="BI98" s="489" t="str">
        <f t="shared" si="0"/>
        <v/>
      </c>
      <c r="BJ98" s="252" t="str">
        <f t="shared" si="1"/>
        <v/>
      </c>
      <c r="BK98" s="1646"/>
      <c r="BL98" s="1646"/>
      <c r="BM98" s="1646"/>
      <c r="BN98" s="1646"/>
      <c r="BO98" s="1646"/>
      <c r="BP98" s="1646"/>
      <c r="BQ98" s="1646"/>
      <c r="BR98" s="1646"/>
      <c r="BS98" s="1646"/>
      <c r="BT98" s="1646"/>
      <c r="BU98" s="1646"/>
      <c r="BV98" s="1646"/>
      <c r="BW98" s="252" t="str">
        <f t="shared" si="2"/>
        <v/>
      </c>
      <c r="BX98" s="1646" t="s">
        <v>643</v>
      </c>
      <c r="BY98" s="1646"/>
      <c r="BZ98" s="1646"/>
      <c r="CA98" s="1646"/>
      <c r="CB98" s="1646"/>
      <c r="CC98" s="1646"/>
      <c r="CD98" s="1646"/>
      <c r="CE98" s="1646"/>
      <c r="CF98" s="1646"/>
      <c r="CG98" s="1646"/>
      <c r="CH98" s="1646"/>
      <c r="CI98" s="1646"/>
      <c r="CJ98" s="252" t="str">
        <f t="shared" si="3"/>
        <v/>
      </c>
      <c r="CK98" s="1646" t="str">
        <f>+""</f>
        <v/>
      </c>
      <c r="CL98" s="1646"/>
      <c r="CM98" s="1646"/>
      <c r="CN98" s="1646"/>
      <c r="CO98" s="1646"/>
      <c r="CP98" s="1646"/>
      <c r="CQ98" s="1646"/>
      <c r="CR98" s="1646"/>
      <c r="CS98" s="1646"/>
      <c r="CT98" s="1646"/>
      <c r="CU98" s="1646"/>
      <c r="CV98" s="1646"/>
      <c r="CW98" s="252" t="str">
        <f t="shared" si="4"/>
        <v/>
      </c>
      <c r="CX98" s="1699"/>
      <c r="CY98" s="1699"/>
      <c r="CZ98" s="1699"/>
      <c r="DA98" s="1699"/>
      <c r="DB98" s="1699"/>
      <c r="DC98" s="1699"/>
      <c r="DD98" s="1699"/>
      <c r="DE98" s="1699"/>
      <c r="DF98" s="1699"/>
      <c r="DG98" s="1699"/>
      <c r="DH98" s="1699"/>
      <c r="DI98" s="1699"/>
      <c r="DJ98" s="252" t="str">
        <f t="shared" si="5"/>
        <v/>
      </c>
      <c r="DK98" s="1699"/>
      <c r="DL98" s="1699"/>
      <c r="DM98" s="1699"/>
      <c r="DN98" s="1699"/>
      <c r="DO98" s="1699"/>
      <c r="DP98" s="1699"/>
      <c r="DQ98" s="1699"/>
      <c r="DR98" s="1699"/>
      <c r="DS98" s="1699"/>
      <c r="DT98" s="1699"/>
      <c r="DU98" s="1699"/>
      <c r="DV98" s="1700"/>
    </row>
    <row r="99" spans="2:126" ht="26.25" customHeight="1" x14ac:dyDescent="0.15">
      <c r="B99" s="312"/>
      <c r="C99" s="1648" t="str">
        <f t="shared" si="6"/>
        <v/>
      </c>
      <c r="D99" s="1648"/>
      <c r="E99" s="1648"/>
      <c r="F99" s="1648"/>
      <c r="G99" s="1648"/>
      <c r="H99" s="1648"/>
      <c r="I99" s="1648"/>
      <c r="J99" s="1648"/>
      <c r="K99" s="1648"/>
      <c r="L99" s="1648"/>
      <c r="M99" s="1648"/>
      <c r="N99" s="1648"/>
      <c r="O99" s="1648"/>
      <c r="P99" s="1648"/>
      <c r="Q99" s="1648"/>
      <c r="R99" s="1648"/>
      <c r="S99" s="1648"/>
      <c r="T99" s="1648"/>
      <c r="U99" s="1648"/>
      <c r="V99" s="1648"/>
      <c r="W99" s="1648"/>
      <c r="X99" s="1648"/>
      <c r="Y99" s="1648"/>
      <c r="Z99" s="1648"/>
      <c r="AA99" s="1648"/>
      <c r="AB99" s="1648"/>
      <c r="AC99" s="1648"/>
      <c r="AD99" s="1648"/>
      <c r="AE99" s="1648"/>
      <c r="AF99" s="1648"/>
      <c r="AG99" s="1648"/>
      <c r="AH99" s="1648"/>
      <c r="AI99" s="1648"/>
      <c r="AJ99" s="1648"/>
      <c r="AK99" s="1648"/>
      <c r="AL99" s="1648"/>
      <c r="AM99" s="1648"/>
      <c r="AN99" s="1648"/>
      <c r="AO99" s="1648"/>
      <c r="AP99" s="1648"/>
      <c r="AQ99" s="1648"/>
      <c r="AR99" s="1648"/>
      <c r="AS99" s="1648"/>
      <c r="AT99" s="1648"/>
      <c r="AU99" s="1648"/>
      <c r="AV99" s="1648"/>
      <c r="AW99" s="1648"/>
      <c r="AX99" s="1648"/>
      <c r="AY99" s="1648"/>
      <c r="AZ99" s="1648"/>
      <c r="BA99" s="1648"/>
      <c r="BB99" s="1648"/>
      <c r="BC99" s="1648"/>
      <c r="BD99" s="1648"/>
      <c r="BE99" s="1648"/>
      <c r="BF99" s="1648"/>
      <c r="BG99" s="314"/>
      <c r="BH99" s="260"/>
      <c r="BI99" s="489" t="str">
        <f t="shared" si="0"/>
        <v/>
      </c>
      <c r="BJ99" s="252" t="str">
        <f t="shared" si="1"/>
        <v/>
      </c>
      <c r="BK99" s="1646"/>
      <c r="BL99" s="1646"/>
      <c r="BM99" s="1646"/>
      <c r="BN99" s="1646"/>
      <c r="BO99" s="1646"/>
      <c r="BP99" s="1646"/>
      <c r="BQ99" s="1646"/>
      <c r="BR99" s="1646"/>
      <c r="BS99" s="1646"/>
      <c r="BT99" s="1646"/>
      <c r="BU99" s="1646"/>
      <c r="BV99" s="1646"/>
      <c r="BW99" s="252" t="str">
        <f t="shared" si="2"/>
        <v/>
      </c>
      <c r="BX99" s="1646" t="s">
        <v>644</v>
      </c>
      <c r="BY99" s="1646"/>
      <c r="BZ99" s="1646"/>
      <c r="CA99" s="1646"/>
      <c r="CB99" s="1646"/>
      <c r="CC99" s="1646"/>
      <c r="CD99" s="1646"/>
      <c r="CE99" s="1646"/>
      <c r="CF99" s="1646"/>
      <c r="CG99" s="1646"/>
      <c r="CH99" s="1646"/>
      <c r="CI99" s="1646"/>
      <c r="CJ99" s="252" t="str">
        <f t="shared" si="3"/>
        <v/>
      </c>
      <c r="CK99" s="1646" t="str">
        <f>+""</f>
        <v/>
      </c>
      <c r="CL99" s="1646"/>
      <c r="CM99" s="1646"/>
      <c r="CN99" s="1646"/>
      <c r="CO99" s="1646"/>
      <c r="CP99" s="1646"/>
      <c r="CQ99" s="1646"/>
      <c r="CR99" s="1646"/>
      <c r="CS99" s="1646"/>
      <c r="CT99" s="1646"/>
      <c r="CU99" s="1646"/>
      <c r="CV99" s="1646"/>
      <c r="CW99" s="252" t="str">
        <f t="shared" si="4"/>
        <v/>
      </c>
      <c r="CX99" s="1699"/>
      <c r="CY99" s="1699"/>
      <c r="CZ99" s="1699"/>
      <c r="DA99" s="1699"/>
      <c r="DB99" s="1699"/>
      <c r="DC99" s="1699"/>
      <c r="DD99" s="1699"/>
      <c r="DE99" s="1699"/>
      <c r="DF99" s="1699"/>
      <c r="DG99" s="1699"/>
      <c r="DH99" s="1699"/>
      <c r="DI99" s="1699"/>
      <c r="DJ99" s="252" t="str">
        <f t="shared" si="5"/>
        <v/>
      </c>
      <c r="DK99" s="1699"/>
      <c r="DL99" s="1699"/>
      <c r="DM99" s="1699"/>
      <c r="DN99" s="1699"/>
      <c r="DO99" s="1699"/>
      <c r="DP99" s="1699"/>
      <c r="DQ99" s="1699"/>
      <c r="DR99" s="1699"/>
      <c r="DS99" s="1699"/>
      <c r="DT99" s="1699"/>
      <c r="DU99" s="1699"/>
      <c r="DV99" s="1700"/>
    </row>
    <row r="100" spans="2:126" ht="110.25" customHeight="1" x14ac:dyDescent="0.15">
      <c r="B100" s="312"/>
      <c r="C100" s="1648" t="str">
        <f t="shared" si="6"/>
        <v/>
      </c>
      <c r="D100" s="1648"/>
      <c r="E100" s="1648"/>
      <c r="F100" s="1648"/>
      <c r="G100" s="1648"/>
      <c r="H100" s="1648"/>
      <c r="I100" s="164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314"/>
      <c r="BH100" s="260"/>
      <c r="BI100" s="489" t="str">
        <f t="shared" si="0"/>
        <v/>
      </c>
      <c r="BJ100" s="252" t="str">
        <f t="shared" si="1"/>
        <v/>
      </c>
      <c r="BK100" s="1646"/>
      <c r="BL100" s="1646"/>
      <c r="BM100" s="1646"/>
      <c r="BN100" s="1646"/>
      <c r="BO100" s="1646"/>
      <c r="BP100" s="1646"/>
      <c r="BQ100" s="1646"/>
      <c r="BR100" s="1646"/>
      <c r="BS100" s="1646"/>
      <c r="BT100" s="1646"/>
      <c r="BU100" s="1646"/>
      <c r="BV100" s="1646"/>
      <c r="BW100" s="252" t="str">
        <f t="shared" si="2"/>
        <v/>
      </c>
      <c r="BX100" s="1646" t="s">
        <v>645</v>
      </c>
      <c r="BY100" s="1646"/>
      <c r="BZ100" s="1646"/>
      <c r="CA100" s="1646"/>
      <c r="CB100" s="1646"/>
      <c r="CC100" s="1646"/>
      <c r="CD100" s="1646"/>
      <c r="CE100" s="1646"/>
      <c r="CF100" s="1646"/>
      <c r="CG100" s="1646"/>
      <c r="CH100" s="1646"/>
      <c r="CI100" s="1646"/>
      <c r="CJ100" s="252" t="str">
        <f t="shared" si="3"/>
        <v/>
      </c>
      <c r="CK100" s="1646" t="str">
        <f>+""</f>
        <v/>
      </c>
      <c r="CL100" s="1646"/>
      <c r="CM100" s="1646"/>
      <c r="CN100" s="1646"/>
      <c r="CO100" s="1646"/>
      <c r="CP100" s="1646"/>
      <c r="CQ100" s="1646"/>
      <c r="CR100" s="1646"/>
      <c r="CS100" s="1646"/>
      <c r="CT100" s="1646"/>
      <c r="CU100" s="1646"/>
      <c r="CV100" s="1646"/>
      <c r="CW100" s="252" t="str">
        <f t="shared" si="4"/>
        <v/>
      </c>
      <c r="CX100" s="1699"/>
      <c r="CY100" s="1699"/>
      <c r="CZ100" s="1699"/>
      <c r="DA100" s="1699"/>
      <c r="DB100" s="1699"/>
      <c r="DC100" s="1699"/>
      <c r="DD100" s="1699"/>
      <c r="DE100" s="1699"/>
      <c r="DF100" s="1699"/>
      <c r="DG100" s="1699"/>
      <c r="DH100" s="1699"/>
      <c r="DI100" s="1699"/>
      <c r="DJ100" s="252" t="str">
        <f t="shared" si="5"/>
        <v/>
      </c>
      <c r="DK100" s="1699"/>
      <c r="DL100" s="1699"/>
      <c r="DM100" s="1699"/>
      <c r="DN100" s="1699"/>
      <c r="DO100" s="1699"/>
      <c r="DP100" s="1699"/>
      <c r="DQ100" s="1699"/>
      <c r="DR100" s="1699"/>
      <c r="DS100" s="1699"/>
      <c r="DT100" s="1699"/>
      <c r="DU100" s="1699"/>
      <c r="DV100" s="1700"/>
    </row>
    <row r="101" spans="2:126" ht="26.25" customHeight="1" x14ac:dyDescent="0.15">
      <c r="B101" s="312"/>
      <c r="C101" s="1648" t="str">
        <f t="shared" si="6"/>
        <v/>
      </c>
      <c r="D101" s="1648"/>
      <c r="E101" s="1648"/>
      <c r="F101" s="1648"/>
      <c r="G101" s="1648"/>
      <c r="H101" s="1648"/>
      <c r="I101" s="1648"/>
      <c r="J101" s="1648"/>
      <c r="K101" s="1648"/>
      <c r="L101" s="1648"/>
      <c r="M101" s="1648"/>
      <c r="N101" s="1648"/>
      <c r="O101" s="1648"/>
      <c r="P101" s="1648"/>
      <c r="Q101" s="1648"/>
      <c r="R101" s="1648"/>
      <c r="S101" s="1648"/>
      <c r="T101" s="1648"/>
      <c r="U101" s="1648"/>
      <c r="V101" s="1648"/>
      <c r="W101" s="1648"/>
      <c r="X101" s="1648"/>
      <c r="Y101" s="1648"/>
      <c r="Z101" s="1648"/>
      <c r="AA101" s="1648"/>
      <c r="AB101" s="1648"/>
      <c r="AC101" s="1648"/>
      <c r="AD101" s="1648"/>
      <c r="AE101" s="1648"/>
      <c r="AF101" s="1648"/>
      <c r="AG101" s="1648"/>
      <c r="AH101" s="1648"/>
      <c r="AI101" s="1648"/>
      <c r="AJ101" s="1648"/>
      <c r="AK101" s="1648"/>
      <c r="AL101" s="1648"/>
      <c r="AM101" s="1648"/>
      <c r="AN101" s="1648"/>
      <c r="AO101" s="1648"/>
      <c r="AP101" s="1648"/>
      <c r="AQ101" s="1648"/>
      <c r="AR101" s="1648"/>
      <c r="AS101" s="1648"/>
      <c r="AT101" s="1648"/>
      <c r="AU101" s="1648"/>
      <c r="AV101" s="1648"/>
      <c r="AW101" s="1648"/>
      <c r="AX101" s="1648"/>
      <c r="AY101" s="1648"/>
      <c r="AZ101" s="1648"/>
      <c r="BA101" s="1648"/>
      <c r="BB101" s="1648"/>
      <c r="BC101" s="1648"/>
      <c r="BD101" s="1648"/>
      <c r="BE101" s="1648"/>
      <c r="BF101" s="1648"/>
      <c r="BG101" s="314"/>
      <c r="BH101" s="260"/>
      <c r="BI101" s="489" t="str">
        <f t="shared" si="0"/>
        <v/>
      </c>
      <c r="BJ101" s="252" t="str">
        <f t="shared" si="1"/>
        <v/>
      </c>
      <c r="BK101" s="1646"/>
      <c r="BL101" s="1646"/>
      <c r="BM101" s="1646"/>
      <c r="BN101" s="1646"/>
      <c r="BO101" s="1646"/>
      <c r="BP101" s="1646"/>
      <c r="BQ101" s="1646"/>
      <c r="BR101" s="1646"/>
      <c r="BS101" s="1646"/>
      <c r="BT101" s="1646"/>
      <c r="BU101" s="1646"/>
      <c r="BV101" s="1646"/>
      <c r="BW101" s="252" t="str">
        <f t="shared" si="2"/>
        <v/>
      </c>
      <c r="BX101" s="1646" t="s">
        <v>646</v>
      </c>
      <c r="BY101" s="1646"/>
      <c r="BZ101" s="1646"/>
      <c r="CA101" s="1646"/>
      <c r="CB101" s="1646"/>
      <c r="CC101" s="1646"/>
      <c r="CD101" s="1646"/>
      <c r="CE101" s="1646"/>
      <c r="CF101" s="1646"/>
      <c r="CG101" s="1646"/>
      <c r="CH101" s="1646"/>
      <c r="CI101" s="1646"/>
      <c r="CJ101" s="252" t="str">
        <f t="shared" si="3"/>
        <v/>
      </c>
      <c r="CK101" s="1646" t="str">
        <f>+""</f>
        <v/>
      </c>
      <c r="CL101" s="1646"/>
      <c r="CM101" s="1646"/>
      <c r="CN101" s="1646"/>
      <c r="CO101" s="1646"/>
      <c r="CP101" s="1646"/>
      <c r="CQ101" s="1646"/>
      <c r="CR101" s="1646"/>
      <c r="CS101" s="1646"/>
      <c r="CT101" s="1646"/>
      <c r="CU101" s="1646"/>
      <c r="CV101" s="1646"/>
      <c r="CW101" s="252" t="str">
        <f t="shared" si="4"/>
        <v/>
      </c>
      <c r="CX101" s="1699"/>
      <c r="CY101" s="1699"/>
      <c r="CZ101" s="1699"/>
      <c r="DA101" s="1699"/>
      <c r="DB101" s="1699"/>
      <c r="DC101" s="1699"/>
      <c r="DD101" s="1699"/>
      <c r="DE101" s="1699"/>
      <c r="DF101" s="1699"/>
      <c r="DG101" s="1699"/>
      <c r="DH101" s="1699"/>
      <c r="DI101" s="1699"/>
      <c r="DJ101" s="252" t="str">
        <f t="shared" si="5"/>
        <v/>
      </c>
      <c r="DK101" s="1699"/>
      <c r="DL101" s="1699"/>
      <c r="DM101" s="1699"/>
      <c r="DN101" s="1699"/>
      <c r="DO101" s="1699"/>
      <c r="DP101" s="1699"/>
      <c r="DQ101" s="1699"/>
      <c r="DR101" s="1699"/>
      <c r="DS101" s="1699"/>
      <c r="DT101" s="1699"/>
      <c r="DU101" s="1699"/>
      <c r="DV101" s="1700"/>
    </row>
    <row r="102" spans="2:126" ht="26.25" customHeight="1" x14ac:dyDescent="0.15">
      <c r="B102" s="312"/>
      <c r="C102" s="1648" t="str">
        <f t="shared" si="6"/>
        <v/>
      </c>
      <c r="D102" s="1648"/>
      <c r="E102" s="1648"/>
      <c r="F102" s="1648"/>
      <c r="G102" s="1648"/>
      <c r="H102" s="1648"/>
      <c r="I102" s="1648"/>
      <c r="J102" s="1648"/>
      <c r="K102" s="1648"/>
      <c r="L102" s="1648"/>
      <c r="M102" s="1648"/>
      <c r="N102" s="1648"/>
      <c r="O102" s="1648"/>
      <c r="P102" s="1648"/>
      <c r="Q102" s="1648"/>
      <c r="R102" s="1648"/>
      <c r="S102" s="1648"/>
      <c r="T102" s="1648"/>
      <c r="U102" s="1648"/>
      <c r="V102" s="1648"/>
      <c r="W102" s="1648"/>
      <c r="X102" s="1648"/>
      <c r="Y102" s="1648"/>
      <c r="Z102" s="1648"/>
      <c r="AA102" s="1648"/>
      <c r="AB102" s="1648"/>
      <c r="AC102" s="1648"/>
      <c r="AD102" s="1648"/>
      <c r="AE102" s="1648"/>
      <c r="AF102" s="1648"/>
      <c r="AG102" s="1648"/>
      <c r="AH102" s="1648"/>
      <c r="AI102" s="1648"/>
      <c r="AJ102" s="1648"/>
      <c r="AK102" s="1648"/>
      <c r="AL102" s="1648"/>
      <c r="AM102" s="1648"/>
      <c r="AN102" s="1648"/>
      <c r="AO102" s="1648"/>
      <c r="AP102" s="1648"/>
      <c r="AQ102" s="1648"/>
      <c r="AR102" s="1648"/>
      <c r="AS102" s="1648"/>
      <c r="AT102" s="1648"/>
      <c r="AU102" s="1648"/>
      <c r="AV102" s="1648"/>
      <c r="AW102" s="1648"/>
      <c r="AX102" s="1648"/>
      <c r="AY102" s="1648"/>
      <c r="AZ102" s="1648"/>
      <c r="BA102" s="1648"/>
      <c r="BB102" s="1648"/>
      <c r="BC102" s="1648"/>
      <c r="BD102" s="1648"/>
      <c r="BE102" s="1648"/>
      <c r="BF102" s="1648"/>
      <c r="BG102" s="314"/>
      <c r="BH102" s="260"/>
      <c r="BI102" s="489" t="str">
        <f t="shared" si="0"/>
        <v/>
      </c>
      <c r="BJ102" s="252" t="str">
        <f t="shared" si="1"/>
        <v/>
      </c>
      <c r="BK102" s="1646"/>
      <c r="BL102" s="1646"/>
      <c r="BM102" s="1646"/>
      <c r="BN102" s="1646"/>
      <c r="BO102" s="1646"/>
      <c r="BP102" s="1646"/>
      <c r="BQ102" s="1646"/>
      <c r="BR102" s="1646"/>
      <c r="BS102" s="1646"/>
      <c r="BT102" s="1646"/>
      <c r="BU102" s="1646"/>
      <c r="BV102" s="1646"/>
      <c r="BW102" s="252" t="str">
        <f t="shared" si="2"/>
        <v/>
      </c>
      <c r="BX102" s="1646" t="s">
        <v>647</v>
      </c>
      <c r="BY102" s="1646"/>
      <c r="BZ102" s="1646"/>
      <c r="CA102" s="1646"/>
      <c r="CB102" s="1646"/>
      <c r="CC102" s="1646"/>
      <c r="CD102" s="1646"/>
      <c r="CE102" s="1646"/>
      <c r="CF102" s="1646"/>
      <c r="CG102" s="1646"/>
      <c r="CH102" s="1646"/>
      <c r="CI102" s="1646"/>
      <c r="CJ102" s="252" t="str">
        <f t="shared" si="3"/>
        <v/>
      </c>
      <c r="CK102" s="1646" t="str">
        <f>+""</f>
        <v/>
      </c>
      <c r="CL102" s="1646"/>
      <c r="CM102" s="1646"/>
      <c r="CN102" s="1646"/>
      <c r="CO102" s="1646"/>
      <c r="CP102" s="1646"/>
      <c r="CQ102" s="1646"/>
      <c r="CR102" s="1646"/>
      <c r="CS102" s="1646"/>
      <c r="CT102" s="1646"/>
      <c r="CU102" s="1646"/>
      <c r="CV102" s="1646"/>
      <c r="CW102" s="252" t="str">
        <f t="shared" si="4"/>
        <v/>
      </c>
      <c r="CX102" s="1699"/>
      <c r="CY102" s="1699"/>
      <c r="CZ102" s="1699"/>
      <c r="DA102" s="1699"/>
      <c r="DB102" s="1699"/>
      <c r="DC102" s="1699"/>
      <c r="DD102" s="1699"/>
      <c r="DE102" s="1699"/>
      <c r="DF102" s="1699"/>
      <c r="DG102" s="1699"/>
      <c r="DH102" s="1699"/>
      <c r="DI102" s="1699"/>
      <c r="DJ102" s="252" t="str">
        <f t="shared" si="5"/>
        <v/>
      </c>
      <c r="DK102" s="1699"/>
      <c r="DL102" s="1699"/>
      <c r="DM102" s="1699"/>
      <c r="DN102" s="1699"/>
      <c r="DO102" s="1699"/>
      <c r="DP102" s="1699"/>
      <c r="DQ102" s="1699"/>
      <c r="DR102" s="1699"/>
      <c r="DS102" s="1699"/>
      <c r="DT102" s="1699"/>
      <c r="DU102" s="1699"/>
      <c r="DV102" s="1700"/>
    </row>
    <row r="103" spans="2:126" ht="26.25" customHeight="1" x14ac:dyDescent="0.15">
      <c r="B103" s="312"/>
      <c r="C103" s="1648" t="str">
        <f t="shared" si="6"/>
        <v/>
      </c>
      <c r="D103" s="1648"/>
      <c r="E103" s="1648"/>
      <c r="F103" s="1648"/>
      <c r="G103" s="1648"/>
      <c r="H103" s="1648"/>
      <c r="I103" s="1648"/>
      <c r="J103" s="1648"/>
      <c r="K103" s="1648"/>
      <c r="L103" s="1648"/>
      <c r="M103" s="1648"/>
      <c r="N103" s="1648"/>
      <c r="O103" s="1648"/>
      <c r="P103" s="1648"/>
      <c r="Q103" s="1648"/>
      <c r="R103" s="1648"/>
      <c r="S103" s="1648"/>
      <c r="T103" s="1648"/>
      <c r="U103" s="1648"/>
      <c r="V103" s="1648"/>
      <c r="W103" s="1648"/>
      <c r="X103" s="1648"/>
      <c r="Y103" s="1648"/>
      <c r="Z103" s="1648"/>
      <c r="AA103" s="1648"/>
      <c r="AB103" s="1648"/>
      <c r="AC103" s="1648"/>
      <c r="AD103" s="1648"/>
      <c r="AE103" s="1648"/>
      <c r="AF103" s="1648"/>
      <c r="AG103" s="1648"/>
      <c r="AH103" s="1648"/>
      <c r="AI103" s="1648"/>
      <c r="AJ103" s="1648"/>
      <c r="AK103" s="1648"/>
      <c r="AL103" s="1648"/>
      <c r="AM103" s="1648"/>
      <c r="AN103" s="1648"/>
      <c r="AO103" s="1648"/>
      <c r="AP103" s="1648"/>
      <c r="AQ103" s="1648"/>
      <c r="AR103" s="1648"/>
      <c r="AS103" s="1648"/>
      <c r="AT103" s="1648"/>
      <c r="AU103" s="1648"/>
      <c r="AV103" s="1648"/>
      <c r="AW103" s="1648"/>
      <c r="AX103" s="1648"/>
      <c r="AY103" s="1648"/>
      <c r="AZ103" s="1648"/>
      <c r="BA103" s="1648"/>
      <c r="BB103" s="1648"/>
      <c r="BC103" s="1648"/>
      <c r="BD103" s="1648"/>
      <c r="BE103" s="1648"/>
      <c r="BF103" s="1648"/>
      <c r="BG103" s="314"/>
      <c r="BH103" s="260"/>
      <c r="BI103" s="489" t="str">
        <f t="shared" si="0"/>
        <v/>
      </c>
      <c r="BJ103" s="252" t="str">
        <f t="shared" si="1"/>
        <v/>
      </c>
      <c r="BK103" s="1646"/>
      <c r="BL103" s="1646"/>
      <c r="BM103" s="1646"/>
      <c r="BN103" s="1646"/>
      <c r="BO103" s="1646"/>
      <c r="BP103" s="1646"/>
      <c r="BQ103" s="1646"/>
      <c r="BR103" s="1646"/>
      <c r="BS103" s="1646"/>
      <c r="BT103" s="1646"/>
      <c r="BU103" s="1646"/>
      <c r="BV103" s="1646"/>
      <c r="BW103" s="252" t="str">
        <f t="shared" si="2"/>
        <v/>
      </c>
      <c r="BX103" s="1646" t="s">
        <v>648</v>
      </c>
      <c r="BY103" s="1646"/>
      <c r="BZ103" s="1646"/>
      <c r="CA103" s="1646"/>
      <c r="CB103" s="1646"/>
      <c r="CC103" s="1646"/>
      <c r="CD103" s="1646"/>
      <c r="CE103" s="1646"/>
      <c r="CF103" s="1646"/>
      <c r="CG103" s="1646"/>
      <c r="CH103" s="1646"/>
      <c r="CI103" s="1646"/>
      <c r="CJ103" s="252" t="str">
        <f t="shared" si="3"/>
        <v/>
      </c>
      <c r="CK103" s="1646" t="str">
        <f>+""</f>
        <v/>
      </c>
      <c r="CL103" s="1646"/>
      <c r="CM103" s="1646"/>
      <c r="CN103" s="1646"/>
      <c r="CO103" s="1646"/>
      <c r="CP103" s="1646"/>
      <c r="CQ103" s="1646"/>
      <c r="CR103" s="1646"/>
      <c r="CS103" s="1646"/>
      <c r="CT103" s="1646"/>
      <c r="CU103" s="1646"/>
      <c r="CV103" s="1646"/>
      <c r="CW103" s="252" t="str">
        <f t="shared" si="4"/>
        <v/>
      </c>
      <c r="CX103" s="1699"/>
      <c r="CY103" s="1699"/>
      <c r="CZ103" s="1699"/>
      <c r="DA103" s="1699"/>
      <c r="DB103" s="1699"/>
      <c r="DC103" s="1699"/>
      <c r="DD103" s="1699"/>
      <c r="DE103" s="1699"/>
      <c r="DF103" s="1699"/>
      <c r="DG103" s="1699"/>
      <c r="DH103" s="1699"/>
      <c r="DI103" s="1699"/>
      <c r="DJ103" s="252" t="str">
        <f t="shared" si="5"/>
        <v/>
      </c>
      <c r="DK103" s="1699"/>
      <c r="DL103" s="1699"/>
      <c r="DM103" s="1699"/>
      <c r="DN103" s="1699"/>
      <c r="DO103" s="1699"/>
      <c r="DP103" s="1699"/>
      <c r="DQ103" s="1699"/>
      <c r="DR103" s="1699"/>
      <c r="DS103" s="1699"/>
      <c r="DT103" s="1699"/>
      <c r="DU103" s="1699"/>
      <c r="DV103" s="1700"/>
    </row>
    <row r="104" spans="2:126" ht="26.25" customHeight="1" x14ac:dyDescent="0.15">
      <c r="B104" s="312"/>
      <c r="C104" s="1648" t="str">
        <f t="shared" si="6"/>
        <v/>
      </c>
      <c r="D104" s="1648"/>
      <c r="E104" s="1648"/>
      <c r="F104" s="1648"/>
      <c r="G104" s="1648"/>
      <c r="H104" s="1648"/>
      <c r="I104" s="1648"/>
      <c r="J104" s="1648"/>
      <c r="K104" s="1648"/>
      <c r="L104" s="1648"/>
      <c r="M104" s="1648"/>
      <c r="N104" s="1648"/>
      <c r="O104" s="1648"/>
      <c r="P104" s="1648"/>
      <c r="Q104" s="1648"/>
      <c r="R104" s="1648"/>
      <c r="S104" s="1648"/>
      <c r="T104" s="1648"/>
      <c r="U104" s="1648"/>
      <c r="V104" s="1648"/>
      <c r="W104" s="1648"/>
      <c r="X104" s="1648"/>
      <c r="Y104" s="1648"/>
      <c r="Z104" s="1648"/>
      <c r="AA104" s="1648"/>
      <c r="AB104" s="1648"/>
      <c r="AC104" s="1648"/>
      <c r="AD104" s="1648"/>
      <c r="AE104" s="1648"/>
      <c r="AF104" s="1648"/>
      <c r="AG104" s="1648"/>
      <c r="AH104" s="1648"/>
      <c r="AI104" s="1648"/>
      <c r="AJ104" s="1648"/>
      <c r="AK104" s="1648"/>
      <c r="AL104" s="1648"/>
      <c r="AM104" s="1648"/>
      <c r="AN104" s="1648"/>
      <c r="AO104" s="1648"/>
      <c r="AP104" s="1648"/>
      <c r="AQ104" s="1648"/>
      <c r="AR104" s="1648"/>
      <c r="AS104" s="1648"/>
      <c r="AT104" s="1648"/>
      <c r="AU104" s="1648"/>
      <c r="AV104" s="1648"/>
      <c r="AW104" s="1648"/>
      <c r="AX104" s="1648"/>
      <c r="AY104" s="1648"/>
      <c r="AZ104" s="1648"/>
      <c r="BA104" s="1648"/>
      <c r="BB104" s="1648"/>
      <c r="BC104" s="1648"/>
      <c r="BD104" s="1648"/>
      <c r="BE104" s="1648"/>
      <c r="BF104" s="1648"/>
      <c r="BG104" s="314"/>
      <c r="BH104" s="260"/>
      <c r="BI104" s="489" t="str">
        <f t="shared" si="0"/>
        <v/>
      </c>
      <c r="BJ104" s="252" t="str">
        <f t="shared" si="1"/>
        <v/>
      </c>
      <c r="BK104" s="1646"/>
      <c r="BL104" s="1646"/>
      <c r="BM104" s="1646"/>
      <c r="BN104" s="1646"/>
      <c r="BO104" s="1646"/>
      <c r="BP104" s="1646"/>
      <c r="BQ104" s="1646"/>
      <c r="BR104" s="1646"/>
      <c r="BS104" s="1646"/>
      <c r="BT104" s="1646"/>
      <c r="BU104" s="1646"/>
      <c r="BV104" s="1646"/>
      <c r="BW104" s="252" t="str">
        <f t="shared" si="2"/>
        <v/>
      </c>
      <c r="BX104" s="1646" t="s">
        <v>649</v>
      </c>
      <c r="BY104" s="1646"/>
      <c r="BZ104" s="1646"/>
      <c r="CA104" s="1646"/>
      <c r="CB104" s="1646"/>
      <c r="CC104" s="1646"/>
      <c r="CD104" s="1646"/>
      <c r="CE104" s="1646"/>
      <c r="CF104" s="1646"/>
      <c r="CG104" s="1646"/>
      <c r="CH104" s="1646"/>
      <c r="CI104" s="1646"/>
      <c r="CJ104" s="252" t="str">
        <f t="shared" si="3"/>
        <v/>
      </c>
      <c r="CK104" s="1646" t="str">
        <f>+""</f>
        <v/>
      </c>
      <c r="CL104" s="1646"/>
      <c r="CM104" s="1646"/>
      <c r="CN104" s="1646"/>
      <c r="CO104" s="1646"/>
      <c r="CP104" s="1646"/>
      <c r="CQ104" s="1646"/>
      <c r="CR104" s="1646"/>
      <c r="CS104" s="1646"/>
      <c r="CT104" s="1646"/>
      <c r="CU104" s="1646"/>
      <c r="CV104" s="1646"/>
      <c r="CW104" s="252" t="str">
        <f t="shared" si="4"/>
        <v/>
      </c>
      <c r="CX104" s="1699"/>
      <c r="CY104" s="1699"/>
      <c r="CZ104" s="1699"/>
      <c r="DA104" s="1699"/>
      <c r="DB104" s="1699"/>
      <c r="DC104" s="1699"/>
      <c r="DD104" s="1699"/>
      <c r="DE104" s="1699"/>
      <c r="DF104" s="1699"/>
      <c r="DG104" s="1699"/>
      <c r="DH104" s="1699"/>
      <c r="DI104" s="1699"/>
      <c r="DJ104" s="252" t="str">
        <f t="shared" si="5"/>
        <v/>
      </c>
      <c r="DK104" s="1699"/>
      <c r="DL104" s="1699"/>
      <c r="DM104" s="1699"/>
      <c r="DN104" s="1699"/>
      <c r="DO104" s="1699"/>
      <c r="DP104" s="1699"/>
      <c r="DQ104" s="1699"/>
      <c r="DR104" s="1699"/>
      <c r="DS104" s="1699"/>
      <c r="DT104" s="1699"/>
      <c r="DU104" s="1699"/>
      <c r="DV104" s="1700"/>
    </row>
    <row r="105" spans="2:126" ht="26.25" customHeight="1" x14ac:dyDescent="0.15">
      <c r="B105" s="312"/>
      <c r="C105" s="1648" t="str">
        <f t="shared" si="6"/>
        <v/>
      </c>
      <c r="D105" s="1648"/>
      <c r="E105" s="1648"/>
      <c r="F105" s="1648"/>
      <c r="G105" s="1648"/>
      <c r="H105" s="1648"/>
      <c r="I105" s="1648"/>
      <c r="J105" s="1648"/>
      <c r="K105" s="1648"/>
      <c r="L105" s="1648"/>
      <c r="M105" s="1648"/>
      <c r="N105" s="1648"/>
      <c r="O105" s="1648"/>
      <c r="P105" s="1648"/>
      <c r="Q105" s="1648"/>
      <c r="R105" s="1648"/>
      <c r="S105" s="1648"/>
      <c r="T105" s="1648"/>
      <c r="U105" s="1648"/>
      <c r="V105" s="1648"/>
      <c r="W105" s="1648"/>
      <c r="X105" s="1648"/>
      <c r="Y105" s="1648"/>
      <c r="Z105" s="1648"/>
      <c r="AA105" s="1648"/>
      <c r="AB105" s="1648"/>
      <c r="AC105" s="1648"/>
      <c r="AD105" s="1648"/>
      <c r="AE105" s="1648"/>
      <c r="AF105" s="1648"/>
      <c r="AG105" s="1648"/>
      <c r="AH105" s="1648"/>
      <c r="AI105" s="1648"/>
      <c r="AJ105" s="1648"/>
      <c r="AK105" s="1648"/>
      <c r="AL105" s="1648"/>
      <c r="AM105" s="1648"/>
      <c r="AN105" s="1648"/>
      <c r="AO105" s="1648"/>
      <c r="AP105" s="1648"/>
      <c r="AQ105" s="1648"/>
      <c r="AR105" s="1648"/>
      <c r="AS105" s="1648"/>
      <c r="AT105" s="1648"/>
      <c r="AU105" s="1648"/>
      <c r="AV105" s="1648"/>
      <c r="AW105" s="1648"/>
      <c r="AX105" s="1648"/>
      <c r="AY105" s="1648"/>
      <c r="AZ105" s="1648"/>
      <c r="BA105" s="1648"/>
      <c r="BB105" s="1648"/>
      <c r="BC105" s="1648"/>
      <c r="BD105" s="1648"/>
      <c r="BE105" s="1648"/>
      <c r="BF105" s="1648"/>
      <c r="BG105" s="314"/>
      <c r="BH105" s="260"/>
      <c r="BI105" s="489" t="str">
        <f t="shared" si="0"/>
        <v/>
      </c>
      <c r="BJ105" s="252" t="str">
        <f t="shared" si="1"/>
        <v/>
      </c>
      <c r="BK105" s="1646"/>
      <c r="BL105" s="1646"/>
      <c r="BM105" s="1646"/>
      <c r="BN105" s="1646"/>
      <c r="BO105" s="1646"/>
      <c r="BP105" s="1646"/>
      <c r="BQ105" s="1646"/>
      <c r="BR105" s="1646"/>
      <c r="BS105" s="1646"/>
      <c r="BT105" s="1646"/>
      <c r="BU105" s="1646"/>
      <c r="BV105" s="1646"/>
      <c r="BW105" s="252" t="str">
        <f t="shared" si="2"/>
        <v/>
      </c>
      <c r="BX105" s="1646" t="s">
        <v>650</v>
      </c>
      <c r="BY105" s="1646"/>
      <c r="BZ105" s="1646"/>
      <c r="CA105" s="1646"/>
      <c r="CB105" s="1646"/>
      <c r="CC105" s="1646"/>
      <c r="CD105" s="1646"/>
      <c r="CE105" s="1646"/>
      <c r="CF105" s="1646"/>
      <c r="CG105" s="1646"/>
      <c r="CH105" s="1646"/>
      <c r="CI105" s="1646"/>
      <c r="CJ105" s="252" t="str">
        <f t="shared" si="3"/>
        <v/>
      </c>
      <c r="CK105" s="1646" t="str">
        <f>+""</f>
        <v/>
      </c>
      <c r="CL105" s="1646"/>
      <c r="CM105" s="1646"/>
      <c r="CN105" s="1646"/>
      <c r="CO105" s="1646"/>
      <c r="CP105" s="1646"/>
      <c r="CQ105" s="1646"/>
      <c r="CR105" s="1646"/>
      <c r="CS105" s="1646"/>
      <c r="CT105" s="1646"/>
      <c r="CU105" s="1646"/>
      <c r="CV105" s="1646"/>
      <c r="CW105" s="252" t="str">
        <f t="shared" si="4"/>
        <v/>
      </c>
      <c r="CX105" s="1699"/>
      <c r="CY105" s="1699"/>
      <c r="CZ105" s="1699"/>
      <c r="DA105" s="1699"/>
      <c r="DB105" s="1699"/>
      <c r="DC105" s="1699"/>
      <c r="DD105" s="1699"/>
      <c r="DE105" s="1699"/>
      <c r="DF105" s="1699"/>
      <c r="DG105" s="1699"/>
      <c r="DH105" s="1699"/>
      <c r="DI105" s="1699"/>
      <c r="DJ105" s="252" t="str">
        <f t="shared" si="5"/>
        <v/>
      </c>
      <c r="DK105" s="1699"/>
      <c r="DL105" s="1699"/>
      <c r="DM105" s="1699"/>
      <c r="DN105" s="1699"/>
      <c r="DO105" s="1699"/>
      <c r="DP105" s="1699"/>
      <c r="DQ105" s="1699"/>
      <c r="DR105" s="1699"/>
      <c r="DS105" s="1699"/>
      <c r="DT105" s="1699"/>
      <c r="DU105" s="1699"/>
      <c r="DV105" s="1700"/>
    </row>
    <row r="106" spans="2:126" ht="26.25" customHeight="1" x14ac:dyDescent="0.15">
      <c r="B106" s="312"/>
      <c r="C106" s="1648" t="str">
        <f t="shared" si="6"/>
        <v/>
      </c>
      <c r="D106" s="1648"/>
      <c r="E106" s="1648"/>
      <c r="F106" s="1648"/>
      <c r="G106" s="1648"/>
      <c r="H106" s="1648"/>
      <c r="I106" s="1648"/>
      <c r="J106" s="1648"/>
      <c r="K106" s="1648"/>
      <c r="L106" s="1648"/>
      <c r="M106" s="1648"/>
      <c r="N106" s="1648"/>
      <c r="O106" s="1648"/>
      <c r="P106" s="1648"/>
      <c r="Q106" s="1648"/>
      <c r="R106" s="1648"/>
      <c r="S106" s="1648"/>
      <c r="T106" s="1648"/>
      <c r="U106" s="1648"/>
      <c r="V106" s="1648"/>
      <c r="W106" s="1648"/>
      <c r="X106" s="1648"/>
      <c r="Y106" s="1648"/>
      <c r="Z106" s="1648"/>
      <c r="AA106" s="1648"/>
      <c r="AB106" s="1648"/>
      <c r="AC106" s="1648"/>
      <c r="AD106" s="1648"/>
      <c r="AE106" s="1648"/>
      <c r="AF106" s="1648"/>
      <c r="AG106" s="1648"/>
      <c r="AH106" s="1648"/>
      <c r="AI106" s="1648"/>
      <c r="AJ106" s="1648"/>
      <c r="AK106" s="1648"/>
      <c r="AL106" s="1648"/>
      <c r="AM106" s="1648"/>
      <c r="AN106" s="1648"/>
      <c r="AO106" s="1648"/>
      <c r="AP106" s="1648"/>
      <c r="AQ106" s="1648"/>
      <c r="AR106" s="1648"/>
      <c r="AS106" s="1648"/>
      <c r="AT106" s="1648"/>
      <c r="AU106" s="1648"/>
      <c r="AV106" s="1648"/>
      <c r="AW106" s="1648"/>
      <c r="AX106" s="1648"/>
      <c r="AY106" s="1648"/>
      <c r="AZ106" s="1648"/>
      <c r="BA106" s="1648"/>
      <c r="BB106" s="1648"/>
      <c r="BC106" s="1648"/>
      <c r="BD106" s="1648"/>
      <c r="BE106" s="1648"/>
      <c r="BF106" s="1648"/>
      <c r="BG106" s="314"/>
      <c r="BH106" s="260"/>
      <c r="BI106" s="489" t="str">
        <f t="shared" si="0"/>
        <v/>
      </c>
      <c r="BJ106" s="252" t="str">
        <f t="shared" si="1"/>
        <v/>
      </c>
      <c r="BK106" s="1646"/>
      <c r="BL106" s="1646"/>
      <c r="BM106" s="1646"/>
      <c r="BN106" s="1646"/>
      <c r="BO106" s="1646"/>
      <c r="BP106" s="1646"/>
      <c r="BQ106" s="1646"/>
      <c r="BR106" s="1646"/>
      <c r="BS106" s="1646"/>
      <c r="BT106" s="1646"/>
      <c r="BU106" s="1646"/>
      <c r="BV106" s="1646"/>
      <c r="BW106" s="252" t="str">
        <f t="shared" si="2"/>
        <v/>
      </c>
      <c r="BX106" s="1646" t="s">
        <v>923</v>
      </c>
      <c r="BY106" s="1646"/>
      <c r="BZ106" s="1646"/>
      <c r="CA106" s="1646"/>
      <c r="CB106" s="1646"/>
      <c r="CC106" s="1646"/>
      <c r="CD106" s="1646"/>
      <c r="CE106" s="1646"/>
      <c r="CF106" s="1646"/>
      <c r="CG106" s="1646"/>
      <c r="CH106" s="1646"/>
      <c r="CI106" s="1646"/>
      <c r="CJ106" s="252" t="str">
        <f t="shared" si="3"/>
        <v/>
      </c>
      <c r="CK106" s="1646" t="str">
        <f>+""</f>
        <v/>
      </c>
      <c r="CL106" s="1646"/>
      <c r="CM106" s="1646"/>
      <c r="CN106" s="1646"/>
      <c r="CO106" s="1646"/>
      <c r="CP106" s="1646"/>
      <c r="CQ106" s="1646"/>
      <c r="CR106" s="1646"/>
      <c r="CS106" s="1646"/>
      <c r="CT106" s="1646"/>
      <c r="CU106" s="1646"/>
      <c r="CV106" s="1646"/>
      <c r="CW106" s="252" t="str">
        <f t="shared" si="4"/>
        <v/>
      </c>
      <c r="CX106" s="1699"/>
      <c r="CY106" s="1699"/>
      <c r="CZ106" s="1699"/>
      <c r="DA106" s="1699"/>
      <c r="DB106" s="1699"/>
      <c r="DC106" s="1699"/>
      <c r="DD106" s="1699"/>
      <c r="DE106" s="1699"/>
      <c r="DF106" s="1699"/>
      <c r="DG106" s="1699"/>
      <c r="DH106" s="1699"/>
      <c r="DI106" s="1699"/>
      <c r="DJ106" s="252" t="str">
        <f t="shared" si="5"/>
        <v/>
      </c>
      <c r="DK106" s="1699"/>
      <c r="DL106" s="1699"/>
      <c r="DM106" s="1699"/>
      <c r="DN106" s="1699"/>
      <c r="DO106" s="1699"/>
      <c r="DP106" s="1699"/>
      <c r="DQ106" s="1699"/>
      <c r="DR106" s="1699"/>
      <c r="DS106" s="1699"/>
      <c r="DT106" s="1699"/>
      <c r="DU106" s="1699"/>
      <c r="DV106" s="1700"/>
    </row>
    <row r="107" spans="2:126" ht="26.25" customHeight="1" x14ac:dyDescent="0.15">
      <c r="B107" s="315"/>
      <c r="C107" s="1671" t="str">
        <f t="shared" si="6"/>
        <v/>
      </c>
      <c r="D107" s="1671"/>
      <c r="E107" s="1671"/>
      <c r="F107" s="1671"/>
      <c r="G107" s="1671"/>
      <c r="H107" s="1671"/>
      <c r="I107" s="1671"/>
      <c r="J107" s="1671"/>
      <c r="K107" s="1671"/>
      <c r="L107" s="1671"/>
      <c r="M107" s="1671"/>
      <c r="N107" s="1671"/>
      <c r="O107" s="1671"/>
      <c r="P107" s="1671"/>
      <c r="Q107" s="1671"/>
      <c r="R107" s="1671"/>
      <c r="S107" s="1671"/>
      <c r="T107" s="1671"/>
      <c r="U107" s="1671"/>
      <c r="V107" s="1671"/>
      <c r="W107" s="1671"/>
      <c r="X107" s="1671"/>
      <c r="Y107" s="1671"/>
      <c r="Z107" s="1671"/>
      <c r="AA107" s="1671"/>
      <c r="AB107" s="1671"/>
      <c r="AC107" s="1671"/>
      <c r="AD107" s="1671"/>
      <c r="AE107" s="1671"/>
      <c r="AF107" s="1671"/>
      <c r="AG107" s="1671"/>
      <c r="AH107" s="1671"/>
      <c r="AI107" s="1671"/>
      <c r="AJ107" s="1671"/>
      <c r="AK107" s="1671"/>
      <c r="AL107" s="1671"/>
      <c r="AM107" s="1671"/>
      <c r="AN107" s="1671"/>
      <c r="AO107" s="1671"/>
      <c r="AP107" s="1671"/>
      <c r="AQ107" s="1671"/>
      <c r="AR107" s="1671"/>
      <c r="AS107" s="1671"/>
      <c r="AT107" s="1671"/>
      <c r="AU107" s="1671"/>
      <c r="AV107" s="1671"/>
      <c r="AW107" s="1671"/>
      <c r="AX107" s="1671"/>
      <c r="AY107" s="1671"/>
      <c r="AZ107" s="1671"/>
      <c r="BA107" s="1671"/>
      <c r="BB107" s="1671"/>
      <c r="BC107" s="1671"/>
      <c r="BD107" s="1671"/>
      <c r="BE107" s="1671"/>
      <c r="BF107" s="1671"/>
      <c r="BG107" s="316"/>
      <c r="BH107" s="260"/>
      <c r="BI107" s="489" t="str">
        <f t="shared" si="0"/>
        <v/>
      </c>
      <c r="BJ107" s="252" t="str">
        <f t="shared" si="1"/>
        <v/>
      </c>
      <c r="BK107" s="493"/>
      <c r="BL107" s="493"/>
      <c r="BM107" s="493"/>
      <c r="BN107" s="493"/>
      <c r="BO107" s="493"/>
      <c r="BP107" s="493"/>
      <c r="BQ107" s="493"/>
      <c r="BR107" s="493"/>
      <c r="BS107" s="493"/>
      <c r="BT107" s="493"/>
      <c r="BU107" s="493"/>
      <c r="BV107" s="493"/>
      <c r="BW107" s="252" t="str">
        <f t="shared" si="2"/>
        <v/>
      </c>
      <c r="BX107" s="493"/>
      <c r="BY107" s="493"/>
      <c r="BZ107" s="493"/>
      <c r="CA107" s="493"/>
      <c r="CB107" s="493"/>
      <c r="CC107" s="493"/>
      <c r="CD107" s="493"/>
      <c r="CE107" s="493"/>
      <c r="CF107" s="493"/>
      <c r="CG107" s="493"/>
      <c r="CH107" s="493"/>
      <c r="CI107" s="493"/>
      <c r="CJ107" s="252" t="str">
        <f t="shared" si="3"/>
        <v/>
      </c>
      <c r="CK107" s="1646" t="str">
        <f>+""</f>
        <v/>
      </c>
      <c r="CL107" s="1646"/>
      <c r="CM107" s="1646"/>
      <c r="CN107" s="1646"/>
      <c r="CO107" s="1646"/>
      <c r="CP107" s="1646"/>
      <c r="CQ107" s="1646"/>
      <c r="CR107" s="1646"/>
      <c r="CS107" s="1646"/>
      <c r="CT107" s="1646"/>
      <c r="CU107" s="1646"/>
      <c r="CV107" s="1646"/>
      <c r="CW107" s="252" t="str">
        <f t="shared" si="4"/>
        <v/>
      </c>
      <c r="CX107" s="493"/>
      <c r="CY107" s="493"/>
      <c r="CZ107" s="493"/>
      <c r="DA107" s="493"/>
      <c r="DB107" s="493"/>
      <c r="DC107" s="493"/>
      <c r="DD107" s="493"/>
      <c r="DE107" s="493"/>
      <c r="DF107" s="493"/>
      <c r="DG107" s="493"/>
      <c r="DH107" s="493"/>
      <c r="DI107" s="493"/>
      <c r="DJ107" s="252" t="str">
        <f t="shared" si="5"/>
        <v/>
      </c>
      <c r="DK107" s="493"/>
      <c r="DL107" s="493"/>
      <c r="DM107" s="493"/>
      <c r="DN107" s="493"/>
      <c r="DO107" s="493"/>
      <c r="DP107" s="493"/>
      <c r="DQ107" s="493"/>
      <c r="DR107" s="493"/>
      <c r="DS107" s="493"/>
      <c r="DT107" s="493"/>
      <c r="DU107" s="493"/>
      <c r="DV107" s="496"/>
    </row>
    <row r="108" spans="2:126" ht="15" customHeight="1" x14ac:dyDescent="0.15">
      <c r="B108" s="1673" t="s">
        <v>844</v>
      </c>
      <c r="C108" s="1674"/>
      <c r="D108" s="1674"/>
      <c r="E108" s="1674"/>
      <c r="F108" s="1674"/>
      <c r="G108" s="1674"/>
      <c r="H108" s="1674"/>
      <c r="I108" s="1674"/>
      <c r="J108" s="1674"/>
      <c r="K108" s="1674"/>
      <c r="L108" s="1674"/>
      <c r="M108" s="1674"/>
      <c r="N108" s="1674"/>
      <c r="O108" s="1674"/>
      <c r="P108" s="1674"/>
      <c r="Q108" s="1674"/>
      <c r="R108" s="1674"/>
      <c r="S108" s="1674"/>
      <c r="T108" s="1674"/>
      <c r="U108" s="1674"/>
      <c r="V108" s="1674"/>
      <c r="W108" s="1674"/>
      <c r="X108" s="1674"/>
      <c r="Y108" s="1674"/>
      <c r="Z108" s="1674"/>
      <c r="AA108" s="1674"/>
      <c r="AB108" s="1674"/>
      <c r="AC108" s="1674"/>
      <c r="AD108" s="1674"/>
      <c r="AE108" s="1674"/>
      <c r="AF108" s="1674"/>
      <c r="AG108" s="1674"/>
      <c r="AH108" s="1674"/>
      <c r="AI108" s="1674"/>
      <c r="AJ108" s="1674"/>
      <c r="AK108" s="1674"/>
      <c r="AL108" s="1674"/>
      <c r="AM108" s="1674"/>
      <c r="AN108" s="1674"/>
      <c r="AO108" s="1674"/>
      <c r="AP108" s="1674"/>
      <c r="AQ108" s="1674"/>
      <c r="AR108" s="1674"/>
      <c r="AS108" s="1674"/>
      <c r="AT108" s="1674"/>
      <c r="AU108" s="1674"/>
      <c r="AV108" s="1674"/>
      <c r="AW108" s="1674"/>
      <c r="AX108" s="1674"/>
      <c r="AY108" s="1674"/>
      <c r="AZ108" s="1674"/>
      <c r="BA108" s="1674"/>
      <c r="BB108" s="1674"/>
      <c r="BC108" s="1674"/>
      <c r="BD108" s="1674"/>
      <c r="BE108" s="1674"/>
      <c r="BF108" s="1674"/>
      <c r="BG108" s="1675"/>
      <c r="BH108" s="265"/>
      <c r="BI108" s="487"/>
      <c r="BJ108" s="252"/>
      <c r="BK108" s="252"/>
      <c r="BL108" s="252"/>
      <c r="BM108" s="252"/>
      <c r="BN108" s="252"/>
      <c r="BO108" s="252"/>
      <c r="BP108" s="252"/>
      <c r="BQ108" s="252"/>
      <c r="BR108" s="252"/>
      <c r="BS108" s="252"/>
      <c r="BT108" s="252"/>
      <c r="BU108" s="252"/>
      <c r="BV108" s="252"/>
      <c r="BW108" s="252"/>
      <c r="BX108" s="252"/>
      <c r="BY108" s="252"/>
      <c r="BZ108" s="252"/>
      <c r="CA108" s="252"/>
      <c r="CB108" s="252"/>
      <c r="CC108" s="252"/>
      <c r="CD108" s="252"/>
      <c r="CE108" s="252"/>
      <c r="CF108" s="252"/>
      <c r="CG108" s="252"/>
      <c r="CH108" s="252"/>
      <c r="CI108" s="252"/>
      <c r="CJ108" s="252"/>
      <c r="CK108" s="252"/>
      <c r="CL108" s="252"/>
      <c r="CM108" s="252"/>
      <c r="CN108" s="252"/>
      <c r="CO108" s="252"/>
      <c r="CP108" s="252"/>
      <c r="CQ108" s="252"/>
      <c r="CR108" s="252"/>
      <c r="CS108" s="252"/>
      <c r="CT108" s="252"/>
      <c r="CU108" s="252"/>
      <c r="CV108" s="252"/>
      <c r="CW108" s="252"/>
      <c r="CX108" s="252"/>
      <c r="CY108" s="252"/>
      <c r="CZ108" s="252"/>
      <c r="DA108" s="252"/>
      <c r="DB108" s="252"/>
      <c r="DC108" s="252"/>
      <c r="DD108" s="252"/>
      <c r="DE108" s="252"/>
      <c r="DF108" s="252"/>
      <c r="DG108" s="252"/>
      <c r="DH108" s="252"/>
      <c r="DI108" s="252"/>
      <c r="DJ108" s="252"/>
      <c r="DK108" s="252"/>
      <c r="DL108" s="252"/>
      <c r="DM108" s="252"/>
      <c r="DN108" s="252"/>
      <c r="DO108" s="252"/>
      <c r="DP108" s="252"/>
      <c r="DQ108" s="252"/>
      <c r="DR108" s="252"/>
      <c r="DS108" s="252"/>
      <c r="DT108" s="252"/>
      <c r="DU108" s="252"/>
      <c r="DV108" s="488"/>
    </row>
    <row r="109" spans="2:126" x14ac:dyDescent="0.15">
      <c r="B109" s="317"/>
      <c r="C109" s="1672"/>
      <c r="D109" s="1672"/>
      <c r="E109" s="1672"/>
      <c r="F109" s="1672"/>
      <c r="G109" s="1672"/>
      <c r="H109" s="1672"/>
      <c r="I109" s="1672"/>
      <c r="J109" s="1672"/>
      <c r="K109" s="1672"/>
      <c r="L109" s="1672"/>
      <c r="M109" s="1672"/>
      <c r="N109" s="1672"/>
      <c r="O109" s="1672"/>
      <c r="P109" s="1672"/>
      <c r="Q109" s="1672"/>
      <c r="R109" s="1672"/>
      <c r="S109" s="1672"/>
      <c r="T109" s="1672"/>
      <c r="U109" s="1672"/>
      <c r="V109" s="1672"/>
      <c r="W109" s="1672"/>
      <c r="X109" s="1672"/>
      <c r="Y109" s="1672"/>
      <c r="Z109" s="1672"/>
      <c r="AA109" s="1672"/>
      <c r="AB109" s="1672"/>
      <c r="AC109" s="1672"/>
      <c r="AD109" s="1672"/>
      <c r="AE109" s="1672"/>
      <c r="AF109" s="1672"/>
      <c r="AG109" s="1672"/>
      <c r="AH109" s="1672"/>
      <c r="AI109" s="1672"/>
      <c r="AJ109" s="1672"/>
      <c r="AK109" s="1672"/>
      <c r="AL109" s="1672"/>
      <c r="AM109" s="1672"/>
      <c r="AN109" s="1672"/>
      <c r="AO109" s="1672"/>
      <c r="AP109" s="1672"/>
      <c r="AQ109" s="1672"/>
      <c r="AR109" s="1672"/>
      <c r="AS109" s="1672"/>
      <c r="AT109" s="1672"/>
      <c r="AU109" s="1672"/>
      <c r="AV109" s="1672"/>
      <c r="AW109" s="1672"/>
      <c r="AX109" s="1672"/>
      <c r="AY109" s="1672"/>
      <c r="AZ109" s="1672"/>
      <c r="BA109" s="1672"/>
      <c r="BB109" s="1672"/>
      <c r="BC109" s="1672"/>
      <c r="BD109" s="1672"/>
      <c r="BE109" s="1672"/>
      <c r="BF109" s="1672"/>
      <c r="BG109" s="319"/>
      <c r="BH109" s="259"/>
      <c r="BI109" s="487"/>
      <c r="BJ109" s="252"/>
      <c r="BK109" s="252"/>
      <c r="BL109" s="252"/>
      <c r="BM109" s="252"/>
      <c r="BN109" s="252"/>
      <c r="BO109" s="252"/>
      <c r="BP109" s="252"/>
      <c r="BQ109" s="252"/>
      <c r="BR109" s="252"/>
      <c r="BS109" s="252"/>
      <c r="BT109" s="252"/>
      <c r="BU109" s="252"/>
      <c r="BV109" s="252"/>
      <c r="BW109" s="252"/>
      <c r="BX109" s="252"/>
      <c r="BY109" s="252"/>
      <c r="BZ109" s="252"/>
      <c r="CA109" s="252"/>
      <c r="CB109" s="252"/>
      <c r="CC109" s="252"/>
      <c r="CD109" s="252"/>
      <c r="CE109" s="252"/>
      <c r="CF109" s="252"/>
      <c r="CG109" s="252"/>
      <c r="CH109" s="252"/>
      <c r="CI109" s="252"/>
      <c r="CJ109" s="252"/>
      <c r="CK109" s="252"/>
      <c r="CL109" s="252"/>
      <c r="CM109" s="252"/>
      <c r="CN109" s="252"/>
      <c r="CO109" s="252"/>
      <c r="CP109" s="252"/>
      <c r="CQ109" s="252"/>
      <c r="CR109" s="252"/>
      <c r="CS109" s="252"/>
      <c r="CT109" s="252"/>
      <c r="CU109" s="252"/>
      <c r="CV109" s="252"/>
      <c r="CW109" s="252"/>
      <c r="CX109" s="252"/>
      <c r="CY109" s="252"/>
      <c r="CZ109" s="252"/>
      <c r="DA109" s="252"/>
      <c r="DB109" s="252"/>
      <c r="DC109" s="252"/>
      <c r="DD109" s="252"/>
      <c r="DE109" s="252"/>
      <c r="DF109" s="252"/>
      <c r="DG109" s="252"/>
      <c r="DH109" s="252"/>
      <c r="DI109" s="252"/>
      <c r="DJ109" s="252"/>
      <c r="DK109" s="252"/>
      <c r="DL109" s="252"/>
      <c r="DM109" s="252"/>
      <c r="DN109" s="252"/>
      <c r="DO109" s="252"/>
      <c r="DP109" s="252"/>
      <c r="DQ109" s="252"/>
      <c r="DR109" s="252"/>
      <c r="DS109" s="252"/>
      <c r="DT109" s="252"/>
      <c r="DU109" s="252"/>
      <c r="DV109" s="488"/>
    </row>
    <row r="110" spans="2:126" ht="15" customHeight="1" x14ac:dyDescent="0.2">
      <c r="B110" s="312"/>
      <c r="C110" s="1679" t="str">
        <f>+IF(TT_kategoria="kitöltendő legördülő cella","nem","igen")</f>
        <v>nem</v>
      </c>
      <c r="D110" s="1679"/>
      <c r="E110" s="1679"/>
      <c r="F110" s="1679"/>
      <c r="G110" s="1679"/>
      <c r="H110" s="1679"/>
      <c r="I110" s="1679"/>
      <c r="J110" s="1679"/>
      <c r="K110" s="1679"/>
      <c r="L110" s="1679"/>
      <c r="M110" s="1679"/>
      <c r="N110" s="1679"/>
      <c r="O110" s="1679"/>
      <c r="P110" s="1679"/>
      <c r="Q110" s="1679"/>
      <c r="R110" s="1679"/>
      <c r="S110" s="1679"/>
      <c r="T110" s="1679"/>
      <c r="U110" s="1679"/>
      <c r="V110" s="531"/>
      <c r="W110" s="531"/>
      <c r="X110" s="1677" t="str">
        <f>+IF(TT_kategoria="kitöltendő legördülő cella","",TT_kategoria)</f>
        <v/>
      </c>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c r="AT110" s="1709" t="s">
        <v>915</v>
      </c>
      <c r="AU110" s="1709"/>
      <c r="AV110" s="1709"/>
      <c r="AW110" s="1709"/>
      <c r="AX110" s="1709"/>
      <c r="AY110" s="1709"/>
      <c r="AZ110" s="1709"/>
      <c r="BA110" s="1709"/>
      <c r="BB110" s="1709"/>
      <c r="BC110" s="1709"/>
      <c r="BD110" s="1709"/>
      <c r="BE110" s="1709"/>
      <c r="BF110" s="1709"/>
      <c r="BG110" s="1710"/>
      <c r="BH110" s="259"/>
      <c r="BI110" s="487"/>
      <c r="BJ110" s="252"/>
      <c r="BK110" s="252"/>
      <c r="BL110" s="252"/>
      <c r="BM110" s="252"/>
      <c r="BN110" s="252"/>
      <c r="BO110" s="252"/>
      <c r="BP110" s="252"/>
      <c r="BQ110" s="252"/>
      <c r="BR110" s="252"/>
      <c r="BS110" s="252"/>
      <c r="BT110" s="252"/>
      <c r="BU110" s="252"/>
      <c r="BV110" s="252"/>
      <c r="BW110" s="252"/>
      <c r="BX110" s="252"/>
      <c r="BY110" s="252"/>
      <c r="BZ110" s="252"/>
      <c r="CA110" s="252"/>
      <c r="CB110" s="252"/>
      <c r="CC110" s="252"/>
      <c r="CD110" s="252"/>
      <c r="CE110" s="252"/>
      <c r="CF110" s="252"/>
      <c r="CG110" s="252"/>
      <c r="CH110" s="252"/>
      <c r="CI110" s="252"/>
      <c r="CJ110" s="252"/>
      <c r="CK110" s="252"/>
      <c r="CL110" s="252"/>
      <c r="CM110" s="252"/>
      <c r="CN110" s="252"/>
      <c r="CO110" s="252"/>
      <c r="CP110" s="252"/>
      <c r="CQ110" s="252"/>
      <c r="CR110" s="252"/>
      <c r="CS110" s="252"/>
      <c r="CT110" s="252"/>
      <c r="CU110" s="252"/>
      <c r="CV110" s="252"/>
      <c r="CW110" s="252"/>
      <c r="CX110" s="252"/>
      <c r="CY110" s="252"/>
      <c r="CZ110" s="252"/>
      <c r="DA110" s="252"/>
      <c r="DB110" s="252"/>
      <c r="DC110" s="252"/>
      <c r="DD110" s="252"/>
      <c r="DE110" s="252"/>
      <c r="DF110" s="252"/>
      <c r="DG110" s="252"/>
      <c r="DH110" s="252"/>
      <c r="DI110" s="252"/>
      <c r="DJ110" s="252"/>
      <c r="DK110" s="252"/>
      <c r="DL110" s="252"/>
      <c r="DM110" s="252"/>
      <c r="DN110" s="252"/>
      <c r="DO110" s="252"/>
      <c r="DP110" s="252"/>
      <c r="DQ110" s="252"/>
      <c r="DR110" s="252"/>
      <c r="DS110" s="252"/>
      <c r="DT110" s="252"/>
      <c r="DU110" s="252"/>
      <c r="DV110" s="488"/>
    </row>
    <row r="111" spans="2:126" ht="15" x14ac:dyDescent="0.2">
      <c r="B111" s="312"/>
      <c r="C111" s="532" t="s">
        <v>670</v>
      </c>
      <c r="D111" s="531"/>
      <c r="E111" s="531"/>
      <c r="F111" s="531"/>
      <c r="G111" s="531"/>
      <c r="H111" s="531"/>
      <c r="I111" s="531"/>
      <c r="J111" s="531"/>
      <c r="K111" s="531"/>
      <c r="L111" s="531"/>
      <c r="M111" s="531"/>
      <c r="N111" s="531"/>
      <c r="O111" s="531"/>
      <c r="P111" s="531"/>
      <c r="Q111" s="531"/>
      <c r="R111" s="531"/>
      <c r="S111" s="531"/>
      <c r="T111" s="531"/>
      <c r="U111" s="531"/>
      <c r="V111" s="531"/>
      <c r="W111" s="531"/>
      <c r="X111" s="1678"/>
      <c r="Y111" s="1678"/>
      <c r="Z111" s="1678"/>
      <c r="AA111" s="1678"/>
      <c r="AB111" s="1678"/>
      <c r="AC111" s="1678"/>
      <c r="AD111" s="1678"/>
      <c r="AE111" s="1678"/>
      <c r="AF111" s="1678"/>
      <c r="AG111" s="1678"/>
      <c r="AH111" s="1678"/>
      <c r="AI111" s="1678"/>
      <c r="AJ111" s="1678"/>
      <c r="AK111" s="1678"/>
      <c r="AL111" s="1678"/>
      <c r="AM111" s="1678"/>
      <c r="AN111" s="1678"/>
      <c r="AO111" s="1678"/>
      <c r="AP111" s="1678"/>
      <c r="AQ111" s="1678"/>
      <c r="AR111" s="1678"/>
      <c r="AS111" s="1678"/>
      <c r="AT111" s="1678"/>
      <c r="AU111" s="1677" t="str">
        <f>+IF(C110="nem","Ezen rész nyomtatása nem szükséges!","")</f>
        <v>Ezen rész nyomtatása nem szükséges!</v>
      </c>
      <c r="AV111" s="1677"/>
      <c r="AW111" s="1677"/>
      <c r="AX111" s="1677"/>
      <c r="AY111" s="1677"/>
      <c r="AZ111" s="1677"/>
      <c r="BA111" s="1677"/>
      <c r="BB111" s="1677"/>
      <c r="BC111" s="1677"/>
      <c r="BD111" s="1677"/>
      <c r="BE111" s="1677"/>
      <c r="BF111" s="1677"/>
      <c r="BG111" s="314"/>
      <c r="BH111" s="259"/>
      <c r="BI111" s="487"/>
      <c r="BJ111" s="252"/>
      <c r="BK111" s="252"/>
      <c r="BL111" s="252"/>
      <c r="BM111" s="252"/>
      <c r="BN111" s="252"/>
      <c r="BO111" s="252"/>
      <c r="BP111" s="252"/>
      <c r="BQ111" s="252"/>
      <c r="BR111" s="252"/>
      <c r="BS111" s="252"/>
      <c r="BT111" s="252"/>
      <c r="BU111" s="252"/>
      <c r="BV111" s="252"/>
      <c r="BW111" s="252"/>
      <c r="BX111" s="252"/>
      <c r="BY111" s="252"/>
      <c r="BZ111" s="252"/>
      <c r="CA111" s="252"/>
      <c r="CB111" s="252"/>
      <c r="CC111" s="252"/>
      <c r="CD111" s="252"/>
      <c r="CE111" s="252"/>
      <c r="CF111" s="252"/>
      <c r="CG111" s="252"/>
      <c r="CH111" s="252"/>
      <c r="CI111" s="252"/>
      <c r="CJ111" s="252"/>
      <c r="CK111" s="252"/>
      <c r="CL111" s="252"/>
      <c r="CM111" s="252"/>
      <c r="CN111" s="252"/>
      <c r="CO111" s="252"/>
      <c r="CP111" s="252"/>
      <c r="CQ111" s="252"/>
      <c r="CR111" s="252"/>
      <c r="CS111" s="252"/>
      <c r="CT111" s="252"/>
      <c r="CU111" s="252"/>
      <c r="CV111" s="252"/>
      <c r="CW111" s="252"/>
      <c r="CX111" s="252"/>
      <c r="CY111" s="252"/>
      <c r="CZ111" s="252"/>
      <c r="DA111" s="252"/>
      <c r="DB111" s="252"/>
      <c r="DC111" s="252"/>
      <c r="DD111" s="252"/>
      <c r="DE111" s="252"/>
      <c r="DF111" s="252"/>
      <c r="DG111" s="252"/>
      <c r="DH111" s="252"/>
      <c r="DI111" s="252"/>
      <c r="DJ111" s="252"/>
      <c r="DK111" s="252"/>
      <c r="DL111" s="252"/>
      <c r="DM111" s="252"/>
      <c r="DN111" s="252"/>
      <c r="DO111" s="252"/>
      <c r="DP111" s="252"/>
      <c r="DQ111" s="252"/>
      <c r="DR111" s="252"/>
      <c r="DS111" s="252"/>
      <c r="DT111" s="252"/>
      <c r="DU111" s="252"/>
      <c r="DV111" s="488"/>
    </row>
    <row r="112" spans="2:126" x14ac:dyDescent="0.15">
      <c r="B112" s="1038"/>
      <c r="C112" s="1711" t="str">
        <f>+IF(OR(BI113=9,BI113=7),"Az első oszlopban megjelenő kék cellákhoz tartozó kérdésre legalább egy választ válasszon!","")</f>
        <v/>
      </c>
      <c r="D112" s="1711"/>
      <c r="E112" s="1711"/>
      <c r="F112" s="1711"/>
      <c r="G112" s="1711"/>
      <c r="H112" s="1711"/>
      <c r="I112" s="1711"/>
      <c r="J112" s="1711"/>
      <c r="K112" s="1711"/>
      <c r="L112" s="1711"/>
      <c r="M112" s="1711"/>
      <c r="N112" s="1711"/>
      <c r="O112" s="1711"/>
      <c r="P112" s="1711"/>
      <c r="Q112" s="1711"/>
      <c r="R112" s="1711"/>
      <c r="S112" s="1711"/>
      <c r="T112" s="1711"/>
      <c r="U112" s="1711"/>
      <c r="V112" s="1711"/>
      <c r="W112" s="1711"/>
      <c r="X112" s="1711"/>
      <c r="Y112" s="1711"/>
      <c r="Z112" s="1711"/>
      <c r="AA112" s="1711"/>
      <c r="AB112" s="1711"/>
      <c r="AC112" s="1711"/>
      <c r="AD112" s="1711"/>
      <c r="AE112" s="1711"/>
      <c r="AF112" s="1711"/>
      <c r="AG112" s="1711"/>
      <c r="AH112" s="1711"/>
      <c r="AI112" s="1711"/>
      <c r="AJ112" s="1711"/>
      <c r="AK112" s="1711"/>
      <c r="AL112" s="1711"/>
      <c r="AM112" s="1711"/>
      <c r="AN112" s="1711"/>
      <c r="AO112" s="1711"/>
      <c r="AP112" s="1711"/>
      <c r="AQ112" s="1711"/>
      <c r="AR112" s="1711"/>
      <c r="AS112" s="1711"/>
      <c r="AT112" s="1711"/>
      <c r="AU112" s="1711"/>
      <c r="AV112" s="1711"/>
      <c r="AW112" s="1711"/>
      <c r="AX112" s="1711"/>
      <c r="AY112" s="1711"/>
      <c r="AZ112" s="1711"/>
      <c r="BA112" s="1711"/>
      <c r="BB112" s="1711"/>
      <c r="BC112" s="1711"/>
      <c r="BD112" s="1711"/>
      <c r="BE112" s="1711"/>
      <c r="BF112" s="1711"/>
      <c r="BG112" s="314"/>
      <c r="BH112" s="259"/>
      <c r="BI112" s="487"/>
      <c r="BJ112" s="252"/>
      <c r="BK112" s="252"/>
      <c r="BL112" s="252"/>
      <c r="BM112" s="252"/>
      <c r="BN112" s="252"/>
      <c r="BO112" s="252"/>
      <c r="BP112" s="252"/>
      <c r="BQ112" s="252"/>
      <c r="BR112" s="252"/>
      <c r="BS112" s="252"/>
      <c r="BT112" s="252"/>
      <c r="BU112" s="252"/>
      <c r="BV112" s="252"/>
      <c r="BW112" s="252"/>
      <c r="BX112" s="1163"/>
      <c r="BY112" s="1163"/>
      <c r="BZ112" s="1163"/>
      <c r="CA112" s="1163"/>
      <c r="CB112" s="1163"/>
      <c r="CC112" s="1163"/>
      <c r="CD112" s="1163"/>
      <c r="CE112" s="1163"/>
      <c r="CF112" s="1163"/>
      <c r="CG112" s="1163"/>
      <c r="CH112" s="1163"/>
      <c r="CI112" s="1163"/>
      <c r="CJ112" s="252"/>
      <c r="CK112" s="252"/>
      <c r="CL112" s="252"/>
      <c r="CM112" s="252"/>
      <c r="CN112" s="252"/>
      <c r="CO112" s="252"/>
      <c r="CP112" s="252"/>
      <c r="CQ112" s="252"/>
      <c r="CR112" s="252"/>
      <c r="CS112" s="252"/>
      <c r="CT112" s="252"/>
      <c r="CU112" s="252"/>
      <c r="CV112" s="252"/>
      <c r="CW112" s="252"/>
      <c r="CX112" s="252"/>
      <c r="CY112" s="252"/>
      <c r="CZ112" s="252"/>
      <c r="DA112" s="252"/>
      <c r="DB112" s="252"/>
      <c r="DC112" s="252"/>
      <c r="DD112" s="252"/>
      <c r="DE112" s="252"/>
      <c r="DF112" s="252"/>
      <c r="DG112" s="252"/>
      <c r="DH112" s="252"/>
      <c r="DI112" s="252"/>
      <c r="DJ112" s="252"/>
      <c r="DK112" s="1163"/>
      <c r="DL112" s="1163"/>
      <c r="DM112" s="1163"/>
      <c r="DN112" s="1163"/>
      <c r="DO112" s="1163"/>
      <c r="DP112" s="1163"/>
      <c r="DQ112" s="1163"/>
      <c r="DR112" s="1163"/>
      <c r="DS112" s="1163"/>
      <c r="DT112" s="1163"/>
      <c r="DU112" s="1163"/>
      <c r="DV112" s="1663"/>
    </row>
    <row r="113" spans="2:126" x14ac:dyDescent="0.15">
      <c r="B113" s="1038"/>
      <c r="C113" s="1676" t="s">
        <v>620</v>
      </c>
      <c r="D113" s="1676"/>
      <c r="E113" s="1676"/>
      <c r="F113" s="1676"/>
      <c r="G113" s="1676"/>
      <c r="H113" s="1676"/>
      <c r="I113" s="1676"/>
      <c r="J113" s="1676"/>
      <c r="K113" s="1676"/>
      <c r="L113" s="1676"/>
      <c r="M113" s="1676"/>
      <c r="N113" s="1676"/>
      <c r="O113" s="1676"/>
      <c r="P113" s="1676"/>
      <c r="Q113" s="1676"/>
      <c r="R113" s="1676"/>
      <c r="S113" s="1676"/>
      <c r="T113" s="1676"/>
      <c r="U113" s="1676"/>
      <c r="V113" s="1676"/>
      <c r="W113" s="1676"/>
      <c r="X113" s="1676"/>
      <c r="Y113" s="1676"/>
      <c r="Z113" s="1676"/>
      <c r="AA113" s="1676"/>
      <c r="AB113" s="1676"/>
      <c r="AC113" s="1676"/>
      <c r="AD113" s="1676"/>
      <c r="AE113" s="1676"/>
      <c r="AF113" s="1676"/>
      <c r="AG113" s="1676"/>
      <c r="AH113" s="1676"/>
      <c r="AI113" s="1676"/>
      <c r="AJ113" s="1676"/>
      <c r="AK113" s="1676"/>
      <c r="AL113" s="1676"/>
      <c r="AM113" s="1676"/>
      <c r="AN113" s="1676"/>
      <c r="AO113" s="1676"/>
      <c r="AP113" s="1676"/>
      <c r="AQ113" s="1676"/>
      <c r="AR113" s="1676"/>
      <c r="AS113" s="1676"/>
      <c r="AT113" s="1676"/>
      <c r="AU113" s="1676"/>
      <c r="AV113" s="1676"/>
      <c r="AW113" s="1676"/>
      <c r="AX113" s="1676"/>
      <c r="AY113" s="1676"/>
      <c r="AZ113" s="1676"/>
      <c r="BA113" s="1676"/>
      <c r="BB113" s="1676"/>
      <c r="BC113" s="1676"/>
      <c r="BD113" s="1676"/>
      <c r="BE113" s="1676"/>
      <c r="BF113" s="1676"/>
      <c r="BG113" s="314"/>
      <c r="BH113" s="259"/>
      <c r="BI113" s="497" t="str">
        <f>+IF(X110="általános csekély összegű támogatás",1,IF(X110="regionális beruházási támogatás",2,IF(X110="megújuló energiatermelésre irányuló beruházási támogatás",3,IF(X110="helyi infrastruktúrára irányuló támogatás",4,IF(X110="KKV-knak nyújtott beruházási támogatás",5,IF(X110="mezőgazdasági csekély összegű támogatás",6,IF(X110="elsődleges mezőgazdasági termeléshez kapcsolódó támogatás",7,IF(X110="halászati csekély összegű támogatás",8,IF(X110="mezőgazdasági termékek feldolgozásának, forgalmazásának támogatása",9,IF(X110="energiahatékonysági intézkedésekhez nyújtott beruházási támogatás",10,"x"))))))))))</f>
        <v>x</v>
      </c>
      <c r="BJ113" s="252">
        <v>1</v>
      </c>
      <c r="BK113" s="1649" t="s">
        <v>112</v>
      </c>
      <c r="BL113" s="1649"/>
      <c r="BM113" s="1649"/>
      <c r="BN113" s="1649"/>
      <c r="BO113" s="1649"/>
      <c r="BP113" s="1649"/>
      <c r="BQ113" s="1649"/>
      <c r="BR113" s="1649"/>
      <c r="BS113" s="1649"/>
      <c r="BT113" s="1649"/>
      <c r="BU113" s="1649"/>
      <c r="BV113" s="1649"/>
      <c r="BW113" s="252">
        <v>2</v>
      </c>
      <c r="BX113" s="1649" t="s">
        <v>114</v>
      </c>
      <c r="BY113" s="1649"/>
      <c r="BZ113" s="1649"/>
      <c r="CA113" s="1649"/>
      <c r="CB113" s="1649"/>
      <c r="CC113" s="1649"/>
      <c r="CD113" s="1649"/>
      <c r="CE113" s="1649"/>
      <c r="CF113" s="1649"/>
      <c r="CG113" s="1649"/>
      <c r="CH113" s="1649"/>
      <c r="CI113" s="1649"/>
      <c r="CJ113" s="252">
        <v>3</v>
      </c>
      <c r="CK113" s="1649" t="s">
        <v>515</v>
      </c>
      <c r="CL113" s="1649"/>
      <c r="CM113" s="1649"/>
      <c r="CN113" s="1649"/>
      <c r="CO113" s="1649"/>
      <c r="CP113" s="1649"/>
      <c r="CQ113" s="1649"/>
      <c r="CR113" s="1649"/>
      <c r="CS113" s="1649"/>
      <c r="CT113" s="1649"/>
      <c r="CU113" s="1649"/>
      <c r="CV113" s="1649"/>
      <c r="CW113" s="252">
        <v>4</v>
      </c>
      <c r="CX113" s="1649" t="s">
        <v>669</v>
      </c>
      <c r="CY113" s="1649"/>
      <c r="CZ113" s="1649"/>
      <c r="DA113" s="1649"/>
      <c r="DB113" s="1649"/>
      <c r="DC113" s="1649"/>
      <c r="DD113" s="1649"/>
      <c r="DE113" s="1649"/>
      <c r="DF113" s="1649"/>
      <c r="DG113" s="1649"/>
      <c r="DH113" s="1649"/>
      <c r="DI113" s="1649"/>
      <c r="DJ113" s="252">
        <v>5</v>
      </c>
      <c r="DK113" s="1649" t="s">
        <v>391</v>
      </c>
      <c r="DL113" s="1649"/>
      <c r="DM113" s="1649"/>
      <c r="DN113" s="1649"/>
      <c r="DO113" s="1649"/>
      <c r="DP113" s="1649"/>
      <c r="DQ113" s="1649"/>
      <c r="DR113" s="1649"/>
      <c r="DS113" s="1649"/>
      <c r="DT113" s="1649"/>
      <c r="DU113" s="1649"/>
      <c r="DV113" s="1659"/>
    </row>
    <row r="114" spans="2:126" s="430" customFormat="1" ht="24" customHeight="1" x14ac:dyDescent="0.2">
      <c r="B114" s="1039"/>
      <c r="C114" s="1648" t="str">
        <f>IF($BI$113=1,BK114,IF($BI$113=2,BX114,IF($BI$113=3,CK114,IF($BI$113=4,CX114,IF($BI$113=5,DK114,IF($BI$113=6,BK161,IF($BI$113=7,BX161,IF($BI$113=8,CK161,IF($BI$113=9,CX161,IF($BI$113=10,DK161,""))))))))))</f>
        <v/>
      </c>
      <c r="D114" s="1648"/>
      <c r="E114" s="1648"/>
      <c r="F114" s="1648"/>
      <c r="G114" s="1648"/>
      <c r="H114" s="1648"/>
      <c r="I114" s="1648"/>
      <c r="J114" s="1648"/>
      <c r="K114" s="1648"/>
      <c r="L114" s="1648"/>
      <c r="M114" s="1648"/>
      <c r="N114" s="1648"/>
      <c r="O114" s="1648"/>
      <c r="P114" s="1648"/>
      <c r="Q114" s="1648"/>
      <c r="R114" s="1648"/>
      <c r="S114" s="1648"/>
      <c r="T114" s="1648"/>
      <c r="U114" s="1648"/>
      <c r="V114" s="1648"/>
      <c r="W114" s="1648"/>
      <c r="X114" s="1648"/>
      <c r="Y114" s="1648"/>
      <c r="Z114" s="1648"/>
      <c r="AA114" s="1648"/>
      <c r="AB114" s="1648"/>
      <c r="AC114" s="1648"/>
      <c r="AD114" s="1648"/>
      <c r="AE114" s="1648"/>
      <c r="AF114" s="1648"/>
      <c r="AG114" s="1648"/>
      <c r="AH114" s="1648"/>
      <c r="AI114" s="1648"/>
      <c r="AJ114" s="1648"/>
      <c r="AK114" s="1648"/>
      <c r="AL114" s="1648"/>
      <c r="AM114" s="1648"/>
      <c r="AN114" s="1648"/>
      <c r="AO114" s="1648"/>
      <c r="AP114" s="1648"/>
      <c r="AQ114" s="1648"/>
      <c r="AR114" s="1648"/>
      <c r="AS114" s="1648"/>
      <c r="AT114" s="1648"/>
      <c r="AU114" s="1648"/>
      <c r="AV114" s="1648"/>
      <c r="AW114" s="1648"/>
      <c r="AX114" s="1648"/>
      <c r="AY114" s="1648"/>
      <c r="AZ114" s="1648"/>
      <c r="BA114" s="1648"/>
      <c r="BB114" s="1648"/>
      <c r="BC114" s="1648"/>
      <c r="BD114" s="1648"/>
      <c r="BE114" s="1648"/>
      <c r="BF114" s="1648"/>
      <c r="BG114" s="428"/>
      <c r="BH114" s="431"/>
      <c r="BI114" s="498"/>
      <c r="BJ114" s="495"/>
      <c r="BK114" s="1647" t="s">
        <v>674</v>
      </c>
      <c r="BL114" s="1647"/>
      <c r="BM114" s="1647"/>
      <c r="BN114" s="1647"/>
      <c r="BO114" s="1647"/>
      <c r="BP114" s="1647"/>
      <c r="BQ114" s="1647"/>
      <c r="BR114" s="1647"/>
      <c r="BS114" s="1647"/>
      <c r="BT114" s="1647"/>
      <c r="BU114" s="1647"/>
      <c r="BV114" s="1647"/>
      <c r="BW114" s="495"/>
      <c r="BX114" s="1647" t="s">
        <v>737</v>
      </c>
      <c r="BY114" s="1647"/>
      <c r="BZ114" s="1647"/>
      <c r="CA114" s="1647"/>
      <c r="CB114" s="1647"/>
      <c r="CC114" s="1647"/>
      <c r="CD114" s="1647"/>
      <c r="CE114" s="1647"/>
      <c r="CF114" s="1647"/>
      <c r="CG114" s="1647"/>
      <c r="CH114" s="1647"/>
      <c r="CI114" s="1647"/>
      <c r="CJ114" s="495"/>
      <c r="CK114" s="1647" t="s">
        <v>933</v>
      </c>
      <c r="CL114" s="1647"/>
      <c r="CM114" s="1647"/>
      <c r="CN114" s="1647"/>
      <c r="CO114" s="1647"/>
      <c r="CP114" s="1647"/>
      <c r="CQ114" s="1647"/>
      <c r="CR114" s="1647"/>
      <c r="CS114" s="1647"/>
      <c r="CT114" s="1647"/>
      <c r="CU114" s="1647"/>
      <c r="CV114" s="1647"/>
      <c r="CW114" s="495"/>
      <c r="CX114" s="1647" t="s">
        <v>933</v>
      </c>
      <c r="CY114" s="1647"/>
      <c r="CZ114" s="1647"/>
      <c r="DA114" s="1647"/>
      <c r="DB114" s="1647"/>
      <c r="DC114" s="1647"/>
      <c r="DD114" s="1647"/>
      <c r="DE114" s="1647"/>
      <c r="DF114" s="1647"/>
      <c r="DG114" s="1647"/>
      <c r="DH114" s="1647"/>
      <c r="DI114" s="1647"/>
      <c r="DJ114" s="495"/>
      <c r="DK114" s="1664" t="s">
        <v>737</v>
      </c>
      <c r="DL114" s="1664"/>
      <c r="DM114" s="1664"/>
      <c r="DN114" s="1664"/>
      <c r="DO114" s="1664"/>
      <c r="DP114" s="1664"/>
      <c r="DQ114" s="1664"/>
      <c r="DR114" s="1664"/>
      <c r="DS114" s="1664"/>
      <c r="DT114" s="1664"/>
      <c r="DU114" s="1664"/>
      <c r="DV114" s="1665"/>
    </row>
    <row r="115" spans="2:126" s="430" customFormat="1" ht="24" customHeight="1" x14ac:dyDescent="0.2">
      <c r="B115" s="1039"/>
      <c r="C115" s="1648" t="str">
        <f t="shared" ref="C115:C154" si="7">IF($BI$113=1,BK115,IF($BI$113=2,BX115,IF($BI$113=3,CK115,IF($BI$113=4,CX115,IF($BI$113=5,DK115,IF($BI$113=6,BK162,IF($BI$113=7,BX162,IF($BI$113=8,CK162,IF($BI$113=9,CX162,IF($BI$113=10,DK162,""))))))))))</f>
        <v/>
      </c>
      <c r="D115" s="1648"/>
      <c r="E115" s="1648"/>
      <c r="F115" s="1648"/>
      <c r="G115" s="1648"/>
      <c r="H115" s="1648"/>
      <c r="I115" s="1648"/>
      <c r="J115" s="1648"/>
      <c r="K115" s="1648"/>
      <c r="L115" s="1648"/>
      <c r="M115" s="1648"/>
      <c r="N115" s="1648"/>
      <c r="O115" s="1648"/>
      <c r="P115" s="1648"/>
      <c r="Q115" s="1648"/>
      <c r="R115" s="1648"/>
      <c r="S115" s="1648"/>
      <c r="T115" s="1648"/>
      <c r="U115" s="1648"/>
      <c r="V115" s="1648"/>
      <c r="W115" s="1648"/>
      <c r="X115" s="1648"/>
      <c r="Y115" s="1648"/>
      <c r="Z115" s="1648"/>
      <c r="AA115" s="1648"/>
      <c r="AB115" s="1648"/>
      <c r="AC115" s="1648"/>
      <c r="AD115" s="1648"/>
      <c r="AE115" s="1648"/>
      <c r="AF115" s="1648"/>
      <c r="AG115" s="1648"/>
      <c r="AH115" s="1648"/>
      <c r="AI115" s="1648"/>
      <c r="AJ115" s="1648"/>
      <c r="AK115" s="1648"/>
      <c r="AL115" s="1648"/>
      <c r="AM115" s="1648"/>
      <c r="AN115" s="1648"/>
      <c r="AO115" s="1648"/>
      <c r="AP115" s="1648"/>
      <c r="AQ115" s="1648"/>
      <c r="AR115" s="1648"/>
      <c r="AS115" s="1648"/>
      <c r="AT115" s="1648"/>
      <c r="AU115" s="1648"/>
      <c r="AV115" s="1648"/>
      <c r="AW115" s="1648"/>
      <c r="AX115" s="1648"/>
      <c r="AY115" s="1648"/>
      <c r="AZ115" s="1648"/>
      <c r="BA115" s="1648"/>
      <c r="BB115" s="1648"/>
      <c r="BC115" s="1648"/>
      <c r="BD115" s="1648"/>
      <c r="BE115" s="1648"/>
      <c r="BF115" s="1648"/>
      <c r="BG115" s="428"/>
      <c r="BH115" s="431"/>
      <c r="BI115" s="498"/>
      <c r="BJ115" s="495"/>
      <c r="BK115" s="1647" t="s">
        <v>675</v>
      </c>
      <c r="BL115" s="1647"/>
      <c r="BM115" s="1647"/>
      <c r="BN115" s="1647"/>
      <c r="BO115" s="1647"/>
      <c r="BP115" s="1647"/>
      <c r="BQ115" s="1647"/>
      <c r="BR115" s="1647"/>
      <c r="BS115" s="1647"/>
      <c r="BT115" s="1647"/>
      <c r="BU115" s="1647"/>
      <c r="BV115" s="1647"/>
      <c r="BW115" s="495"/>
      <c r="BX115" s="1647" t="s">
        <v>687</v>
      </c>
      <c r="BY115" s="1647"/>
      <c r="BZ115" s="1647"/>
      <c r="CA115" s="1647"/>
      <c r="CB115" s="1647"/>
      <c r="CC115" s="1647"/>
      <c r="CD115" s="1647"/>
      <c r="CE115" s="1647"/>
      <c r="CF115" s="1647"/>
      <c r="CG115" s="1647"/>
      <c r="CH115" s="1647"/>
      <c r="CI115" s="1647"/>
      <c r="CJ115" s="495"/>
      <c r="CK115" s="1647" t="s">
        <v>934</v>
      </c>
      <c r="CL115" s="1647"/>
      <c r="CM115" s="1647"/>
      <c r="CN115" s="1647"/>
      <c r="CO115" s="1647"/>
      <c r="CP115" s="1647"/>
      <c r="CQ115" s="1647"/>
      <c r="CR115" s="1647"/>
      <c r="CS115" s="1647"/>
      <c r="CT115" s="1647"/>
      <c r="CU115" s="1647"/>
      <c r="CV115" s="1647"/>
      <c r="CW115" s="495"/>
      <c r="CX115" s="1647" t="s">
        <v>947</v>
      </c>
      <c r="CY115" s="1647"/>
      <c r="CZ115" s="1647"/>
      <c r="DA115" s="1647"/>
      <c r="DB115" s="1647"/>
      <c r="DC115" s="1647"/>
      <c r="DD115" s="1647"/>
      <c r="DE115" s="1647"/>
      <c r="DF115" s="1647"/>
      <c r="DG115" s="1647"/>
      <c r="DH115" s="1647"/>
      <c r="DI115" s="1647"/>
      <c r="DJ115" s="495"/>
      <c r="DK115" s="1664" t="s">
        <v>687</v>
      </c>
      <c r="DL115" s="1664"/>
      <c r="DM115" s="1664"/>
      <c r="DN115" s="1664"/>
      <c r="DO115" s="1664"/>
      <c r="DP115" s="1664"/>
      <c r="DQ115" s="1664"/>
      <c r="DR115" s="1664"/>
      <c r="DS115" s="1664"/>
      <c r="DT115" s="1664"/>
      <c r="DU115" s="1664"/>
      <c r="DV115" s="1665"/>
    </row>
    <row r="116" spans="2:126" s="430" customFormat="1" ht="24" customHeight="1" x14ac:dyDescent="0.2">
      <c r="B116" s="1039"/>
      <c r="C116" s="1648" t="str">
        <f t="shared" ref="C116:C130" si="8">IF($BI$113=1,BK116,IF($BI$113=2,BX116,IF($BI$113=3,CK116,IF($BI$113=4,CX116,IF($BI$113=5,DK116,IF($BI$113=6,BK163,IF($BI$113=7,BX163,IF($BI$113=8,CK163,IF($BI$113=9,CX163,IF($BI$113=10,DK163,""))))))))))</f>
        <v/>
      </c>
      <c r="D116" s="1648"/>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I116" s="1648"/>
      <c r="AJ116" s="1648"/>
      <c r="AK116" s="1648"/>
      <c r="AL116" s="1648"/>
      <c r="AM116" s="1648"/>
      <c r="AN116" s="1648"/>
      <c r="AO116" s="1648"/>
      <c r="AP116" s="1648"/>
      <c r="AQ116" s="1648"/>
      <c r="AR116" s="1648"/>
      <c r="AS116" s="1648"/>
      <c r="AT116" s="1648"/>
      <c r="AU116" s="1648"/>
      <c r="AV116" s="1648"/>
      <c r="AW116" s="1648"/>
      <c r="AX116" s="1648"/>
      <c r="AY116" s="1648"/>
      <c r="AZ116" s="1648"/>
      <c r="BA116" s="1648"/>
      <c r="BB116" s="1648"/>
      <c r="BC116" s="1648"/>
      <c r="BD116" s="1648"/>
      <c r="BE116" s="1648"/>
      <c r="BF116" s="1648"/>
      <c r="BG116" s="428"/>
      <c r="BH116" s="431"/>
      <c r="BI116" s="498"/>
      <c r="BJ116" s="495"/>
      <c r="BK116" s="1647" t="s">
        <v>676</v>
      </c>
      <c r="BL116" s="1647"/>
      <c r="BM116" s="1647"/>
      <c r="BN116" s="1647"/>
      <c r="BO116" s="1647"/>
      <c r="BP116" s="1647"/>
      <c r="BQ116" s="1647"/>
      <c r="BR116" s="1647"/>
      <c r="BS116" s="1647"/>
      <c r="BT116" s="1647"/>
      <c r="BU116" s="1647"/>
      <c r="BV116" s="1647"/>
      <c r="BW116" s="495"/>
      <c r="BX116" s="1647" t="s">
        <v>738</v>
      </c>
      <c r="BY116" s="1647"/>
      <c r="BZ116" s="1647"/>
      <c r="CA116" s="1647"/>
      <c r="CB116" s="1647"/>
      <c r="CC116" s="1647"/>
      <c r="CD116" s="1647"/>
      <c r="CE116" s="1647"/>
      <c r="CF116" s="1647"/>
      <c r="CG116" s="1647"/>
      <c r="CH116" s="1647"/>
      <c r="CI116" s="1647"/>
      <c r="CJ116" s="495"/>
      <c r="CK116" s="1647" t="s">
        <v>935</v>
      </c>
      <c r="CL116" s="1647"/>
      <c r="CM116" s="1647"/>
      <c r="CN116" s="1647"/>
      <c r="CO116" s="1647"/>
      <c r="CP116" s="1647"/>
      <c r="CQ116" s="1647"/>
      <c r="CR116" s="1647"/>
      <c r="CS116" s="1647"/>
      <c r="CT116" s="1647"/>
      <c r="CU116" s="1647"/>
      <c r="CV116" s="1647"/>
      <c r="CW116" s="495"/>
      <c r="CX116" s="1647" t="s">
        <v>935</v>
      </c>
      <c r="CY116" s="1647"/>
      <c r="CZ116" s="1647"/>
      <c r="DA116" s="1647"/>
      <c r="DB116" s="1647"/>
      <c r="DC116" s="1647"/>
      <c r="DD116" s="1647"/>
      <c r="DE116" s="1647"/>
      <c r="DF116" s="1647"/>
      <c r="DG116" s="1647"/>
      <c r="DH116" s="1647"/>
      <c r="DI116" s="1647"/>
      <c r="DJ116" s="495"/>
      <c r="DK116" s="1664" t="s">
        <v>758</v>
      </c>
      <c r="DL116" s="1664"/>
      <c r="DM116" s="1664"/>
      <c r="DN116" s="1664"/>
      <c r="DO116" s="1664"/>
      <c r="DP116" s="1664"/>
      <c r="DQ116" s="1664"/>
      <c r="DR116" s="1664"/>
      <c r="DS116" s="1664"/>
      <c r="DT116" s="1664"/>
      <c r="DU116" s="1664"/>
      <c r="DV116" s="1665"/>
    </row>
    <row r="117" spans="2:126" s="430" customFormat="1" ht="24" customHeight="1" x14ac:dyDescent="0.2">
      <c r="B117" s="1039"/>
      <c r="C117" s="1648" t="str">
        <f t="shared" si="8"/>
        <v/>
      </c>
      <c r="D117" s="1648"/>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I117" s="1648"/>
      <c r="AJ117" s="1648"/>
      <c r="AK117" s="1648"/>
      <c r="AL117" s="1648"/>
      <c r="AM117" s="1648"/>
      <c r="AN117" s="1648"/>
      <c r="AO117" s="1648"/>
      <c r="AP117" s="1648"/>
      <c r="AQ117" s="1648"/>
      <c r="AR117" s="1648"/>
      <c r="AS117" s="1648"/>
      <c r="AT117" s="1648"/>
      <c r="AU117" s="1648"/>
      <c r="AV117" s="1648"/>
      <c r="AW117" s="1648"/>
      <c r="AX117" s="1648"/>
      <c r="AY117" s="1648"/>
      <c r="AZ117" s="1648"/>
      <c r="BA117" s="1648"/>
      <c r="BB117" s="1648"/>
      <c r="BC117" s="1648"/>
      <c r="BD117" s="1648"/>
      <c r="BE117" s="1648"/>
      <c r="BF117" s="1648"/>
      <c r="BG117" s="428"/>
      <c r="BH117" s="431"/>
      <c r="BI117" s="498"/>
      <c r="BJ117" s="495"/>
      <c r="BK117" s="1647" t="s">
        <v>678</v>
      </c>
      <c r="BL117" s="1647"/>
      <c r="BM117" s="1647"/>
      <c r="BN117" s="1647"/>
      <c r="BO117" s="1647"/>
      <c r="BP117" s="1647"/>
      <c r="BQ117" s="1647"/>
      <c r="BR117" s="1647"/>
      <c r="BS117" s="1647"/>
      <c r="BT117" s="1647"/>
      <c r="BU117" s="1647"/>
      <c r="BV117" s="1647"/>
      <c r="BW117" s="495"/>
      <c r="BX117" s="1647" t="s">
        <v>739</v>
      </c>
      <c r="BY117" s="1647"/>
      <c r="BZ117" s="1647"/>
      <c r="CA117" s="1647"/>
      <c r="CB117" s="1647"/>
      <c r="CC117" s="1647"/>
      <c r="CD117" s="1647"/>
      <c r="CE117" s="1647"/>
      <c r="CF117" s="1647"/>
      <c r="CG117" s="1647"/>
      <c r="CH117" s="1647"/>
      <c r="CI117" s="1647"/>
      <c r="CJ117" s="495"/>
      <c r="CK117" s="1647" t="s">
        <v>936</v>
      </c>
      <c r="CL117" s="1647"/>
      <c r="CM117" s="1647"/>
      <c r="CN117" s="1647"/>
      <c r="CO117" s="1647"/>
      <c r="CP117" s="1647"/>
      <c r="CQ117" s="1647"/>
      <c r="CR117" s="1647"/>
      <c r="CS117" s="1647"/>
      <c r="CT117" s="1647"/>
      <c r="CU117" s="1647"/>
      <c r="CV117" s="1647"/>
      <c r="CW117" s="495"/>
      <c r="CX117" s="1647" t="s">
        <v>936</v>
      </c>
      <c r="CY117" s="1647"/>
      <c r="CZ117" s="1647"/>
      <c r="DA117" s="1647"/>
      <c r="DB117" s="1647"/>
      <c r="DC117" s="1647"/>
      <c r="DD117" s="1647"/>
      <c r="DE117" s="1647"/>
      <c r="DF117" s="1647"/>
      <c r="DG117" s="1647"/>
      <c r="DH117" s="1647"/>
      <c r="DI117" s="1647"/>
      <c r="DJ117" s="495"/>
      <c r="DK117" s="1664" t="s">
        <v>759</v>
      </c>
      <c r="DL117" s="1664"/>
      <c r="DM117" s="1664"/>
      <c r="DN117" s="1664"/>
      <c r="DO117" s="1664"/>
      <c r="DP117" s="1664"/>
      <c r="DQ117" s="1664"/>
      <c r="DR117" s="1664"/>
      <c r="DS117" s="1664"/>
      <c r="DT117" s="1664"/>
      <c r="DU117" s="1664"/>
      <c r="DV117" s="1665"/>
    </row>
    <row r="118" spans="2:126" s="430" customFormat="1" ht="24" customHeight="1" x14ac:dyDescent="0.2">
      <c r="B118" s="1039"/>
      <c r="C118" s="1648" t="str">
        <f t="shared" si="8"/>
        <v/>
      </c>
      <c r="D118" s="1648"/>
      <c r="E118" s="1648"/>
      <c r="F118" s="1648"/>
      <c r="G118" s="1648"/>
      <c r="H118" s="1648"/>
      <c r="I118" s="1648"/>
      <c r="J118" s="1648"/>
      <c r="K118" s="1648"/>
      <c r="L118" s="1648"/>
      <c r="M118" s="1648"/>
      <c r="N118" s="1648"/>
      <c r="O118" s="1648"/>
      <c r="P118" s="1648"/>
      <c r="Q118" s="1648"/>
      <c r="R118" s="1648"/>
      <c r="S118" s="1648"/>
      <c r="T118" s="1648"/>
      <c r="U118" s="1648"/>
      <c r="V118" s="1648"/>
      <c r="W118" s="1648"/>
      <c r="X118" s="1648"/>
      <c r="Y118" s="1648"/>
      <c r="Z118" s="1648"/>
      <c r="AA118" s="1648"/>
      <c r="AB118" s="1648"/>
      <c r="AC118" s="1648"/>
      <c r="AD118" s="1648"/>
      <c r="AE118" s="1648"/>
      <c r="AF118" s="1648"/>
      <c r="AG118" s="1648"/>
      <c r="AH118" s="1648"/>
      <c r="AI118" s="1648"/>
      <c r="AJ118" s="1648"/>
      <c r="AK118" s="1648"/>
      <c r="AL118" s="1648"/>
      <c r="AM118" s="1648"/>
      <c r="AN118" s="1648"/>
      <c r="AO118" s="1648"/>
      <c r="AP118" s="1648"/>
      <c r="AQ118" s="1648"/>
      <c r="AR118" s="1648"/>
      <c r="AS118" s="1648"/>
      <c r="AT118" s="1648"/>
      <c r="AU118" s="1648"/>
      <c r="AV118" s="1648"/>
      <c r="AW118" s="1648"/>
      <c r="AX118" s="1648"/>
      <c r="AY118" s="1648"/>
      <c r="AZ118" s="1648"/>
      <c r="BA118" s="1648"/>
      <c r="BB118" s="1648"/>
      <c r="BC118" s="1648"/>
      <c r="BD118" s="1648"/>
      <c r="BE118" s="1648"/>
      <c r="BF118" s="1648"/>
      <c r="BG118" s="428"/>
      <c r="BH118" s="431"/>
      <c r="BI118" s="498"/>
      <c r="BJ118" s="495"/>
      <c r="BK118" s="1647" t="s">
        <v>679</v>
      </c>
      <c r="BL118" s="1647"/>
      <c r="BM118" s="1647"/>
      <c r="BN118" s="1647"/>
      <c r="BO118" s="1647"/>
      <c r="BP118" s="1647"/>
      <c r="BQ118" s="1647"/>
      <c r="BR118" s="1647"/>
      <c r="BS118" s="1647"/>
      <c r="BT118" s="1647"/>
      <c r="BU118" s="1647"/>
      <c r="BV118" s="1647"/>
      <c r="BW118" s="495"/>
      <c r="BX118" s="1647" t="s">
        <v>691</v>
      </c>
      <c r="BY118" s="1647"/>
      <c r="BZ118" s="1647"/>
      <c r="CA118" s="1647"/>
      <c r="CB118" s="1647"/>
      <c r="CC118" s="1647"/>
      <c r="CD118" s="1647"/>
      <c r="CE118" s="1647"/>
      <c r="CF118" s="1647"/>
      <c r="CG118" s="1647"/>
      <c r="CH118" s="1647"/>
      <c r="CI118" s="1647"/>
      <c r="CJ118" s="495"/>
      <c r="CK118" s="1647" t="s">
        <v>937</v>
      </c>
      <c r="CL118" s="1647"/>
      <c r="CM118" s="1647"/>
      <c r="CN118" s="1647"/>
      <c r="CO118" s="1647"/>
      <c r="CP118" s="1647"/>
      <c r="CQ118" s="1647"/>
      <c r="CR118" s="1647"/>
      <c r="CS118" s="1647"/>
      <c r="CT118" s="1647"/>
      <c r="CU118" s="1647"/>
      <c r="CV118" s="1647"/>
      <c r="CW118" s="495"/>
      <c r="CX118" s="1647" t="s">
        <v>937</v>
      </c>
      <c r="CY118" s="1647"/>
      <c r="CZ118" s="1647"/>
      <c r="DA118" s="1647"/>
      <c r="DB118" s="1647"/>
      <c r="DC118" s="1647"/>
      <c r="DD118" s="1647"/>
      <c r="DE118" s="1647"/>
      <c r="DF118" s="1647"/>
      <c r="DG118" s="1647"/>
      <c r="DH118" s="1647"/>
      <c r="DI118" s="1647"/>
      <c r="DJ118" s="495"/>
      <c r="DK118" s="1664" t="s">
        <v>760</v>
      </c>
      <c r="DL118" s="1664"/>
      <c r="DM118" s="1664"/>
      <c r="DN118" s="1664"/>
      <c r="DO118" s="1664"/>
      <c r="DP118" s="1664"/>
      <c r="DQ118" s="1664"/>
      <c r="DR118" s="1664"/>
      <c r="DS118" s="1664"/>
      <c r="DT118" s="1664"/>
      <c r="DU118" s="1664"/>
      <c r="DV118" s="1665"/>
    </row>
    <row r="119" spans="2:126" s="430" customFormat="1" ht="24" customHeight="1" x14ac:dyDescent="0.2">
      <c r="B119" s="1039"/>
      <c r="C119" s="1648" t="str">
        <f t="shared" si="8"/>
        <v/>
      </c>
      <c r="D119" s="1648"/>
      <c r="E119" s="1648"/>
      <c r="F119" s="1648"/>
      <c r="G119" s="1648"/>
      <c r="H119" s="1648"/>
      <c r="I119" s="1648"/>
      <c r="J119" s="1648"/>
      <c r="K119" s="1648"/>
      <c r="L119" s="1648"/>
      <c r="M119" s="1648"/>
      <c r="N119" s="1648"/>
      <c r="O119" s="1648"/>
      <c r="P119" s="1648"/>
      <c r="Q119" s="1648"/>
      <c r="R119" s="1648"/>
      <c r="S119" s="1648"/>
      <c r="T119" s="1648"/>
      <c r="U119" s="1648"/>
      <c r="V119" s="1648"/>
      <c r="W119" s="1648"/>
      <c r="X119" s="1648"/>
      <c r="Y119" s="1648"/>
      <c r="Z119" s="1648"/>
      <c r="AA119" s="1648"/>
      <c r="AB119" s="1648"/>
      <c r="AC119" s="1648"/>
      <c r="AD119" s="1648"/>
      <c r="AE119" s="1648"/>
      <c r="AF119" s="1648"/>
      <c r="AG119" s="1648"/>
      <c r="AH119" s="1648"/>
      <c r="AI119" s="1648"/>
      <c r="AJ119" s="1648"/>
      <c r="AK119" s="1648"/>
      <c r="AL119" s="1648"/>
      <c r="AM119" s="1648"/>
      <c r="AN119" s="1648"/>
      <c r="AO119" s="1648"/>
      <c r="AP119" s="1648"/>
      <c r="AQ119" s="1648"/>
      <c r="AR119" s="1648"/>
      <c r="AS119" s="1648"/>
      <c r="AT119" s="1648"/>
      <c r="AU119" s="1648"/>
      <c r="AV119" s="1648"/>
      <c r="AW119" s="1648"/>
      <c r="AX119" s="1648"/>
      <c r="AY119" s="1648"/>
      <c r="AZ119" s="1648"/>
      <c r="BA119" s="1648"/>
      <c r="BB119" s="1648"/>
      <c r="BC119" s="1648"/>
      <c r="BD119" s="1648"/>
      <c r="BE119" s="1648"/>
      <c r="BF119" s="1648"/>
      <c r="BG119" s="428"/>
      <c r="BH119" s="431"/>
      <c r="BI119" s="498"/>
      <c r="BJ119" s="495"/>
      <c r="BK119" s="1647" t="s">
        <v>680</v>
      </c>
      <c r="BL119" s="1647"/>
      <c r="BM119" s="1647"/>
      <c r="BN119" s="1647"/>
      <c r="BO119" s="1647"/>
      <c r="BP119" s="1647"/>
      <c r="BQ119" s="1647"/>
      <c r="BR119" s="1647"/>
      <c r="BS119" s="1647"/>
      <c r="BT119" s="1647"/>
      <c r="BU119" s="1647"/>
      <c r="BV119" s="1647"/>
      <c r="BW119" s="495"/>
      <c r="BX119" s="1647" t="s">
        <v>740</v>
      </c>
      <c r="BY119" s="1647"/>
      <c r="BZ119" s="1647"/>
      <c r="CA119" s="1647"/>
      <c r="CB119" s="1647"/>
      <c r="CC119" s="1647"/>
      <c r="CD119" s="1647"/>
      <c r="CE119" s="1647"/>
      <c r="CF119" s="1647"/>
      <c r="CG119" s="1647"/>
      <c r="CH119" s="1647"/>
      <c r="CI119" s="1647"/>
      <c r="CJ119" s="495"/>
      <c r="CK119" s="1647" t="s">
        <v>744</v>
      </c>
      <c r="CL119" s="1647"/>
      <c r="CM119" s="1647"/>
      <c r="CN119" s="1647"/>
      <c r="CO119" s="1647"/>
      <c r="CP119" s="1647"/>
      <c r="CQ119" s="1647"/>
      <c r="CR119" s="1647"/>
      <c r="CS119" s="1647"/>
      <c r="CT119" s="1647"/>
      <c r="CU119" s="1647"/>
      <c r="CV119" s="1647"/>
      <c r="CW119" s="495"/>
      <c r="CX119" s="1647" t="s">
        <v>744</v>
      </c>
      <c r="CY119" s="1647"/>
      <c r="CZ119" s="1647"/>
      <c r="DA119" s="1647"/>
      <c r="DB119" s="1647"/>
      <c r="DC119" s="1647"/>
      <c r="DD119" s="1647"/>
      <c r="DE119" s="1647"/>
      <c r="DF119" s="1647"/>
      <c r="DG119" s="1647"/>
      <c r="DH119" s="1647"/>
      <c r="DI119" s="1647"/>
      <c r="DJ119" s="495"/>
      <c r="DK119" s="1664" t="s">
        <v>740</v>
      </c>
      <c r="DL119" s="1664"/>
      <c r="DM119" s="1664"/>
      <c r="DN119" s="1664"/>
      <c r="DO119" s="1664"/>
      <c r="DP119" s="1664"/>
      <c r="DQ119" s="1664"/>
      <c r="DR119" s="1664"/>
      <c r="DS119" s="1664"/>
      <c r="DT119" s="1664"/>
      <c r="DU119" s="1664"/>
      <c r="DV119" s="1665"/>
    </row>
    <row r="120" spans="2:126" s="430" customFormat="1" ht="49.5" customHeight="1" x14ac:dyDescent="0.2">
      <c r="B120" s="1039"/>
      <c r="C120" s="1648" t="str">
        <f t="shared" si="8"/>
        <v/>
      </c>
      <c r="D120" s="1648"/>
      <c r="E120" s="1648"/>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1648"/>
      <c r="AI120" s="1648"/>
      <c r="AJ120" s="1648"/>
      <c r="AK120" s="1648"/>
      <c r="AL120" s="1648"/>
      <c r="AM120" s="1648"/>
      <c r="AN120" s="1648"/>
      <c r="AO120" s="1648"/>
      <c r="AP120" s="1648"/>
      <c r="AQ120" s="1648"/>
      <c r="AR120" s="1648"/>
      <c r="AS120" s="1648"/>
      <c r="AT120" s="1648"/>
      <c r="AU120" s="1648"/>
      <c r="AV120" s="1648"/>
      <c r="AW120" s="1648"/>
      <c r="AX120" s="1648"/>
      <c r="AY120" s="1648"/>
      <c r="AZ120" s="1648"/>
      <c r="BA120" s="1648"/>
      <c r="BB120" s="1648"/>
      <c r="BC120" s="1648"/>
      <c r="BD120" s="1648"/>
      <c r="BE120" s="1648"/>
      <c r="BF120" s="1648"/>
      <c r="BG120" s="428"/>
      <c r="BH120" s="431"/>
      <c r="BI120" s="498"/>
      <c r="BJ120" s="495"/>
      <c r="BK120" s="1647" t="s">
        <v>681</v>
      </c>
      <c r="BL120" s="1647"/>
      <c r="BM120" s="1647"/>
      <c r="BN120" s="1647"/>
      <c r="BO120" s="1647"/>
      <c r="BP120" s="1647"/>
      <c r="BQ120" s="1647"/>
      <c r="BR120" s="1647"/>
      <c r="BS120" s="1647"/>
      <c r="BT120" s="1647"/>
      <c r="BU120" s="1647"/>
      <c r="BV120" s="1647"/>
      <c r="BW120" s="495"/>
      <c r="BX120" s="1647" t="s">
        <v>741</v>
      </c>
      <c r="BY120" s="1647"/>
      <c r="BZ120" s="1647"/>
      <c r="CA120" s="1647"/>
      <c r="CB120" s="1647"/>
      <c r="CC120" s="1647"/>
      <c r="CD120" s="1647"/>
      <c r="CE120" s="1647"/>
      <c r="CF120" s="1647"/>
      <c r="CG120" s="1647"/>
      <c r="CH120" s="1647"/>
      <c r="CI120" s="1647"/>
      <c r="CJ120" s="495"/>
      <c r="CK120" s="1647" t="s">
        <v>648</v>
      </c>
      <c r="CL120" s="1647"/>
      <c r="CM120" s="1647"/>
      <c r="CN120" s="1647"/>
      <c r="CO120" s="1647"/>
      <c r="CP120" s="1647"/>
      <c r="CQ120" s="1647"/>
      <c r="CR120" s="1647"/>
      <c r="CS120" s="1647"/>
      <c r="CT120" s="1647"/>
      <c r="CU120" s="1647"/>
      <c r="CV120" s="1647"/>
      <c r="CW120" s="495"/>
      <c r="CX120" s="1647" t="s">
        <v>938</v>
      </c>
      <c r="CY120" s="1647"/>
      <c r="CZ120" s="1647"/>
      <c r="DA120" s="1647"/>
      <c r="DB120" s="1647"/>
      <c r="DC120" s="1647"/>
      <c r="DD120" s="1647"/>
      <c r="DE120" s="1647"/>
      <c r="DF120" s="1647"/>
      <c r="DG120" s="1647"/>
      <c r="DH120" s="1647"/>
      <c r="DI120" s="1647"/>
      <c r="DJ120" s="495"/>
      <c r="DK120" s="1664" t="s">
        <v>741</v>
      </c>
      <c r="DL120" s="1664"/>
      <c r="DM120" s="1664"/>
      <c r="DN120" s="1664"/>
      <c r="DO120" s="1664"/>
      <c r="DP120" s="1664"/>
      <c r="DQ120" s="1664"/>
      <c r="DR120" s="1664"/>
      <c r="DS120" s="1664"/>
      <c r="DT120" s="1664"/>
      <c r="DU120" s="1664"/>
      <c r="DV120" s="1665"/>
    </row>
    <row r="121" spans="2:126" s="430" customFormat="1" ht="24" customHeight="1" x14ac:dyDescent="0.2">
      <c r="B121" s="1039"/>
      <c r="C121" s="1648" t="str">
        <f t="shared" si="8"/>
        <v/>
      </c>
      <c r="D121" s="1648"/>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1648"/>
      <c r="AI121" s="1648"/>
      <c r="AJ121" s="1648"/>
      <c r="AK121" s="1648"/>
      <c r="AL121" s="1648"/>
      <c r="AM121" s="1648"/>
      <c r="AN121" s="1648"/>
      <c r="AO121" s="1648"/>
      <c r="AP121" s="1648"/>
      <c r="AQ121" s="1648"/>
      <c r="AR121" s="1648"/>
      <c r="AS121" s="1648"/>
      <c r="AT121" s="1648"/>
      <c r="AU121" s="1648"/>
      <c r="AV121" s="1648"/>
      <c r="AW121" s="1648"/>
      <c r="AX121" s="1648"/>
      <c r="AY121" s="1648"/>
      <c r="AZ121" s="1648"/>
      <c r="BA121" s="1648"/>
      <c r="BB121" s="1648"/>
      <c r="BC121" s="1648"/>
      <c r="BD121" s="1648"/>
      <c r="BE121" s="1648"/>
      <c r="BF121" s="1648"/>
      <c r="BG121" s="428"/>
      <c r="BH121" s="431"/>
      <c r="BI121" s="498"/>
      <c r="BJ121" s="495"/>
      <c r="BK121" s="1647" t="s">
        <v>682</v>
      </c>
      <c r="BL121" s="1647"/>
      <c r="BM121" s="1647"/>
      <c r="BN121" s="1647"/>
      <c r="BO121" s="1647"/>
      <c r="BP121" s="1647"/>
      <c r="BQ121" s="1647"/>
      <c r="BR121" s="1647"/>
      <c r="BS121" s="1647"/>
      <c r="BT121" s="1647"/>
      <c r="BU121" s="1647"/>
      <c r="BV121" s="1647"/>
      <c r="BW121" s="495"/>
      <c r="BX121" s="1647" t="s">
        <v>742</v>
      </c>
      <c r="BY121" s="1647"/>
      <c r="BZ121" s="1647"/>
      <c r="CA121" s="1647"/>
      <c r="CB121" s="1647"/>
      <c r="CC121" s="1647"/>
      <c r="CD121" s="1647"/>
      <c r="CE121" s="1647"/>
      <c r="CF121" s="1647"/>
      <c r="CG121" s="1647"/>
      <c r="CH121" s="1647"/>
      <c r="CI121" s="1647"/>
      <c r="CJ121" s="495"/>
      <c r="CK121" s="1647" t="s">
        <v>649</v>
      </c>
      <c r="CL121" s="1647"/>
      <c r="CM121" s="1647"/>
      <c r="CN121" s="1647"/>
      <c r="CO121" s="1647"/>
      <c r="CP121" s="1647"/>
      <c r="CQ121" s="1647"/>
      <c r="CR121" s="1647"/>
      <c r="CS121" s="1647"/>
      <c r="CT121" s="1647"/>
      <c r="CU121" s="1647"/>
      <c r="CV121" s="1647"/>
      <c r="CW121" s="495"/>
      <c r="CX121" s="1647" t="s">
        <v>939</v>
      </c>
      <c r="CY121" s="1647"/>
      <c r="CZ121" s="1647"/>
      <c r="DA121" s="1647"/>
      <c r="DB121" s="1647"/>
      <c r="DC121" s="1647"/>
      <c r="DD121" s="1647"/>
      <c r="DE121" s="1647"/>
      <c r="DF121" s="1647"/>
      <c r="DG121" s="1647"/>
      <c r="DH121" s="1647"/>
      <c r="DI121" s="1647"/>
      <c r="DJ121" s="495"/>
      <c r="DK121" s="1664" t="s">
        <v>742</v>
      </c>
      <c r="DL121" s="1664"/>
      <c r="DM121" s="1664"/>
      <c r="DN121" s="1664"/>
      <c r="DO121" s="1664"/>
      <c r="DP121" s="1664"/>
      <c r="DQ121" s="1664"/>
      <c r="DR121" s="1664"/>
      <c r="DS121" s="1664"/>
      <c r="DT121" s="1664"/>
      <c r="DU121" s="1664"/>
      <c r="DV121" s="1665"/>
    </row>
    <row r="122" spans="2:126" s="430" customFormat="1" ht="51.75" customHeight="1" x14ac:dyDescent="0.2">
      <c r="B122" s="1039"/>
      <c r="C122" s="1648" t="str">
        <f t="shared" si="8"/>
        <v/>
      </c>
      <c r="D122" s="1648"/>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1648"/>
      <c r="AI122" s="1648"/>
      <c r="AJ122" s="1648"/>
      <c r="AK122" s="1648"/>
      <c r="AL122" s="1648"/>
      <c r="AM122" s="1648"/>
      <c r="AN122" s="1648"/>
      <c r="AO122" s="1648"/>
      <c r="AP122" s="1648"/>
      <c r="AQ122" s="1648"/>
      <c r="AR122" s="1648"/>
      <c r="AS122" s="1648"/>
      <c r="AT122" s="1648"/>
      <c r="AU122" s="1648"/>
      <c r="AV122" s="1648"/>
      <c r="AW122" s="1648"/>
      <c r="AX122" s="1648"/>
      <c r="AY122" s="1648"/>
      <c r="AZ122" s="1648"/>
      <c r="BA122" s="1648"/>
      <c r="BB122" s="1648"/>
      <c r="BC122" s="1648"/>
      <c r="BD122" s="1648"/>
      <c r="BE122" s="1648"/>
      <c r="BF122" s="1648"/>
      <c r="BG122" s="428"/>
      <c r="BH122" s="431"/>
      <c r="BI122" s="498"/>
      <c r="BJ122" s="495"/>
      <c r="BK122" s="1647" t="str">
        <f>+""</f>
        <v/>
      </c>
      <c r="BL122" s="1647"/>
      <c r="BM122" s="1647"/>
      <c r="BN122" s="1647"/>
      <c r="BO122" s="1647"/>
      <c r="BP122" s="1647"/>
      <c r="BQ122" s="1647"/>
      <c r="BR122" s="1647"/>
      <c r="BS122" s="1647"/>
      <c r="BT122" s="1647"/>
      <c r="BU122" s="1647"/>
      <c r="BV122" s="1647"/>
      <c r="BW122" s="495"/>
      <c r="BX122" s="1669" t="s">
        <v>743</v>
      </c>
      <c r="BY122" s="1647"/>
      <c r="BZ122" s="1647"/>
      <c r="CA122" s="1647"/>
      <c r="CB122" s="1647"/>
      <c r="CC122" s="1647"/>
      <c r="CD122" s="1647"/>
      <c r="CE122" s="1647"/>
      <c r="CF122" s="1647"/>
      <c r="CG122" s="1647"/>
      <c r="CH122" s="1647"/>
      <c r="CI122" s="1647"/>
      <c r="CJ122" s="495"/>
      <c r="CK122" s="1647" t="s">
        <v>938</v>
      </c>
      <c r="CL122" s="1647"/>
      <c r="CM122" s="1647"/>
      <c r="CN122" s="1647"/>
      <c r="CO122" s="1647"/>
      <c r="CP122" s="1647"/>
      <c r="CQ122" s="1647"/>
      <c r="CR122" s="1647"/>
      <c r="CS122" s="1647"/>
      <c r="CT122" s="1647"/>
      <c r="CU122" s="1647"/>
      <c r="CV122" s="1647"/>
      <c r="CW122" s="495"/>
      <c r="CX122" s="1647" t="s">
        <v>751</v>
      </c>
      <c r="CY122" s="1647"/>
      <c r="CZ122" s="1647"/>
      <c r="DA122" s="1647"/>
      <c r="DB122" s="1647"/>
      <c r="DC122" s="1647"/>
      <c r="DD122" s="1647"/>
      <c r="DE122" s="1647"/>
      <c r="DF122" s="1647"/>
      <c r="DG122" s="1647"/>
      <c r="DH122" s="1647"/>
      <c r="DI122" s="1647"/>
      <c r="DJ122" s="495"/>
      <c r="DK122" s="1666" t="s">
        <v>761</v>
      </c>
      <c r="DL122" s="1664"/>
      <c r="DM122" s="1664"/>
      <c r="DN122" s="1664"/>
      <c r="DO122" s="1664"/>
      <c r="DP122" s="1664"/>
      <c r="DQ122" s="1664"/>
      <c r="DR122" s="1664"/>
      <c r="DS122" s="1664"/>
      <c r="DT122" s="1664"/>
      <c r="DU122" s="1664"/>
      <c r="DV122" s="1665"/>
    </row>
    <row r="123" spans="2:126" s="430" customFormat="1" ht="24" customHeight="1" x14ac:dyDescent="0.2">
      <c r="B123" s="1039"/>
      <c r="C123" s="1648" t="str">
        <f t="shared" si="8"/>
        <v/>
      </c>
      <c r="D123" s="1648"/>
      <c r="E123" s="1648"/>
      <c r="F123" s="1648"/>
      <c r="G123" s="1648"/>
      <c r="H123" s="1648"/>
      <c r="I123" s="1648"/>
      <c r="J123" s="1648"/>
      <c r="K123" s="1648"/>
      <c r="L123" s="1648"/>
      <c r="M123" s="1648"/>
      <c r="N123" s="1648"/>
      <c r="O123" s="1648"/>
      <c r="P123" s="1648"/>
      <c r="Q123" s="1648"/>
      <c r="R123" s="1648"/>
      <c r="S123" s="1648"/>
      <c r="T123" s="1648"/>
      <c r="U123" s="1648"/>
      <c r="V123" s="1648"/>
      <c r="W123" s="1648"/>
      <c r="X123" s="1648"/>
      <c r="Y123" s="1648"/>
      <c r="Z123" s="1648"/>
      <c r="AA123" s="1648"/>
      <c r="AB123" s="1648"/>
      <c r="AC123" s="1648"/>
      <c r="AD123" s="1648"/>
      <c r="AE123" s="1648"/>
      <c r="AF123" s="1648"/>
      <c r="AG123" s="1648"/>
      <c r="AH123" s="1648"/>
      <c r="AI123" s="1648"/>
      <c r="AJ123" s="1648"/>
      <c r="AK123" s="1648"/>
      <c r="AL123" s="1648"/>
      <c r="AM123" s="1648"/>
      <c r="AN123" s="1648"/>
      <c r="AO123" s="1648"/>
      <c r="AP123" s="1648"/>
      <c r="AQ123" s="1648"/>
      <c r="AR123" s="1648"/>
      <c r="AS123" s="1648"/>
      <c r="AT123" s="1648"/>
      <c r="AU123" s="1648"/>
      <c r="AV123" s="1648"/>
      <c r="AW123" s="1648"/>
      <c r="AX123" s="1648"/>
      <c r="AY123" s="1648"/>
      <c r="AZ123" s="1648"/>
      <c r="BA123" s="1648"/>
      <c r="BB123" s="1648"/>
      <c r="BC123" s="1648"/>
      <c r="BD123" s="1648"/>
      <c r="BE123" s="1648"/>
      <c r="BF123" s="1648"/>
      <c r="BG123" s="428"/>
      <c r="BH123" s="431"/>
      <c r="BI123" s="498"/>
      <c r="BJ123" s="495"/>
      <c r="BK123" s="1647" t="str">
        <f>+""</f>
        <v/>
      </c>
      <c r="BL123" s="1647"/>
      <c r="BM123" s="1647"/>
      <c r="BN123" s="1647"/>
      <c r="BO123" s="1647"/>
      <c r="BP123" s="1647"/>
      <c r="BQ123" s="1647"/>
      <c r="BR123" s="1647"/>
      <c r="BS123" s="1647"/>
      <c r="BT123" s="1647"/>
      <c r="BU123" s="1647"/>
      <c r="BV123" s="1647"/>
      <c r="BW123" s="495"/>
      <c r="BX123" s="1670" t="s">
        <v>744</v>
      </c>
      <c r="BY123" s="1670"/>
      <c r="BZ123" s="1670"/>
      <c r="CA123" s="1670"/>
      <c r="CB123" s="1670"/>
      <c r="CC123" s="1670"/>
      <c r="CD123" s="1670"/>
      <c r="CE123" s="1670"/>
      <c r="CF123" s="1670"/>
      <c r="CG123" s="1670"/>
      <c r="CH123" s="1670"/>
      <c r="CI123" s="1670"/>
      <c r="CJ123" s="495"/>
      <c r="CK123" s="1647" t="s">
        <v>939</v>
      </c>
      <c r="CL123" s="1647"/>
      <c r="CM123" s="1647"/>
      <c r="CN123" s="1647"/>
      <c r="CO123" s="1647"/>
      <c r="CP123" s="1647"/>
      <c r="CQ123" s="1647"/>
      <c r="CR123" s="1647"/>
      <c r="CS123" s="1647"/>
      <c r="CT123" s="1647"/>
      <c r="CU123" s="1647"/>
      <c r="CV123" s="1647"/>
      <c r="CW123" s="495"/>
      <c r="CX123" s="1647" t="s">
        <v>948</v>
      </c>
      <c r="CY123" s="1647"/>
      <c r="CZ123" s="1647"/>
      <c r="DA123" s="1647"/>
      <c r="DB123" s="1647"/>
      <c r="DC123" s="1647"/>
      <c r="DD123" s="1647"/>
      <c r="DE123" s="1647"/>
      <c r="DF123" s="1647"/>
      <c r="DG123" s="1647"/>
      <c r="DH123" s="1647"/>
      <c r="DI123" s="1647"/>
      <c r="DJ123" s="495"/>
      <c r="DK123" s="1667" t="s">
        <v>763</v>
      </c>
      <c r="DL123" s="1667"/>
      <c r="DM123" s="1667"/>
      <c r="DN123" s="1667"/>
      <c r="DO123" s="1667"/>
      <c r="DP123" s="1667"/>
      <c r="DQ123" s="1667"/>
      <c r="DR123" s="1667"/>
      <c r="DS123" s="1667"/>
      <c r="DT123" s="1667"/>
      <c r="DU123" s="1667"/>
      <c r="DV123" s="1668"/>
    </row>
    <row r="124" spans="2:126" s="430" customFormat="1" ht="27" customHeight="1" x14ac:dyDescent="0.2">
      <c r="B124" s="1039"/>
      <c r="C124" s="1648" t="str">
        <f t="shared" si="8"/>
        <v/>
      </c>
      <c r="D124" s="1648"/>
      <c r="E124" s="1648"/>
      <c r="F124" s="1648"/>
      <c r="G124" s="1648"/>
      <c r="H124" s="1648"/>
      <c r="I124" s="1648"/>
      <c r="J124" s="1648"/>
      <c r="K124" s="1648"/>
      <c r="L124" s="1648"/>
      <c r="M124" s="1648"/>
      <c r="N124" s="1648"/>
      <c r="O124" s="1648"/>
      <c r="P124" s="1648"/>
      <c r="Q124" s="1648"/>
      <c r="R124" s="1648"/>
      <c r="S124" s="1648"/>
      <c r="T124" s="1648"/>
      <c r="U124" s="1648"/>
      <c r="V124" s="1648"/>
      <c r="W124" s="1648"/>
      <c r="X124" s="1648"/>
      <c r="Y124" s="1648"/>
      <c r="Z124" s="1648"/>
      <c r="AA124" s="1648"/>
      <c r="AB124" s="1648"/>
      <c r="AC124" s="1648"/>
      <c r="AD124" s="1648"/>
      <c r="AE124" s="1648"/>
      <c r="AF124" s="1648"/>
      <c r="AG124" s="1648"/>
      <c r="AH124" s="1648"/>
      <c r="AI124" s="1648"/>
      <c r="AJ124" s="1648"/>
      <c r="AK124" s="1648"/>
      <c r="AL124" s="1648"/>
      <c r="AM124" s="1648"/>
      <c r="AN124" s="1648"/>
      <c r="AO124" s="1648"/>
      <c r="AP124" s="1648"/>
      <c r="AQ124" s="1648"/>
      <c r="AR124" s="1648"/>
      <c r="AS124" s="1648"/>
      <c r="AT124" s="1648"/>
      <c r="AU124" s="1648"/>
      <c r="AV124" s="1648"/>
      <c r="AW124" s="1648"/>
      <c r="AX124" s="1648"/>
      <c r="AY124" s="1648"/>
      <c r="AZ124" s="1648"/>
      <c r="BA124" s="1648"/>
      <c r="BB124" s="1648"/>
      <c r="BC124" s="1648"/>
      <c r="BD124" s="1648"/>
      <c r="BE124" s="1648"/>
      <c r="BF124" s="1648"/>
      <c r="BG124" s="428"/>
      <c r="BH124" s="431"/>
      <c r="BI124" s="498"/>
      <c r="BJ124" s="495"/>
      <c r="BK124" s="1647" t="str">
        <f>+""</f>
        <v/>
      </c>
      <c r="BL124" s="1647"/>
      <c r="BM124" s="1647"/>
      <c r="BN124" s="1647"/>
      <c r="BO124" s="1647"/>
      <c r="BP124" s="1647"/>
      <c r="BQ124" s="1647"/>
      <c r="BR124" s="1647"/>
      <c r="BS124" s="1647"/>
      <c r="BT124" s="1647"/>
      <c r="BU124" s="1647"/>
      <c r="BV124" s="1647"/>
      <c r="BW124" s="495"/>
      <c r="BX124" s="1647" t="s">
        <v>745</v>
      </c>
      <c r="BY124" s="1647"/>
      <c r="BZ124" s="1647"/>
      <c r="CA124" s="1647"/>
      <c r="CB124" s="1647"/>
      <c r="CC124" s="1647"/>
      <c r="CD124" s="1647"/>
      <c r="CE124" s="1647"/>
      <c r="CF124" s="1647"/>
      <c r="CG124" s="1647"/>
      <c r="CH124" s="1647"/>
      <c r="CI124" s="1647"/>
      <c r="CJ124" s="495"/>
      <c r="CK124" s="1647" t="s">
        <v>940</v>
      </c>
      <c r="CL124" s="1647"/>
      <c r="CM124" s="1647"/>
      <c r="CN124" s="1647"/>
      <c r="CO124" s="1647"/>
      <c r="CP124" s="1647"/>
      <c r="CQ124" s="1647"/>
      <c r="CR124" s="1647"/>
      <c r="CS124" s="1647"/>
      <c r="CT124" s="1647"/>
      <c r="CU124" s="1647"/>
      <c r="CV124" s="1647"/>
      <c r="CW124" s="495"/>
      <c r="CX124" s="1647" t="s">
        <v>949</v>
      </c>
      <c r="CY124" s="1647"/>
      <c r="CZ124" s="1647"/>
      <c r="DA124" s="1647"/>
      <c r="DB124" s="1647"/>
      <c r="DC124" s="1647"/>
      <c r="DD124" s="1647"/>
      <c r="DE124" s="1647"/>
      <c r="DF124" s="1647"/>
      <c r="DG124" s="1647"/>
      <c r="DH124" s="1647"/>
      <c r="DI124" s="1647"/>
      <c r="DJ124" s="495"/>
      <c r="DK124" s="1666" t="s">
        <v>746</v>
      </c>
      <c r="DL124" s="1664"/>
      <c r="DM124" s="1664"/>
      <c r="DN124" s="1664"/>
      <c r="DO124" s="1664"/>
      <c r="DP124" s="1664"/>
      <c r="DQ124" s="1664"/>
      <c r="DR124" s="1664"/>
      <c r="DS124" s="1664"/>
      <c r="DT124" s="1664"/>
      <c r="DU124" s="1664"/>
      <c r="DV124" s="1665"/>
    </row>
    <row r="125" spans="2:126" s="430" customFormat="1" ht="28.5" customHeight="1" x14ac:dyDescent="0.2">
      <c r="B125" s="1039"/>
      <c r="C125" s="1648" t="str">
        <f t="shared" si="8"/>
        <v/>
      </c>
      <c r="D125" s="1648"/>
      <c r="E125" s="1648"/>
      <c r="F125" s="1648"/>
      <c r="G125" s="1648"/>
      <c r="H125" s="1648"/>
      <c r="I125" s="1648"/>
      <c r="J125" s="1648"/>
      <c r="K125" s="1648"/>
      <c r="L125" s="1648"/>
      <c r="M125" s="1648"/>
      <c r="N125" s="1648"/>
      <c r="O125" s="1648"/>
      <c r="P125" s="1648"/>
      <c r="Q125" s="1648"/>
      <c r="R125" s="1648"/>
      <c r="S125" s="1648"/>
      <c r="T125" s="1648"/>
      <c r="U125" s="1648"/>
      <c r="V125" s="1648"/>
      <c r="W125" s="1648"/>
      <c r="X125" s="1648"/>
      <c r="Y125" s="1648"/>
      <c r="Z125" s="1648"/>
      <c r="AA125" s="1648"/>
      <c r="AB125" s="1648"/>
      <c r="AC125" s="1648"/>
      <c r="AD125" s="1648"/>
      <c r="AE125" s="1648"/>
      <c r="AF125" s="1648"/>
      <c r="AG125" s="1648"/>
      <c r="AH125" s="1648"/>
      <c r="AI125" s="1648"/>
      <c r="AJ125" s="1648"/>
      <c r="AK125" s="1648"/>
      <c r="AL125" s="1648"/>
      <c r="AM125" s="1648"/>
      <c r="AN125" s="1648"/>
      <c r="AO125" s="1648"/>
      <c r="AP125" s="1648"/>
      <c r="AQ125" s="1648"/>
      <c r="AR125" s="1648"/>
      <c r="AS125" s="1648"/>
      <c r="AT125" s="1648"/>
      <c r="AU125" s="1648"/>
      <c r="AV125" s="1648"/>
      <c r="AW125" s="1648"/>
      <c r="AX125" s="1648"/>
      <c r="AY125" s="1648"/>
      <c r="AZ125" s="1648"/>
      <c r="BA125" s="1648"/>
      <c r="BB125" s="1648"/>
      <c r="BC125" s="1648"/>
      <c r="BD125" s="1648"/>
      <c r="BE125" s="1648"/>
      <c r="BF125" s="1648"/>
      <c r="BG125" s="428"/>
      <c r="BH125" s="431"/>
      <c r="BI125" s="498"/>
      <c r="BJ125" s="495"/>
      <c r="BK125" s="1647" t="str">
        <f>+""</f>
        <v/>
      </c>
      <c r="BL125" s="1647"/>
      <c r="BM125" s="1647"/>
      <c r="BN125" s="1647"/>
      <c r="BO125" s="1647"/>
      <c r="BP125" s="1647"/>
      <c r="BQ125" s="1647"/>
      <c r="BR125" s="1647"/>
      <c r="BS125" s="1647"/>
      <c r="BT125" s="1647"/>
      <c r="BU125" s="1647"/>
      <c r="BV125" s="1647"/>
      <c r="BW125" s="495"/>
      <c r="BX125" s="1669" t="s">
        <v>746</v>
      </c>
      <c r="BY125" s="1647"/>
      <c r="BZ125" s="1647"/>
      <c r="CA125" s="1647"/>
      <c r="CB125" s="1647"/>
      <c r="CC125" s="1647"/>
      <c r="CD125" s="1647"/>
      <c r="CE125" s="1647"/>
      <c r="CF125" s="1647"/>
      <c r="CG125" s="1647"/>
      <c r="CH125" s="1647"/>
      <c r="CI125" s="1647"/>
      <c r="CJ125" s="495"/>
      <c r="CK125" s="1647" t="s">
        <v>941</v>
      </c>
      <c r="CL125" s="1647"/>
      <c r="CM125" s="1647"/>
      <c r="CN125" s="1647"/>
      <c r="CO125" s="1647"/>
      <c r="CP125" s="1647"/>
      <c r="CQ125" s="1647"/>
      <c r="CR125" s="1647"/>
      <c r="CS125" s="1647"/>
      <c r="CT125" s="1647"/>
      <c r="CU125" s="1647"/>
      <c r="CV125" s="1647"/>
      <c r="CW125" s="495"/>
      <c r="CX125" s="1647" t="s">
        <v>950</v>
      </c>
      <c r="CY125" s="1647"/>
      <c r="CZ125" s="1647"/>
      <c r="DA125" s="1647"/>
      <c r="DB125" s="1647"/>
      <c r="DC125" s="1647"/>
      <c r="DD125" s="1647"/>
      <c r="DE125" s="1647"/>
      <c r="DF125" s="1647"/>
      <c r="DG125" s="1647"/>
      <c r="DH125" s="1647"/>
      <c r="DI125" s="1647"/>
      <c r="DJ125" s="495"/>
      <c r="DK125" s="1664" t="s">
        <v>762</v>
      </c>
      <c r="DL125" s="1664"/>
      <c r="DM125" s="1664"/>
      <c r="DN125" s="1664"/>
      <c r="DO125" s="1664"/>
      <c r="DP125" s="1664"/>
      <c r="DQ125" s="1664"/>
      <c r="DR125" s="1664"/>
      <c r="DS125" s="1664"/>
      <c r="DT125" s="1664"/>
      <c r="DU125" s="1664"/>
      <c r="DV125" s="1665"/>
    </row>
    <row r="126" spans="2:126" s="430" customFormat="1" ht="24" customHeight="1" x14ac:dyDescent="0.2">
      <c r="B126" s="432"/>
      <c r="C126" s="1648" t="str">
        <f t="shared" si="8"/>
        <v/>
      </c>
      <c r="D126" s="1648"/>
      <c r="E126" s="1648"/>
      <c r="F126" s="1648"/>
      <c r="G126" s="1648"/>
      <c r="H126" s="1648"/>
      <c r="I126" s="1648"/>
      <c r="J126" s="1648"/>
      <c r="K126" s="1648"/>
      <c r="L126" s="1648"/>
      <c r="M126" s="1648"/>
      <c r="N126" s="1648"/>
      <c r="O126" s="1648"/>
      <c r="P126" s="1648"/>
      <c r="Q126" s="1648"/>
      <c r="R126" s="1648"/>
      <c r="S126" s="1648"/>
      <c r="T126" s="1648"/>
      <c r="U126" s="1648"/>
      <c r="V126" s="1648"/>
      <c r="W126" s="1648"/>
      <c r="X126" s="1648"/>
      <c r="Y126" s="1648"/>
      <c r="Z126" s="1648"/>
      <c r="AA126" s="1648"/>
      <c r="AB126" s="1648"/>
      <c r="AC126" s="1648"/>
      <c r="AD126" s="1648"/>
      <c r="AE126" s="1648"/>
      <c r="AF126" s="1648"/>
      <c r="AG126" s="1648"/>
      <c r="AH126" s="1648"/>
      <c r="AI126" s="1648"/>
      <c r="AJ126" s="1648"/>
      <c r="AK126" s="1648"/>
      <c r="AL126" s="1648"/>
      <c r="AM126" s="1648"/>
      <c r="AN126" s="1648"/>
      <c r="AO126" s="1648"/>
      <c r="AP126" s="1648"/>
      <c r="AQ126" s="1648"/>
      <c r="AR126" s="1648"/>
      <c r="AS126" s="1648"/>
      <c r="AT126" s="1648"/>
      <c r="AU126" s="1648"/>
      <c r="AV126" s="1648"/>
      <c r="AW126" s="1648"/>
      <c r="AX126" s="1648"/>
      <c r="AY126" s="1648"/>
      <c r="AZ126" s="1648"/>
      <c r="BA126" s="1648"/>
      <c r="BB126" s="1648"/>
      <c r="BC126" s="1648"/>
      <c r="BD126" s="1648"/>
      <c r="BE126" s="1648"/>
      <c r="BF126" s="1648"/>
      <c r="BG126" s="428"/>
      <c r="BH126" s="431"/>
      <c r="BI126" s="498"/>
      <c r="BJ126" s="495"/>
      <c r="BK126" s="1647" t="str">
        <f>+""</f>
        <v/>
      </c>
      <c r="BL126" s="1647"/>
      <c r="BM126" s="1647"/>
      <c r="BN126" s="1647"/>
      <c r="BO126" s="1647"/>
      <c r="BP126" s="1647"/>
      <c r="BQ126" s="1647"/>
      <c r="BR126" s="1647"/>
      <c r="BS126" s="1647"/>
      <c r="BT126" s="1647"/>
      <c r="BU126" s="1647"/>
      <c r="BV126" s="1647"/>
      <c r="BW126" s="495"/>
      <c r="BX126" s="1647" t="s">
        <v>747</v>
      </c>
      <c r="BY126" s="1647"/>
      <c r="BZ126" s="1647"/>
      <c r="CA126" s="1647"/>
      <c r="CB126" s="1647"/>
      <c r="CC126" s="1647"/>
      <c r="CD126" s="1647"/>
      <c r="CE126" s="1647"/>
      <c r="CF126" s="1647"/>
      <c r="CG126" s="1647"/>
      <c r="CH126" s="1647"/>
      <c r="CI126" s="1647"/>
      <c r="CJ126" s="495"/>
      <c r="CK126" s="1647" t="s">
        <v>942</v>
      </c>
      <c r="CL126" s="1647"/>
      <c r="CM126" s="1647"/>
      <c r="CN126" s="1647"/>
      <c r="CO126" s="1647"/>
      <c r="CP126" s="1647"/>
      <c r="CQ126" s="1647"/>
      <c r="CR126" s="1647"/>
      <c r="CS126" s="1647"/>
      <c r="CT126" s="1647"/>
      <c r="CU126" s="1647"/>
      <c r="CV126" s="1647"/>
      <c r="CW126" s="495"/>
      <c r="CX126" s="1647" t="s">
        <v>951</v>
      </c>
      <c r="CY126" s="1647"/>
      <c r="CZ126" s="1647"/>
      <c r="DA126" s="1647"/>
      <c r="DB126" s="1647"/>
      <c r="DC126" s="1647"/>
      <c r="DD126" s="1647"/>
      <c r="DE126" s="1647"/>
      <c r="DF126" s="1647"/>
      <c r="DG126" s="1647"/>
      <c r="DH126" s="1647"/>
      <c r="DI126" s="1647"/>
      <c r="DJ126" s="495"/>
      <c r="DK126" s="1667" t="s">
        <v>751</v>
      </c>
      <c r="DL126" s="1667"/>
      <c r="DM126" s="1667"/>
      <c r="DN126" s="1667"/>
      <c r="DO126" s="1667"/>
      <c r="DP126" s="1667"/>
      <c r="DQ126" s="1667"/>
      <c r="DR126" s="1667"/>
      <c r="DS126" s="1667"/>
      <c r="DT126" s="1667"/>
      <c r="DU126" s="1667"/>
      <c r="DV126" s="1668"/>
    </row>
    <row r="127" spans="2:126" s="430" customFormat="1" ht="32.25" customHeight="1" x14ac:dyDescent="0.2">
      <c r="B127" s="432"/>
      <c r="C127" s="1648" t="str">
        <f t="shared" si="8"/>
        <v/>
      </c>
      <c r="D127" s="1648"/>
      <c r="E127" s="1648"/>
      <c r="F127" s="1648"/>
      <c r="G127" s="1648"/>
      <c r="H127" s="1648"/>
      <c r="I127" s="1648"/>
      <c r="J127" s="1648"/>
      <c r="K127" s="1648"/>
      <c r="L127" s="1648"/>
      <c r="M127" s="1648"/>
      <c r="N127" s="1648"/>
      <c r="O127" s="1648"/>
      <c r="P127" s="1648"/>
      <c r="Q127" s="1648"/>
      <c r="R127" s="1648"/>
      <c r="S127" s="1648"/>
      <c r="T127" s="1648"/>
      <c r="U127" s="1648"/>
      <c r="V127" s="1648"/>
      <c r="W127" s="1648"/>
      <c r="X127" s="1648"/>
      <c r="Y127" s="1648"/>
      <c r="Z127" s="1648"/>
      <c r="AA127" s="1648"/>
      <c r="AB127" s="1648"/>
      <c r="AC127" s="1648"/>
      <c r="AD127" s="1648"/>
      <c r="AE127" s="1648"/>
      <c r="AF127" s="1648"/>
      <c r="AG127" s="1648"/>
      <c r="AH127" s="1648"/>
      <c r="AI127" s="1648"/>
      <c r="AJ127" s="1648"/>
      <c r="AK127" s="1648"/>
      <c r="AL127" s="1648"/>
      <c r="AM127" s="1648"/>
      <c r="AN127" s="1648"/>
      <c r="AO127" s="1648"/>
      <c r="AP127" s="1648"/>
      <c r="AQ127" s="1648"/>
      <c r="AR127" s="1648"/>
      <c r="AS127" s="1648"/>
      <c r="AT127" s="1648"/>
      <c r="AU127" s="1648"/>
      <c r="AV127" s="1648"/>
      <c r="AW127" s="1648"/>
      <c r="AX127" s="1648"/>
      <c r="AY127" s="1648"/>
      <c r="AZ127" s="1648"/>
      <c r="BA127" s="1648"/>
      <c r="BB127" s="1648"/>
      <c r="BC127" s="1648"/>
      <c r="BD127" s="1648"/>
      <c r="BE127" s="1648"/>
      <c r="BF127" s="1648"/>
      <c r="BG127" s="428"/>
      <c r="BH127" s="431"/>
      <c r="BI127" s="498"/>
      <c r="BJ127" s="495"/>
      <c r="BK127" s="1647" t="str">
        <f>+""</f>
        <v/>
      </c>
      <c r="BL127" s="1647"/>
      <c r="BM127" s="1647"/>
      <c r="BN127" s="1647"/>
      <c r="BO127" s="1647"/>
      <c r="BP127" s="1647"/>
      <c r="BQ127" s="1647"/>
      <c r="BR127" s="1647"/>
      <c r="BS127" s="1647"/>
      <c r="BT127" s="1647"/>
      <c r="BU127" s="1647"/>
      <c r="BV127" s="1647"/>
      <c r="BW127" s="495"/>
      <c r="BX127" s="1647" t="s">
        <v>748</v>
      </c>
      <c r="BY127" s="1647"/>
      <c r="BZ127" s="1647"/>
      <c r="CA127" s="1647"/>
      <c r="CB127" s="1647"/>
      <c r="CC127" s="1647"/>
      <c r="CD127" s="1647"/>
      <c r="CE127" s="1647"/>
      <c r="CF127" s="1647"/>
      <c r="CG127" s="1647"/>
      <c r="CH127" s="1647"/>
      <c r="CI127" s="1647"/>
      <c r="CJ127" s="495"/>
      <c r="CK127" s="1647" t="s">
        <v>943</v>
      </c>
      <c r="CL127" s="1647"/>
      <c r="CM127" s="1647"/>
      <c r="CN127" s="1647"/>
      <c r="CO127" s="1647"/>
      <c r="CP127" s="1647"/>
      <c r="CQ127" s="1647"/>
      <c r="CR127" s="1647"/>
      <c r="CS127" s="1647"/>
      <c r="CT127" s="1647"/>
      <c r="CU127" s="1647"/>
      <c r="CV127" s="1647"/>
      <c r="CW127" s="495"/>
      <c r="CX127" s="1647" t="s">
        <v>952</v>
      </c>
      <c r="CY127" s="1647"/>
      <c r="CZ127" s="1647"/>
      <c r="DA127" s="1647"/>
      <c r="DB127" s="1647"/>
      <c r="DC127" s="1647"/>
      <c r="DD127" s="1647"/>
      <c r="DE127" s="1647"/>
      <c r="DF127" s="1647"/>
      <c r="DG127" s="1647"/>
      <c r="DH127" s="1647"/>
      <c r="DI127" s="1647"/>
      <c r="DJ127" s="495"/>
      <c r="DK127" s="1664" t="s">
        <v>764</v>
      </c>
      <c r="DL127" s="1664"/>
      <c r="DM127" s="1664"/>
      <c r="DN127" s="1664"/>
      <c r="DO127" s="1664"/>
      <c r="DP127" s="1664"/>
      <c r="DQ127" s="1664"/>
      <c r="DR127" s="1664"/>
      <c r="DS127" s="1664"/>
      <c r="DT127" s="1664"/>
      <c r="DU127" s="1664"/>
      <c r="DV127" s="1665"/>
    </row>
    <row r="128" spans="2:126" ht="85.5" customHeight="1" x14ac:dyDescent="0.15">
      <c r="B128" s="432" t="s">
        <v>884</v>
      </c>
      <c r="C128" s="1648" t="str">
        <f t="shared" si="8"/>
        <v/>
      </c>
      <c r="D128" s="1648"/>
      <c r="E128" s="1648"/>
      <c r="F128" s="1648"/>
      <c r="G128" s="1648"/>
      <c r="H128" s="1648"/>
      <c r="I128" s="1648"/>
      <c r="J128" s="1648"/>
      <c r="K128" s="1648"/>
      <c r="L128" s="1648"/>
      <c r="M128" s="1648"/>
      <c r="N128" s="1648"/>
      <c r="O128" s="1648"/>
      <c r="P128" s="1648"/>
      <c r="Q128" s="1648"/>
      <c r="R128" s="1648"/>
      <c r="S128" s="1648"/>
      <c r="T128" s="1648"/>
      <c r="U128" s="1648"/>
      <c r="V128" s="1648"/>
      <c r="W128" s="1648"/>
      <c r="X128" s="1648"/>
      <c r="Y128" s="1648"/>
      <c r="Z128" s="1648"/>
      <c r="AA128" s="1648"/>
      <c r="AB128" s="1648"/>
      <c r="AC128" s="1648"/>
      <c r="AD128" s="1648"/>
      <c r="AE128" s="1648"/>
      <c r="AF128" s="1648"/>
      <c r="AG128" s="1648"/>
      <c r="AH128" s="1648"/>
      <c r="AI128" s="1648"/>
      <c r="AJ128" s="1648"/>
      <c r="AK128" s="1648"/>
      <c r="AL128" s="1648"/>
      <c r="AM128" s="1648"/>
      <c r="AN128" s="1648"/>
      <c r="AO128" s="1648"/>
      <c r="AP128" s="1648"/>
      <c r="AQ128" s="1648"/>
      <c r="AR128" s="1648"/>
      <c r="AS128" s="1648"/>
      <c r="AT128" s="1648"/>
      <c r="AU128" s="1648"/>
      <c r="AV128" s="1648"/>
      <c r="AW128" s="1648"/>
      <c r="AX128" s="1648"/>
      <c r="AY128" s="1648"/>
      <c r="AZ128" s="1648"/>
      <c r="BA128" s="1648"/>
      <c r="BB128" s="1648"/>
      <c r="BC128" s="1648"/>
      <c r="BD128" s="1648"/>
      <c r="BE128" s="1648"/>
      <c r="BF128" s="1648"/>
      <c r="BG128" s="314"/>
      <c r="BH128" s="259"/>
      <c r="BI128" s="487"/>
      <c r="BJ128" s="252"/>
      <c r="BK128" s="1644" t="str">
        <f>+""</f>
        <v/>
      </c>
      <c r="BL128" s="1644"/>
      <c r="BM128" s="1644"/>
      <c r="BN128" s="1644"/>
      <c r="BO128" s="1644"/>
      <c r="BP128" s="1644"/>
      <c r="BQ128" s="1644"/>
      <c r="BR128" s="1644"/>
      <c r="BS128" s="1644"/>
      <c r="BT128" s="1644"/>
      <c r="BU128" s="1644"/>
      <c r="BV128" s="1644"/>
      <c r="BW128" s="252"/>
      <c r="BX128" s="1644" t="s">
        <v>749</v>
      </c>
      <c r="BY128" s="1644"/>
      <c r="BZ128" s="1644"/>
      <c r="CA128" s="1644"/>
      <c r="CB128" s="1644"/>
      <c r="CC128" s="1644"/>
      <c r="CD128" s="1644"/>
      <c r="CE128" s="1644"/>
      <c r="CF128" s="1644"/>
      <c r="CG128" s="1644"/>
      <c r="CH128" s="1644"/>
      <c r="CI128" s="1644"/>
      <c r="CJ128" s="252"/>
      <c r="CK128" s="1644" t="s">
        <v>944</v>
      </c>
      <c r="CL128" s="1644"/>
      <c r="CM128" s="1644"/>
      <c r="CN128" s="1644"/>
      <c r="CO128" s="1644"/>
      <c r="CP128" s="1644"/>
      <c r="CQ128" s="1644"/>
      <c r="CR128" s="1644"/>
      <c r="CS128" s="1644"/>
      <c r="CT128" s="1644"/>
      <c r="CU128" s="1644"/>
      <c r="CV128" s="1644"/>
      <c r="CW128" s="252"/>
      <c r="CX128" s="1644" t="s">
        <v>953</v>
      </c>
      <c r="CY128" s="1644"/>
      <c r="CZ128" s="1644"/>
      <c r="DA128" s="1644"/>
      <c r="DB128" s="1644"/>
      <c r="DC128" s="1644"/>
      <c r="DD128" s="1644"/>
      <c r="DE128" s="1644"/>
      <c r="DF128" s="1644"/>
      <c r="DG128" s="1644"/>
      <c r="DH128" s="1644"/>
      <c r="DI128" s="1644"/>
      <c r="DJ128" s="252"/>
      <c r="DK128" s="1658" t="s">
        <v>765</v>
      </c>
      <c r="DL128" s="1646"/>
      <c r="DM128" s="1646"/>
      <c r="DN128" s="1646"/>
      <c r="DO128" s="1646"/>
      <c r="DP128" s="1646"/>
      <c r="DQ128" s="1646"/>
      <c r="DR128" s="1646"/>
      <c r="DS128" s="1646"/>
      <c r="DT128" s="1646"/>
      <c r="DU128" s="1646"/>
      <c r="DV128" s="1653"/>
    </row>
    <row r="129" spans="2:126" ht="71.25" customHeight="1" x14ac:dyDescent="0.15">
      <c r="B129" s="432"/>
      <c r="C129" s="1648" t="str">
        <f t="shared" si="8"/>
        <v/>
      </c>
      <c r="D129" s="1648"/>
      <c r="E129" s="1648"/>
      <c r="F129" s="1648"/>
      <c r="G129" s="1648"/>
      <c r="H129" s="1648"/>
      <c r="I129" s="1648"/>
      <c r="J129" s="1648"/>
      <c r="K129" s="1648"/>
      <c r="L129" s="1648"/>
      <c r="M129" s="1648"/>
      <c r="N129" s="1648"/>
      <c r="O129" s="1648"/>
      <c r="P129" s="1648"/>
      <c r="Q129" s="1648"/>
      <c r="R129" s="1648"/>
      <c r="S129" s="1648"/>
      <c r="T129" s="1648"/>
      <c r="U129" s="1648"/>
      <c r="V129" s="1648"/>
      <c r="W129" s="1648"/>
      <c r="X129" s="1648"/>
      <c r="Y129" s="1648"/>
      <c r="Z129" s="1648"/>
      <c r="AA129" s="1648"/>
      <c r="AB129" s="1648"/>
      <c r="AC129" s="1648"/>
      <c r="AD129" s="1648"/>
      <c r="AE129" s="1648"/>
      <c r="AF129" s="1648"/>
      <c r="AG129" s="1648"/>
      <c r="AH129" s="1648"/>
      <c r="AI129" s="1648"/>
      <c r="AJ129" s="1648"/>
      <c r="AK129" s="1648"/>
      <c r="AL129" s="1648"/>
      <c r="AM129" s="1648"/>
      <c r="AN129" s="1648"/>
      <c r="AO129" s="1648"/>
      <c r="AP129" s="1648"/>
      <c r="AQ129" s="1648"/>
      <c r="AR129" s="1648"/>
      <c r="AS129" s="1648"/>
      <c r="AT129" s="1648"/>
      <c r="AU129" s="1648"/>
      <c r="AV129" s="1648"/>
      <c r="AW129" s="1648"/>
      <c r="AX129" s="1648"/>
      <c r="AY129" s="1648"/>
      <c r="AZ129" s="1648"/>
      <c r="BA129" s="1648"/>
      <c r="BB129" s="1648"/>
      <c r="BC129" s="1648"/>
      <c r="BD129" s="1648"/>
      <c r="BE129" s="1648"/>
      <c r="BF129" s="1648"/>
      <c r="BG129" s="314"/>
      <c r="BH129" s="259"/>
      <c r="BI129" s="487"/>
      <c r="BJ129" s="252"/>
      <c r="BK129" s="1644" t="str">
        <f>+""</f>
        <v/>
      </c>
      <c r="BL129" s="1644"/>
      <c r="BM129" s="1644"/>
      <c r="BN129" s="1644"/>
      <c r="BO129" s="1644"/>
      <c r="BP129" s="1644"/>
      <c r="BQ129" s="1644"/>
      <c r="BR129" s="1644"/>
      <c r="BS129" s="1644"/>
      <c r="BT129" s="1644"/>
      <c r="BU129" s="1644"/>
      <c r="BV129" s="1644"/>
      <c r="BW129" s="252"/>
      <c r="BX129" s="1655" t="s">
        <v>750</v>
      </c>
      <c r="BY129" s="1644"/>
      <c r="BZ129" s="1644"/>
      <c r="CA129" s="1644"/>
      <c r="CB129" s="1644"/>
      <c r="CC129" s="1644"/>
      <c r="CD129" s="1644"/>
      <c r="CE129" s="1644"/>
      <c r="CF129" s="1644"/>
      <c r="CG129" s="1644"/>
      <c r="CH129" s="1644"/>
      <c r="CI129" s="1644"/>
      <c r="CJ129" s="252"/>
      <c r="CK129" s="1655" t="s">
        <v>946</v>
      </c>
      <c r="CL129" s="1644"/>
      <c r="CM129" s="1644"/>
      <c r="CN129" s="1644"/>
      <c r="CO129" s="1644"/>
      <c r="CP129" s="1644"/>
      <c r="CQ129" s="1644"/>
      <c r="CR129" s="1644"/>
      <c r="CS129" s="1644"/>
      <c r="CT129" s="1644"/>
      <c r="CU129" s="1644"/>
      <c r="CV129" s="1644"/>
      <c r="CW129" s="252"/>
      <c r="CX129" s="1644" t="str">
        <f>+""</f>
        <v/>
      </c>
      <c r="CY129" s="1644"/>
      <c r="CZ129" s="1644"/>
      <c r="DA129" s="1644"/>
      <c r="DB129" s="1644"/>
      <c r="DC129" s="1644"/>
      <c r="DD129" s="1644"/>
      <c r="DE129" s="1644"/>
      <c r="DF129" s="1644"/>
      <c r="DG129" s="1644"/>
      <c r="DH129" s="1644"/>
      <c r="DI129" s="1644"/>
      <c r="DJ129" s="252"/>
      <c r="DK129" s="1658" t="s">
        <v>766</v>
      </c>
      <c r="DL129" s="1646"/>
      <c r="DM129" s="1646"/>
      <c r="DN129" s="1646"/>
      <c r="DO129" s="1646"/>
      <c r="DP129" s="1646"/>
      <c r="DQ129" s="1646"/>
      <c r="DR129" s="1646"/>
      <c r="DS129" s="1646"/>
      <c r="DT129" s="1646"/>
      <c r="DU129" s="1646"/>
      <c r="DV129" s="1653"/>
    </row>
    <row r="130" spans="2:126" ht="65.25" customHeight="1" x14ac:dyDescent="0.15">
      <c r="B130" s="432"/>
      <c r="C130" s="1648" t="str">
        <f t="shared" si="8"/>
        <v/>
      </c>
      <c r="D130" s="1648"/>
      <c r="E130" s="1648"/>
      <c r="F130" s="1648"/>
      <c r="G130" s="1648"/>
      <c r="H130" s="1648"/>
      <c r="I130" s="1648"/>
      <c r="J130" s="1648"/>
      <c r="K130" s="1648"/>
      <c r="L130" s="1648"/>
      <c r="M130" s="1648"/>
      <c r="N130" s="1648"/>
      <c r="O130" s="1648"/>
      <c r="P130" s="1648"/>
      <c r="Q130" s="1648"/>
      <c r="R130" s="1648"/>
      <c r="S130" s="1648"/>
      <c r="T130" s="1648"/>
      <c r="U130" s="1648"/>
      <c r="V130" s="1648"/>
      <c r="W130" s="1648"/>
      <c r="X130" s="1648"/>
      <c r="Y130" s="1648"/>
      <c r="Z130" s="1648"/>
      <c r="AA130" s="1648"/>
      <c r="AB130" s="1648"/>
      <c r="AC130" s="1648"/>
      <c r="AD130" s="1648"/>
      <c r="AE130" s="1648"/>
      <c r="AF130" s="1648"/>
      <c r="AG130" s="1648"/>
      <c r="AH130" s="1648"/>
      <c r="AI130" s="1648"/>
      <c r="AJ130" s="1648"/>
      <c r="AK130" s="1648"/>
      <c r="AL130" s="1648"/>
      <c r="AM130" s="1648"/>
      <c r="AN130" s="1648"/>
      <c r="AO130" s="1648"/>
      <c r="AP130" s="1648"/>
      <c r="AQ130" s="1648"/>
      <c r="AR130" s="1648"/>
      <c r="AS130" s="1648"/>
      <c r="AT130" s="1648"/>
      <c r="AU130" s="1648"/>
      <c r="AV130" s="1648"/>
      <c r="AW130" s="1648"/>
      <c r="AX130" s="1648"/>
      <c r="AY130" s="1648"/>
      <c r="AZ130" s="1648"/>
      <c r="BA130" s="1648"/>
      <c r="BB130" s="1648"/>
      <c r="BC130" s="1648"/>
      <c r="BD130" s="1648"/>
      <c r="BE130" s="1648"/>
      <c r="BF130" s="1648"/>
      <c r="BG130" s="314"/>
      <c r="BH130" s="259"/>
      <c r="BI130" s="487"/>
      <c r="BJ130" s="252"/>
      <c r="BK130" s="1644" t="str">
        <f>+""</f>
        <v/>
      </c>
      <c r="BL130" s="1644"/>
      <c r="BM130" s="1644"/>
      <c r="BN130" s="1644"/>
      <c r="BO130" s="1644"/>
      <c r="BP130" s="1644"/>
      <c r="BQ130" s="1644"/>
      <c r="BR130" s="1644"/>
      <c r="BS130" s="1644"/>
      <c r="BT130" s="1644"/>
      <c r="BU130" s="1644"/>
      <c r="BV130" s="1644"/>
      <c r="BW130" s="252"/>
      <c r="BX130" s="1654" t="s">
        <v>751</v>
      </c>
      <c r="BY130" s="1654"/>
      <c r="BZ130" s="1654"/>
      <c r="CA130" s="1654"/>
      <c r="CB130" s="1654"/>
      <c r="CC130" s="1654"/>
      <c r="CD130" s="1654"/>
      <c r="CE130" s="1654"/>
      <c r="CF130" s="1654"/>
      <c r="CG130" s="1654"/>
      <c r="CH130" s="1654"/>
      <c r="CI130" s="1654"/>
      <c r="CJ130" s="252"/>
      <c r="CK130" s="1655" t="s">
        <v>945</v>
      </c>
      <c r="CL130" s="1644"/>
      <c r="CM130" s="1644"/>
      <c r="CN130" s="1644"/>
      <c r="CO130" s="1644"/>
      <c r="CP130" s="1644"/>
      <c r="CQ130" s="1644"/>
      <c r="CR130" s="1644"/>
      <c r="CS130" s="1644"/>
      <c r="CT130" s="1644"/>
      <c r="CU130" s="1644"/>
      <c r="CV130" s="1644"/>
      <c r="CW130" s="252"/>
      <c r="CX130" s="1644" t="str">
        <f>+""</f>
        <v/>
      </c>
      <c r="CY130" s="1644"/>
      <c r="CZ130" s="1644"/>
      <c r="DA130" s="1644"/>
      <c r="DB130" s="1644"/>
      <c r="DC130" s="1644"/>
      <c r="DD130" s="1644"/>
      <c r="DE130" s="1644"/>
      <c r="DF130" s="1644"/>
      <c r="DG130" s="1644"/>
      <c r="DH130" s="1644"/>
      <c r="DI130" s="1644"/>
      <c r="DJ130" s="252"/>
      <c r="DK130" s="1646" t="str">
        <f>+""</f>
        <v/>
      </c>
      <c r="DL130" s="1646"/>
      <c r="DM130" s="1646"/>
      <c r="DN130" s="1646"/>
      <c r="DO130" s="1646"/>
      <c r="DP130" s="1646"/>
      <c r="DQ130" s="1646"/>
      <c r="DR130" s="1646"/>
      <c r="DS130" s="1646"/>
      <c r="DT130" s="1646"/>
      <c r="DU130" s="1646"/>
      <c r="DV130" s="1653"/>
    </row>
    <row r="131" spans="2:126" ht="29.25" customHeight="1" x14ac:dyDescent="0.15">
      <c r="B131" s="432"/>
      <c r="C131" s="1648" t="str">
        <f t="shared" si="7"/>
        <v/>
      </c>
      <c r="D131" s="1648"/>
      <c r="E131" s="1648"/>
      <c r="F131" s="1648"/>
      <c r="G131" s="1648"/>
      <c r="H131" s="1648"/>
      <c r="I131" s="1648"/>
      <c r="J131" s="1648"/>
      <c r="K131" s="1648"/>
      <c r="L131" s="1648"/>
      <c r="M131" s="1648"/>
      <c r="N131" s="1648"/>
      <c r="O131" s="1648"/>
      <c r="P131" s="1648"/>
      <c r="Q131" s="1648"/>
      <c r="R131" s="1648"/>
      <c r="S131" s="1648"/>
      <c r="T131" s="1648"/>
      <c r="U131" s="1648"/>
      <c r="V131" s="1648"/>
      <c r="W131" s="1648"/>
      <c r="X131" s="1648"/>
      <c r="Y131" s="1648"/>
      <c r="Z131" s="1648"/>
      <c r="AA131" s="1648"/>
      <c r="AB131" s="1648"/>
      <c r="AC131" s="1648"/>
      <c r="AD131" s="1648"/>
      <c r="AE131" s="1648"/>
      <c r="AF131" s="1648"/>
      <c r="AG131" s="1648"/>
      <c r="AH131" s="1648"/>
      <c r="AI131" s="1648"/>
      <c r="AJ131" s="1648"/>
      <c r="AK131" s="1648"/>
      <c r="AL131" s="1648"/>
      <c r="AM131" s="1648"/>
      <c r="AN131" s="1648"/>
      <c r="AO131" s="1648"/>
      <c r="AP131" s="1648"/>
      <c r="AQ131" s="1648"/>
      <c r="AR131" s="1648"/>
      <c r="AS131" s="1648"/>
      <c r="AT131" s="1648"/>
      <c r="AU131" s="1648"/>
      <c r="AV131" s="1648"/>
      <c r="AW131" s="1648"/>
      <c r="AX131" s="1648"/>
      <c r="AY131" s="1648"/>
      <c r="AZ131" s="1648"/>
      <c r="BA131" s="1648"/>
      <c r="BB131" s="1648"/>
      <c r="BC131" s="1648"/>
      <c r="BD131" s="1648"/>
      <c r="BE131" s="1648"/>
      <c r="BF131" s="1648"/>
      <c r="BG131" s="314"/>
      <c r="BH131" s="259"/>
      <c r="BI131" s="487"/>
      <c r="BJ131" s="252"/>
      <c r="BK131" s="1644" t="str">
        <f>+""</f>
        <v/>
      </c>
      <c r="BL131" s="1644"/>
      <c r="BM131" s="1644"/>
      <c r="BN131" s="1644"/>
      <c r="BO131" s="1644"/>
      <c r="BP131" s="1644"/>
      <c r="BQ131" s="1644"/>
      <c r="BR131" s="1644"/>
      <c r="BS131" s="1644"/>
      <c r="BT131" s="1644"/>
      <c r="BU131" s="1644"/>
      <c r="BV131" s="1644"/>
      <c r="BW131" s="252"/>
      <c r="BX131" s="1644" t="s">
        <v>752</v>
      </c>
      <c r="BY131" s="1644"/>
      <c r="BZ131" s="1644"/>
      <c r="CA131" s="1644"/>
      <c r="CB131" s="1644"/>
      <c r="CC131" s="1644"/>
      <c r="CD131" s="1644"/>
      <c r="CE131" s="1644"/>
      <c r="CF131" s="1644"/>
      <c r="CG131" s="1644"/>
      <c r="CH131" s="1644"/>
      <c r="CI131" s="1644"/>
      <c r="CJ131" s="252"/>
      <c r="CK131" s="1644" t="str">
        <f>+""</f>
        <v/>
      </c>
      <c r="CL131" s="1644"/>
      <c r="CM131" s="1644"/>
      <c r="CN131" s="1644"/>
      <c r="CO131" s="1644"/>
      <c r="CP131" s="1644"/>
      <c r="CQ131" s="1644"/>
      <c r="CR131" s="1644"/>
      <c r="CS131" s="1644"/>
      <c r="CT131" s="1644"/>
      <c r="CU131" s="1644"/>
      <c r="CV131" s="1644"/>
      <c r="CW131" s="252"/>
      <c r="CX131" s="1644" t="str">
        <f>+""</f>
        <v/>
      </c>
      <c r="CY131" s="1644"/>
      <c r="CZ131" s="1644"/>
      <c r="DA131" s="1644"/>
      <c r="DB131" s="1644"/>
      <c r="DC131" s="1644"/>
      <c r="DD131" s="1644"/>
      <c r="DE131" s="1644"/>
      <c r="DF131" s="1644"/>
      <c r="DG131" s="1644"/>
      <c r="DH131" s="1644"/>
      <c r="DI131" s="1644"/>
      <c r="DJ131" s="252"/>
      <c r="DK131" s="1646" t="str">
        <f>+""</f>
        <v/>
      </c>
      <c r="DL131" s="1646"/>
      <c r="DM131" s="1646"/>
      <c r="DN131" s="1646"/>
      <c r="DO131" s="1646"/>
      <c r="DP131" s="1646"/>
      <c r="DQ131" s="1646"/>
      <c r="DR131" s="1646"/>
      <c r="DS131" s="1646"/>
      <c r="DT131" s="1646"/>
      <c r="DU131" s="1646"/>
      <c r="DV131" s="1653"/>
    </row>
    <row r="132" spans="2:126" ht="29.25" customHeight="1" x14ac:dyDescent="0.15">
      <c r="B132" s="432"/>
      <c r="C132" s="1648" t="str">
        <f t="shared" si="7"/>
        <v/>
      </c>
      <c r="D132" s="1648"/>
      <c r="E132" s="1648"/>
      <c r="F132" s="1648"/>
      <c r="G132" s="1648"/>
      <c r="H132" s="1648"/>
      <c r="I132" s="1648"/>
      <c r="J132" s="1648"/>
      <c r="K132" s="1648"/>
      <c r="L132" s="1648"/>
      <c r="M132" s="1648"/>
      <c r="N132" s="1648"/>
      <c r="O132" s="1648"/>
      <c r="P132" s="1648"/>
      <c r="Q132" s="1648"/>
      <c r="R132" s="1648"/>
      <c r="S132" s="1648"/>
      <c r="T132" s="1648"/>
      <c r="U132" s="1648"/>
      <c r="V132" s="1648"/>
      <c r="W132" s="1648"/>
      <c r="X132" s="1648"/>
      <c r="Y132" s="1648"/>
      <c r="Z132" s="1648"/>
      <c r="AA132" s="1648"/>
      <c r="AB132" s="1648"/>
      <c r="AC132" s="1648"/>
      <c r="AD132" s="1648"/>
      <c r="AE132" s="1648"/>
      <c r="AF132" s="1648"/>
      <c r="AG132" s="1648"/>
      <c r="AH132" s="1648"/>
      <c r="AI132" s="1648"/>
      <c r="AJ132" s="1648"/>
      <c r="AK132" s="1648"/>
      <c r="AL132" s="1648"/>
      <c r="AM132" s="1648"/>
      <c r="AN132" s="1648"/>
      <c r="AO132" s="1648"/>
      <c r="AP132" s="1648"/>
      <c r="AQ132" s="1648"/>
      <c r="AR132" s="1648"/>
      <c r="AS132" s="1648"/>
      <c r="AT132" s="1648"/>
      <c r="AU132" s="1648"/>
      <c r="AV132" s="1648"/>
      <c r="AW132" s="1648"/>
      <c r="AX132" s="1648"/>
      <c r="AY132" s="1648"/>
      <c r="AZ132" s="1648"/>
      <c r="BA132" s="1648"/>
      <c r="BB132" s="1648"/>
      <c r="BC132" s="1648"/>
      <c r="BD132" s="1648"/>
      <c r="BE132" s="1648"/>
      <c r="BF132" s="1648"/>
      <c r="BG132" s="314"/>
      <c r="BH132" s="259"/>
      <c r="BI132" s="487"/>
      <c r="BJ132" s="252"/>
      <c r="BK132" s="1644" t="str">
        <f>+""</f>
        <v/>
      </c>
      <c r="BL132" s="1644"/>
      <c r="BM132" s="1644"/>
      <c r="BN132" s="1644"/>
      <c r="BO132" s="1644"/>
      <c r="BP132" s="1644"/>
      <c r="BQ132" s="1644"/>
      <c r="BR132" s="1644"/>
      <c r="BS132" s="1644"/>
      <c r="BT132" s="1644"/>
      <c r="BU132" s="1644"/>
      <c r="BV132" s="1644"/>
      <c r="BW132" s="252"/>
      <c r="BX132" s="1644" t="s">
        <v>753</v>
      </c>
      <c r="BY132" s="1644"/>
      <c r="BZ132" s="1644"/>
      <c r="CA132" s="1644"/>
      <c r="CB132" s="1644"/>
      <c r="CC132" s="1644"/>
      <c r="CD132" s="1644"/>
      <c r="CE132" s="1644"/>
      <c r="CF132" s="1644"/>
      <c r="CG132" s="1644"/>
      <c r="CH132" s="1644"/>
      <c r="CI132" s="1644"/>
      <c r="CJ132" s="252"/>
      <c r="CK132" s="1644" t="str">
        <f>+""</f>
        <v/>
      </c>
      <c r="CL132" s="1644"/>
      <c r="CM132" s="1644"/>
      <c r="CN132" s="1644"/>
      <c r="CO132" s="1644"/>
      <c r="CP132" s="1644"/>
      <c r="CQ132" s="1644"/>
      <c r="CR132" s="1644"/>
      <c r="CS132" s="1644"/>
      <c r="CT132" s="1644"/>
      <c r="CU132" s="1644"/>
      <c r="CV132" s="1644"/>
      <c r="CW132" s="252"/>
      <c r="CX132" s="1644" t="str">
        <f>+""</f>
        <v/>
      </c>
      <c r="CY132" s="1644"/>
      <c r="CZ132" s="1644"/>
      <c r="DA132" s="1644"/>
      <c r="DB132" s="1644"/>
      <c r="DC132" s="1644"/>
      <c r="DD132" s="1644"/>
      <c r="DE132" s="1644"/>
      <c r="DF132" s="1644"/>
      <c r="DG132" s="1644"/>
      <c r="DH132" s="1644"/>
      <c r="DI132" s="1644"/>
      <c r="DJ132" s="252"/>
      <c r="DK132" s="1646" t="str">
        <f>+""</f>
        <v/>
      </c>
      <c r="DL132" s="1646"/>
      <c r="DM132" s="1646"/>
      <c r="DN132" s="1646"/>
      <c r="DO132" s="1646"/>
      <c r="DP132" s="1646"/>
      <c r="DQ132" s="1646"/>
      <c r="DR132" s="1646"/>
      <c r="DS132" s="1646"/>
      <c r="DT132" s="1646"/>
      <c r="DU132" s="1646"/>
      <c r="DV132" s="1653"/>
    </row>
    <row r="133" spans="2:126" ht="29.25" customHeight="1" x14ac:dyDescent="0.15">
      <c r="B133" s="1040"/>
      <c r="C133" s="1648" t="str">
        <f t="shared" si="7"/>
        <v/>
      </c>
      <c r="D133" s="1648"/>
      <c r="E133" s="1648"/>
      <c r="F133" s="1648"/>
      <c r="G133" s="1648"/>
      <c r="H133" s="1648"/>
      <c r="I133" s="1648"/>
      <c r="J133" s="1648"/>
      <c r="K133" s="1648"/>
      <c r="L133" s="1648"/>
      <c r="M133" s="1648"/>
      <c r="N133" s="1648"/>
      <c r="O133" s="1648"/>
      <c r="P133" s="1648"/>
      <c r="Q133" s="1648"/>
      <c r="R133" s="1648"/>
      <c r="S133" s="1648"/>
      <c r="T133" s="1648"/>
      <c r="U133" s="1648"/>
      <c r="V133" s="1648"/>
      <c r="W133" s="1648"/>
      <c r="X133" s="1648"/>
      <c r="Y133" s="1648"/>
      <c r="Z133" s="1648"/>
      <c r="AA133" s="1648"/>
      <c r="AB133" s="1648"/>
      <c r="AC133" s="1648"/>
      <c r="AD133" s="1648"/>
      <c r="AE133" s="1648"/>
      <c r="AF133" s="1648"/>
      <c r="AG133" s="1648"/>
      <c r="AH133" s="1648"/>
      <c r="AI133" s="1648"/>
      <c r="AJ133" s="1648"/>
      <c r="AK133" s="1648"/>
      <c r="AL133" s="1648"/>
      <c r="AM133" s="1648"/>
      <c r="AN133" s="1648"/>
      <c r="AO133" s="1648"/>
      <c r="AP133" s="1648"/>
      <c r="AQ133" s="1648"/>
      <c r="AR133" s="1648"/>
      <c r="AS133" s="1648"/>
      <c r="AT133" s="1648"/>
      <c r="AU133" s="1648"/>
      <c r="AV133" s="1648"/>
      <c r="AW133" s="1648"/>
      <c r="AX133" s="1648"/>
      <c r="AY133" s="1648"/>
      <c r="AZ133" s="1648"/>
      <c r="BA133" s="1648"/>
      <c r="BB133" s="1648"/>
      <c r="BC133" s="1648"/>
      <c r="BD133" s="1648"/>
      <c r="BE133" s="1648"/>
      <c r="BF133" s="1648"/>
      <c r="BG133" s="314"/>
      <c r="BH133" s="259"/>
      <c r="BI133" s="487"/>
      <c r="BJ133" s="252"/>
      <c r="BK133" s="1644" t="str">
        <f>+""</f>
        <v/>
      </c>
      <c r="BL133" s="1644"/>
      <c r="BM133" s="1644"/>
      <c r="BN133" s="1644"/>
      <c r="BO133" s="1644"/>
      <c r="BP133" s="1644"/>
      <c r="BQ133" s="1644"/>
      <c r="BR133" s="1644"/>
      <c r="BS133" s="1644"/>
      <c r="BT133" s="1644"/>
      <c r="BU133" s="1644"/>
      <c r="BV133" s="1644"/>
      <c r="BW133" s="252"/>
      <c r="BX133" s="1655" t="s">
        <v>754</v>
      </c>
      <c r="BY133" s="1644"/>
      <c r="BZ133" s="1644"/>
      <c r="CA133" s="1644"/>
      <c r="CB133" s="1644"/>
      <c r="CC133" s="1644"/>
      <c r="CD133" s="1644"/>
      <c r="CE133" s="1644"/>
      <c r="CF133" s="1644"/>
      <c r="CG133" s="1644"/>
      <c r="CH133" s="1644"/>
      <c r="CI133" s="1644"/>
      <c r="CJ133" s="252"/>
      <c r="CK133" s="1644" t="str">
        <f>+""</f>
        <v/>
      </c>
      <c r="CL133" s="1644"/>
      <c r="CM133" s="1644"/>
      <c r="CN133" s="1644"/>
      <c r="CO133" s="1644"/>
      <c r="CP133" s="1644"/>
      <c r="CQ133" s="1644"/>
      <c r="CR133" s="1644"/>
      <c r="CS133" s="1644"/>
      <c r="CT133" s="1644"/>
      <c r="CU133" s="1644"/>
      <c r="CV133" s="1644"/>
      <c r="CW133" s="252"/>
      <c r="CX133" s="1644" t="str">
        <f>+""</f>
        <v/>
      </c>
      <c r="CY133" s="1644"/>
      <c r="CZ133" s="1644"/>
      <c r="DA133" s="1644"/>
      <c r="DB133" s="1644"/>
      <c r="DC133" s="1644"/>
      <c r="DD133" s="1644"/>
      <c r="DE133" s="1644"/>
      <c r="DF133" s="1644"/>
      <c r="DG133" s="1644"/>
      <c r="DH133" s="1644"/>
      <c r="DI133" s="1644"/>
      <c r="DJ133" s="252"/>
      <c r="DK133" s="1646" t="str">
        <f>+""</f>
        <v/>
      </c>
      <c r="DL133" s="1646"/>
      <c r="DM133" s="1646"/>
      <c r="DN133" s="1646"/>
      <c r="DO133" s="1646"/>
      <c r="DP133" s="1646"/>
      <c r="DQ133" s="1646"/>
      <c r="DR133" s="1646"/>
      <c r="DS133" s="1646"/>
      <c r="DT133" s="1646"/>
      <c r="DU133" s="1646"/>
      <c r="DV133" s="1653"/>
    </row>
    <row r="134" spans="2:126" ht="29.25" customHeight="1" x14ac:dyDescent="0.15">
      <c r="B134" s="432" t="s">
        <v>884</v>
      </c>
      <c r="C134" s="1648" t="str">
        <f t="shared" si="7"/>
        <v/>
      </c>
      <c r="D134" s="1648"/>
      <c r="E134" s="1648"/>
      <c r="F134" s="1648"/>
      <c r="G134" s="1648"/>
      <c r="H134" s="1648"/>
      <c r="I134" s="1648"/>
      <c r="J134" s="1648"/>
      <c r="K134" s="1648"/>
      <c r="L134" s="1648"/>
      <c r="M134" s="1648"/>
      <c r="N134" s="1648"/>
      <c r="O134" s="1648"/>
      <c r="P134" s="1648"/>
      <c r="Q134" s="1648"/>
      <c r="R134" s="1648"/>
      <c r="S134" s="1648"/>
      <c r="T134" s="1648"/>
      <c r="U134" s="1648"/>
      <c r="V134" s="1648"/>
      <c r="W134" s="1648"/>
      <c r="X134" s="1648"/>
      <c r="Y134" s="1648"/>
      <c r="Z134" s="1648"/>
      <c r="AA134" s="1648"/>
      <c r="AB134" s="1648"/>
      <c r="AC134" s="1648"/>
      <c r="AD134" s="1648"/>
      <c r="AE134" s="1648"/>
      <c r="AF134" s="1648"/>
      <c r="AG134" s="1648"/>
      <c r="AH134" s="1648"/>
      <c r="AI134" s="1648"/>
      <c r="AJ134" s="1648"/>
      <c r="AK134" s="1648"/>
      <c r="AL134" s="1648"/>
      <c r="AM134" s="1648"/>
      <c r="AN134" s="1648"/>
      <c r="AO134" s="1648"/>
      <c r="AP134" s="1648"/>
      <c r="AQ134" s="1648"/>
      <c r="AR134" s="1648"/>
      <c r="AS134" s="1648"/>
      <c r="AT134" s="1648"/>
      <c r="AU134" s="1648"/>
      <c r="AV134" s="1648"/>
      <c r="AW134" s="1648"/>
      <c r="AX134" s="1648"/>
      <c r="AY134" s="1648"/>
      <c r="AZ134" s="1648"/>
      <c r="BA134" s="1648"/>
      <c r="BB134" s="1648"/>
      <c r="BC134" s="1648"/>
      <c r="BD134" s="1648"/>
      <c r="BE134" s="1648"/>
      <c r="BF134" s="1648"/>
      <c r="BG134" s="314"/>
      <c r="BH134" s="259"/>
      <c r="BI134" s="487"/>
      <c r="BJ134" s="252"/>
      <c r="BK134" s="1644" t="str">
        <f>+""</f>
        <v/>
      </c>
      <c r="BL134" s="1644"/>
      <c r="BM134" s="1644"/>
      <c r="BN134" s="1644"/>
      <c r="BO134" s="1644"/>
      <c r="BP134" s="1644"/>
      <c r="BQ134" s="1644"/>
      <c r="BR134" s="1644"/>
      <c r="BS134" s="1644"/>
      <c r="BT134" s="1644"/>
      <c r="BU134" s="1644"/>
      <c r="BV134" s="1644"/>
      <c r="BW134" s="252"/>
      <c r="BX134" s="1655" t="s">
        <v>755</v>
      </c>
      <c r="BY134" s="1644"/>
      <c r="BZ134" s="1644"/>
      <c r="CA134" s="1644"/>
      <c r="CB134" s="1644"/>
      <c r="CC134" s="1644"/>
      <c r="CD134" s="1644"/>
      <c r="CE134" s="1644"/>
      <c r="CF134" s="1644"/>
      <c r="CG134" s="1644"/>
      <c r="CH134" s="1644"/>
      <c r="CI134" s="1644"/>
      <c r="CJ134" s="252"/>
      <c r="CK134" s="1644" t="str">
        <f>+""</f>
        <v/>
      </c>
      <c r="CL134" s="1644"/>
      <c r="CM134" s="1644"/>
      <c r="CN134" s="1644"/>
      <c r="CO134" s="1644"/>
      <c r="CP134" s="1644"/>
      <c r="CQ134" s="1644"/>
      <c r="CR134" s="1644"/>
      <c r="CS134" s="1644"/>
      <c r="CT134" s="1644"/>
      <c r="CU134" s="1644"/>
      <c r="CV134" s="1644"/>
      <c r="CW134" s="252"/>
      <c r="CX134" s="1644" t="str">
        <f>+""</f>
        <v/>
      </c>
      <c r="CY134" s="1644"/>
      <c r="CZ134" s="1644"/>
      <c r="DA134" s="1644"/>
      <c r="DB134" s="1644"/>
      <c r="DC134" s="1644"/>
      <c r="DD134" s="1644"/>
      <c r="DE134" s="1644"/>
      <c r="DF134" s="1644"/>
      <c r="DG134" s="1644"/>
      <c r="DH134" s="1644"/>
      <c r="DI134" s="1644"/>
      <c r="DJ134" s="252"/>
      <c r="DK134" s="1646" t="str">
        <f>+""</f>
        <v/>
      </c>
      <c r="DL134" s="1646"/>
      <c r="DM134" s="1646"/>
      <c r="DN134" s="1646"/>
      <c r="DO134" s="1646"/>
      <c r="DP134" s="1646"/>
      <c r="DQ134" s="1646"/>
      <c r="DR134" s="1646"/>
      <c r="DS134" s="1646"/>
      <c r="DT134" s="1646"/>
      <c r="DU134" s="1646"/>
      <c r="DV134" s="1653"/>
    </row>
    <row r="135" spans="2:126" ht="29.25" customHeight="1" x14ac:dyDescent="0.15">
      <c r="B135" s="432"/>
      <c r="C135" s="1648" t="str">
        <f t="shared" si="7"/>
        <v/>
      </c>
      <c r="D135" s="1648"/>
      <c r="E135" s="1648"/>
      <c r="F135" s="1648"/>
      <c r="G135" s="1648"/>
      <c r="H135" s="1648"/>
      <c r="I135" s="1648"/>
      <c r="J135" s="1648"/>
      <c r="K135" s="1648"/>
      <c r="L135" s="1648"/>
      <c r="M135" s="1648"/>
      <c r="N135" s="1648"/>
      <c r="O135" s="1648"/>
      <c r="P135" s="1648"/>
      <c r="Q135" s="1648"/>
      <c r="R135" s="1648"/>
      <c r="S135" s="1648"/>
      <c r="T135" s="1648"/>
      <c r="U135" s="1648"/>
      <c r="V135" s="1648"/>
      <c r="W135" s="1648"/>
      <c r="X135" s="1648"/>
      <c r="Y135" s="1648"/>
      <c r="Z135" s="1648"/>
      <c r="AA135" s="1648"/>
      <c r="AB135" s="1648"/>
      <c r="AC135" s="1648"/>
      <c r="AD135" s="1648"/>
      <c r="AE135" s="1648"/>
      <c r="AF135" s="1648"/>
      <c r="AG135" s="1648"/>
      <c r="AH135" s="1648"/>
      <c r="AI135" s="1648"/>
      <c r="AJ135" s="1648"/>
      <c r="AK135" s="1648"/>
      <c r="AL135" s="1648"/>
      <c r="AM135" s="1648"/>
      <c r="AN135" s="1648"/>
      <c r="AO135" s="1648"/>
      <c r="AP135" s="1648"/>
      <c r="AQ135" s="1648"/>
      <c r="AR135" s="1648"/>
      <c r="AS135" s="1648"/>
      <c r="AT135" s="1648"/>
      <c r="AU135" s="1648"/>
      <c r="AV135" s="1648"/>
      <c r="AW135" s="1648"/>
      <c r="AX135" s="1648"/>
      <c r="AY135" s="1648"/>
      <c r="AZ135" s="1648"/>
      <c r="BA135" s="1648"/>
      <c r="BB135" s="1648"/>
      <c r="BC135" s="1648"/>
      <c r="BD135" s="1648"/>
      <c r="BE135" s="1648"/>
      <c r="BF135" s="1648"/>
      <c r="BG135" s="314"/>
      <c r="BH135" s="259"/>
      <c r="BI135" s="487"/>
      <c r="BJ135" s="252"/>
      <c r="BK135" s="1644" t="str">
        <f>+""</f>
        <v/>
      </c>
      <c r="BL135" s="1644"/>
      <c r="BM135" s="1644"/>
      <c r="BN135" s="1644"/>
      <c r="BO135" s="1644"/>
      <c r="BP135" s="1644"/>
      <c r="BQ135" s="1644"/>
      <c r="BR135" s="1644"/>
      <c r="BS135" s="1644"/>
      <c r="BT135" s="1644"/>
      <c r="BU135" s="1644"/>
      <c r="BV135" s="1644"/>
      <c r="BW135" s="252"/>
      <c r="BX135" s="1644" t="s">
        <v>756</v>
      </c>
      <c r="BY135" s="1644"/>
      <c r="BZ135" s="1644"/>
      <c r="CA135" s="1644"/>
      <c r="CB135" s="1644"/>
      <c r="CC135" s="1644"/>
      <c r="CD135" s="1644"/>
      <c r="CE135" s="1644"/>
      <c r="CF135" s="1644"/>
      <c r="CG135" s="1644"/>
      <c r="CH135" s="1644"/>
      <c r="CI135" s="1644"/>
      <c r="CJ135" s="252"/>
      <c r="CK135" s="1644" t="str">
        <f>+""</f>
        <v/>
      </c>
      <c r="CL135" s="1644"/>
      <c r="CM135" s="1644"/>
      <c r="CN135" s="1644"/>
      <c r="CO135" s="1644"/>
      <c r="CP135" s="1644"/>
      <c r="CQ135" s="1644"/>
      <c r="CR135" s="1644"/>
      <c r="CS135" s="1644"/>
      <c r="CT135" s="1644"/>
      <c r="CU135" s="1644"/>
      <c r="CV135" s="1644"/>
      <c r="CW135" s="252"/>
      <c r="CX135" s="1644" t="str">
        <f>+""</f>
        <v/>
      </c>
      <c r="CY135" s="1644"/>
      <c r="CZ135" s="1644"/>
      <c r="DA135" s="1644"/>
      <c r="DB135" s="1644"/>
      <c r="DC135" s="1644"/>
      <c r="DD135" s="1644"/>
      <c r="DE135" s="1644"/>
      <c r="DF135" s="1644"/>
      <c r="DG135" s="1644"/>
      <c r="DH135" s="1644"/>
      <c r="DI135" s="1644"/>
      <c r="DJ135" s="252"/>
      <c r="DK135" s="1646" t="str">
        <f>+""</f>
        <v/>
      </c>
      <c r="DL135" s="1646"/>
      <c r="DM135" s="1646"/>
      <c r="DN135" s="1646"/>
      <c r="DO135" s="1646"/>
      <c r="DP135" s="1646"/>
      <c r="DQ135" s="1646"/>
      <c r="DR135" s="1646"/>
      <c r="DS135" s="1646"/>
      <c r="DT135" s="1646"/>
      <c r="DU135" s="1646"/>
      <c r="DV135" s="1653"/>
    </row>
    <row r="136" spans="2:126" ht="29.25" customHeight="1" x14ac:dyDescent="0.15">
      <c r="B136" s="1040"/>
      <c r="C136" s="1648" t="str">
        <f t="shared" si="7"/>
        <v/>
      </c>
      <c r="D136" s="1648"/>
      <c r="E136" s="1648"/>
      <c r="F136" s="1648"/>
      <c r="G136" s="1648"/>
      <c r="H136" s="1648"/>
      <c r="I136" s="1648"/>
      <c r="J136" s="1648"/>
      <c r="K136" s="1648"/>
      <c r="L136" s="1648"/>
      <c r="M136" s="1648"/>
      <c r="N136" s="1648"/>
      <c r="O136" s="1648"/>
      <c r="P136" s="1648"/>
      <c r="Q136" s="1648"/>
      <c r="R136" s="1648"/>
      <c r="S136" s="1648"/>
      <c r="T136" s="1648"/>
      <c r="U136" s="1648"/>
      <c r="V136" s="1648"/>
      <c r="W136" s="1648"/>
      <c r="X136" s="1648"/>
      <c r="Y136" s="1648"/>
      <c r="Z136" s="1648"/>
      <c r="AA136" s="1648"/>
      <c r="AB136" s="1648"/>
      <c r="AC136" s="1648"/>
      <c r="AD136" s="1648"/>
      <c r="AE136" s="1648"/>
      <c r="AF136" s="1648"/>
      <c r="AG136" s="1648"/>
      <c r="AH136" s="1648"/>
      <c r="AI136" s="1648"/>
      <c r="AJ136" s="1648"/>
      <c r="AK136" s="1648"/>
      <c r="AL136" s="1648"/>
      <c r="AM136" s="1648"/>
      <c r="AN136" s="1648"/>
      <c r="AO136" s="1648"/>
      <c r="AP136" s="1648"/>
      <c r="AQ136" s="1648"/>
      <c r="AR136" s="1648"/>
      <c r="AS136" s="1648"/>
      <c r="AT136" s="1648"/>
      <c r="AU136" s="1648"/>
      <c r="AV136" s="1648"/>
      <c r="AW136" s="1648"/>
      <c r="AX136" s="1648"/>
      <c r="AY136" s="1648"/>
      <c r="AZ136" s="1648"/>
      <c r="BA136" s="1648"/>
      <c r="BB136" s="1648"/>
      <c r="BC136" s="1648"/>
      <c r="BD136" s="1648"/>
      <c r="BE136" s="1648"/>
      <c r="BF136" s="1648"/>
      <c r="BG136" s="314"/>
      <c r="BH136" s="259"/>
      <c r="BI136" s="487"/>
      <c r="BJ136" s="252"/>
      <c r="BK136" s="1644" t="str">
        <f>+""</f>
        <v/>
      </c>
      <c r="BL136" s="1644"/>
      <c r="BM136" s="1644"/>
      <c r="BN136" s="1644"/>
      <c r="BO136" s="1644"/>
      <c r="BP136" s="1644"/>
      <c r="BQ136" s="1644"/>
      <c r="BR136" s="1644"/>
      <c r="BS136" s="1644"/>
      <c r="BT136" s="1644"/>
      <c r="BU136" s="1644"/>
      <c r="BV136" s="1644"/>
      <c r="BW136" s="252"/>
      <c r="BX136" s="1644" t="s">
        <v>757</v>
      </c>
      <c r="BY136" s="1644"/>
      <c r="BZ136" s="1644"/>
      <c r="CA136" s="1644"/>
      <c r="CB136" s="1644"/>
      <c r="CC136" s="1644"/>
      <c r="CD136" s="1644"/>
      <c r="CE136" s="1644"/>
      <c r="CF136" s="1644"/>
      <c r="CG136" s="1644"/>
      <c r="CH136" s="1644"/>
      <c r="CI136" s="1644"/>
      <c r="CJ136" s="252"/>
      <c r="CK136" s="1644" t="str">
        <f>+""</f>
        <v/>
      </c>
      <c r="CL136" s="1644"/>
      <c r="CM136" s="1644"/>
      <c r="CN136" s="1644"/>
      <c r="CO136" s="1644"/>
      <c r="CP136" s="1644"/>
      <c r="CQ136" s="1644"/>
      <c r="CR136" s="1644"/>
      <c r="CS136" s="1644"/>
      <c r="CT136" s="1644"/>
      <c r="CU136" s="1644"/>
      <c r="CV136" s="1644"/>
      <c r="CW136" s="252"/>
      <c r="CX136" s="1644" t="str">
        <f>+""</f>
        <v/>
      </c>
      <c r="CY136" s="1644"/>
      <c r="CZ136" s="1644"/>
      <c r="DA136" s="1644"/>
      <c r="DB136" s="1644"/>
      <c r="DC136" s="1644"/>
      <c r="DD136" s="1644"/>
      <c r="DE136" s="1644"/>
      <c r="DF136" s="1644"/>
      <c r="DG136" s="1644"/>
      <c r="DH136" s="1644"/>
      <c r="DI136" s="1644"/>
      <c r="DJ136" s="252"/>
      <c r="DK136" s="1646" t="str">
        <f>+""</f>
        <v/>
      </c>
      <c r="DL136" s="1646"/>
      <c r="DM136" s="1646"/>
      <c r="DN136" s="1646"/>
      <c r="DO136" s="1646"/>
      <c r="DP136" s="1646"/>
      <c r="DQ136" s="1646"/>
      <c r="DR136" s="1646"/>
      <c r="DS136" s="1646"/>
      <c r="DT136" s="1646"/>
      <c r="DU136" s="1646"/>
      <c r="DV136" s="1653"/>
    </row>
    <row r="137" spans="2:126" ht="29.25" customHeight="1" x14ac:dyDescent="0.15">
      <c r="B137" s="1040"/>
      <c r="C137" s="1648" t="str">
        <f t="shared" si="7"/>
        <v/>
      </c>
      <c r="D137" s="1648"/>
      <c r="E137" s="1648"/>
      <c r="F137" s="1648"/>
      <c r="G137" s="1648"/>
      <c r="H137" s="1648"/>
      <c r="I137" s="1648"/>
      <c r="J137" s="1648"/>
      <c r="K137" s="1648"/>
      <c r="L137" s="1648"/>
      <c r="M137" s="1648"/>
      <c r="N137" s="1648"/>
      <c r="O137" s="1648"/>
      <c r="P137" s="1648"/>
      <c r="Q137" s="1648"/>
      <c r="R137" s="1648"/>
      <c r="S137" s="1648"/>
      <c r="T137" s="1648"/>
      <c r="U137" s="1648"/>
      <c r="V137" s="1648"/>
      <c r="W137" s="1648"/>
      <c r="X137" s="1648"/>
      <c r="Y137" s="1648"/>
      <c r="Z137" s="1648"/>
      <c r="AA137" s="1648"/>
      <c r="AB137" s="1648"/>
      <c r="AC137" s="1648"/>
      <c r="AD137" s="1648"/>
      <c r="AE137" s="1648"/>
      <c r="AF137" s="1648"/>
      <c r="AG137" s="1648"/>
      <c r="AH137" s="1648"/>
      <c r="AI137" s="1648"/>
      <c r="AJ137" s="1648"/>
      <c r="AK137" s="1648"/>
      <c r="AL137" s="1648"/>
      <c r="AM137" s="1648"/>
      <c r="AN137" s="1648"/>
      <c r="AO137" s="1648"/>
      <c r="AP137" s="1648"/>
      <c r="AQ137" s="1648"/>
      <c r="AR137" s="1648"/>
      <c r="AS137" s="1648"/>
      <c r="AT137" s="1648"/>
      <c r="AU137" s="1648"/>
      <c r="AV137" s="1648"/>
      <c r="AW137" s="1648"/>
      <c r="AX137" s="1648"/>
      <c r="AY137" s="1648"/>
      <c r="AZ137" s="1648"/>
      <c r="BA137" s="1648"/>
      <c r="BB137" s="1648"/>
      <c r="BC137" s="1648"/>
      <c r="BD137" s="1648"/>
      <c r="BE137" s="1648"/>
      <c r="BF137" s="1648"/>
      <c r="BG137" s="314"/>
      <c r="BH137" s="266"/>
      <c r="BI137" s="487"/>
      <c r="BJ137" s="252"/>
      <c r="BK137" s="1644" t="str">
        <f>+""</f>
        <v/>
      </c>
      <c r="BL137" s="1644"/>
      <c r="BM137" s="1644"/>
      <c r="BN137" s="1644"/>
      <c r="BO137" s="1644"/>
      <c r="BP137" s="1644"/>
      <c r="BQ137" s="1644"/>
      <c r="BR137" s="1644"/>
      <c r="BS137" s="1644"/>
      <c r="BT137" s="1644"/>
      <c r="BU137" s="1644"/>
      <c r="BV137" s="1644"/>
      <c r="BW137" s="252"/>
      <c r="BX137" s="1644" t="str">
        <f>+""</f>
        <v/>
      </c>
      <c r="BY137" s="1644"/>
      <c r="BZ137" s="1644"/>
      <c r="CA137" s="1644"/>
      <c r="CB137" s="1644"/>
      <c r="CC137" s="1644"/>
      <c r="CD137" s="1644"/>
      <c r="CE137" s="1644"/>
      <c r="CF137" s="1644"/>
      <c r="CG137" s="1644"/>
      <c r="CH137" s="1644"/>
      <c r="CI137" s="1644"/>
      <c r="CJ137" s="252"/>
      <c r="CK137" s="1644" t="str">
        <f>+""</f>
        <v/>
      </c>
      <c r="CL137" s="1644"/>
      <c r="CM137" s="1644"/>
      <c r="CN137" s="1644"/>
      <c r="CO137" s="1644"/>
      <c r="CP137" s="1644"/>
      <c r="CQ137" s="1644"/>
      <c r="CR137" s="1644"/>
      <c r="CS137" s="1644"/>
      <c r="CT137" s="1644"/>
      <c r="CU137" s="1644"/>
      <c r="CV137" s="1644"/>
      <c r="CW137" s="252"/>
      <c r="CX137" s="1644" t="str">
        <f>+""</f>
        <v/>
      </c>
      <c r="CY137" s="1644"/>
      <c r="CZ137" s="1644"/>
      <c r="DA137" s="1644"/>
      <c r="DB137" s="1644"/>
      <c r="DC137" s="1644"/>
      <c r="DD137" s="1644"/>
      <c r="DE137" s="1644"/>
      <c r="DF137" s="1644"/>
      <c r="DG137" s="1644"/>
      <c r="DH137" s="1644"/>
      <c r="DI137" s="1644"/>
      <c r="DJ137" s="252"/>
      <c r="DK137" s="1646" t="str">
        <f>+""</f>
        <v/>
      </c>
      <c r="DL137" s="1646"/>
      <c r="DM137" s="1646"/>
      <c r="DN137" s="1646"/>
      <c r="DO137" s="1646"/>
      <c r="DP137" s="1646"/>
      <c r="DQ137" s="1646"/>
      <c r="DR137" s="1646"/>
      <c r="DS137" s="1646"/>
      <c r="DT137" s="1646"/>
      <c r="DU137" s="1646"/>
      <c r="DV137" s="1653"/>
    </row>
    <row r="138" spans="2:126" ht="29.25" customHeight="1" x14ac:dyDescent="0.15">
      <c r="B138" s="1040"/>
      <c r="C138" s="1648" t="str">
        <f t="shared" si="7"/>
        <v/>
      </c>
      <c r="D138" s="1648"/>
      <c r="E138" s="1648"/>
      <c r="F138" s="1648"/>
      <c r="G138" s="1648"/>
      <c r="H138" s="1648"/>
      <c r="I138" s="1648"/>
      <c r="J138" s="1648"/>
      <c r="K138" s="1648"/>
      <c r="L138" s="1648"/>
      <c r="M138" s="1648"/>
      <c r="N138" s="1648"/>
      <c r="O138" s="1648"/>
      <c r="P138" s="1648"/>
      <c r="Q138" s="1648"/>
      <c r="R138" s="1648"/>
      <c r="S138" s="1648"/>
      <c r="T138" s="1648"/>
      <c r="U138" s="1648"/>
      <c r="V138" s="1648"/>
      <c r="W138" s="1648"/>
      <c r="X138" s="1648"/>
      <c r="Y138" s="1648"/>
      <c r="Z138" s="1648"/>
      <c r="AA138" s="1648"/>
      <c r="AB138" s="1648"/>
      <c r="AC138" s="1648"/>
      <c r="AD138" s="1648"/>
      <c r="AE138" s="1648"/>
      <c r="AF138" s="1648"/>
      <c r="AG138" s="1648"/>
      <c r="AH138" s="1648"/>
      <c r="AI138" s="1648"/>
      <c r="AJ138" s="1648"/>
      <c r="AK138" s="1648"/>
      <c r="AL138" s="1648"/>
      <c r="AM138" s="1648"/>
      <c r="AN138" s="1648"/>
      <c r="AO138" s="1648"/>
      <c r="AP138" s="1648"/>
      <c r="AQ138" s="1648"/>
      <c r="AR138" s="1648"/>
      <c r="AS138" s="1648"/>
      <c r="AT138" s="1648"/>
      <c r="AU138" s="1648"/>
      <c r="AV138" s="1648"/>
      <c r="AW138" s="1648"/>
      <c r="AX138" s="1648"/>
      <c r="AY138" s="1648"/>
      <c r="AZ138" s="1648"/>
      <c r="BA138" s="1648"/>
      <c r="BB138" s="1648"/>
      <c r="BC138" s="1648"/>
      <c r="BD138" s="1648"/>
      <c r="BE138" s="1648"/>
      <c r="BF138" s="1648"/>
      <c r="BG138" s="314"/>
      <c r="BH138" s="266"/>
      <c r="BI138" s="487"/>
      <c r="BJ138" s="252"/>
      <c r="BK138" s="1644" t="str">
        <f>+""</f>
        <v/>
      </c>
      <c r="BL138" s="1644"/>
      <c r="BM138" s="1644"/>
      <c r="BN138" s="1644"/>
      <c r="BO138" s="1644"/>
      <c r="BP138" s="1644"/>
      <c r="BQ138" s="1644"/>
      <c r="BR138" s="1644"/>
      <c r="BS138" s="1644"/>
      <c r="BT138" s="1644"/>
      <c r="BU138" s="1644"/>
      <c r="BV138" s="1644"/>
      <c r="BW138" s="252"/>
      <c r="BX138" s="1644" t="str">
        <f>+""</f>
        <v/>
      </c>
      <c r="BY138" s="1644"/>
      <c r="BZ138" s="1644"/>
      <c r="CA138" s="1644"/>
      <c r="CB138" s="1644"/>
      <c r="CC138" s="1644"/>
      <c r="CD138" s="1644"/>
      <c r="CE138" s="1644"/>
      <c r="CF138" s="1644"/>
      <c r="CG138" s="1644"/>
      <c r="CH138" s="1644"/>
      <c r="CI138" s="1644"/>
      <c r="CJ138" s="252"/>
      <c r="CK138" s="1644" t="str">
        <f>+""</f>
        <v/>
      </c>
      <c r="CL138" s="1644"/>
      <c r="CM138" s="1644"/>
      <c r="CN138" s="1644"/>
      <c r="CO138" s="1644"/>
      <c r="CP138" s="1644"/>
      <c r="CQ138" s="1644"/>
      <c r="CR138" s="1644"/>
      <c r="CS138" s="1644"/>
      <c r="CT138" s="1644"/>
      <c r="CU138" s="1644"/>
      <c r="CV138" s="1644"/>
      <c r="CW138" s="252"/>
      <c r="CX138" s="1644" t="str">
        <f>+""</f>
        <v/>
      </c>
      <c r="CY138" s="1644"/>
      <c r="CZ138" s="1644"/>
      <c r="DA138" s="1644"/>
      <c r="DB138" s="1644"/>
      <c r="DC138" s="1644"/>
      <c r="DD138" s="1644"/>
      <c r="DE138" s="1644"/>
      <c r="DF138" s="1644"/>
      <c r="DG138" s="1644"/>
      <c r="DH138" s="1644"/>
      <c r="DI138" s="1644"/>
      <c r="DJ138" s="252"/>
      <c r="DK138" s="1646" t="str">
        <f>+""</f>
        <v/>
      </c>
      <c r="DL138" s="1646"/>
      <c r="DM138" s="1646"/>
      <c r="DN138" s="1646"/>
      <c r="DO138" s="1646"/>
      <c r="DP138" s="1646"/>
      <c r="DQ138" s="1646"/>
      <c r="DR138" s="1646"/>
      <c r="DS138" s="1646"/>
      <c r="DT138" s="1646"/>
      <c r="DU138" s="1646"/>
      <c r="DV138" s="1653"/>
    </row>
    <row r="139" spans="2:126" ht="29.25" customHeight="1" x14ac:dyDescent="0.15">
      <c r="B139" s="1040"/>
      <c r="C139" s="1648" t="str">
        <f t="shared" si="7"/>
        <v/>
      </c>
      <c r="D139" s="1648"/>
      <c r="E139" s="1648"/>
      <c r="F139" s="1648"/>
      <c r="G139" s="1648"/>
      <c r="H139" s="1648"/>
      <c r="I139" s="1648"/>
      <c r="J139" s="1648"/>
      <c r="K139" s="1648"/>
      <c r="L139" s="1648"/>
      <c r="M139" s="1648"/>
      <c r="N139" s="1648"/>
      <c r="O139" s="1648"/>
      <c r="P139" s="1648"/>
      <c r="Q139" s="1648"/>
      <c r="R139" s="1648"/>
      <c r="S139" s="1648"/>
      <c r="T139" s="1648"/>
      <c r="U139" s="1648"/>
      <c r="V139" s="1648"/>
      <c r="W139" s="1648"/>
      <c r="X139" s="1648"/>
      <c r="Y139" s="1648"/>
      <c r="Z139" s="1648"/>
      <c r="AA139" s="1648"/>
      <c r="AB139" s="1648"/>
      <c r="AC139" s="1648"/>
      <c r="AD139" s="1648"/>
      <c r="AE139" s="1648"/>
      <c r="AF139" s="1648"/>
      <c r="AG139" s="1648"/>
      <c r="AH139" s="1648"/>
      <c r="AI139" s="1648"/>
      <c r="AJ139" s="1648"/>
      <c r="AK139" s="1648"/>
      <c r="AL139" s="1648"/>
      <c r="AM139" s="1648"/>
      <c r="AN139" s="1648"/>
      <c r="AO139" s="1648"/>
      <c r="AP139" s="1648"/>
      <c r="AQ139" s="1648"/>
      <c r="AR139" s="1648"/>
      <c r="AS139" s="1648"/>
      <c r="AT139" s="1648"/>
      <c r="AU139" s="1648"/>
      <c r="AV139" s="1648"/>
      <c r="AW139" s="1648"/>
      <c r="AX139" s="1648"/>
      <c r="AY139" s="1648"/>
      <c r="AZ139" s="1648"/>
      <c r="BA139" s="1648"/>
      <c r="BB139" s="1648"/>
      <c r="BC139" s="1648"/>
      <c r="BD139" s="1648"/>
      <c r="BE139" s="1648"/>
      <c r="BF139" s="1648"/>
      <c r="BG139" s="314"/>
      <c r="BH139" s="266"/>
      <c r="BI139" s="487"/>
      <c r="BJ139" s="252"/>
      <c r="BK139" s="1644" t="str">
        <f>+""</f>
        <v/>
      </c>
      <c r="BL139" s="1644"/>
      <c r="BM139" s="1644"/>
      <c r="BN139" s="1644"/>
      <c r="BO139" s="1644"/>
      <c r="BP139" s="1644"/>
      <c r="BQ139" s="1644"/>
      <c r="BR139" s="1644"/>
      <c r="BS139" s="1644"/>
      <c r="BT139" s="1644"/>
      <c r="BU139" s="1644"/>
      <c r="BV139" s="1644"/>
      <c r="BW139" s="252"/>
      <c r="BX139" s="1644" t="str">
        <f>+""</f>
        <v/>
      </c>
      <c r="BY139" s="1644"/>
      <c r="BZ139" s="1644"/>
      <c r="CA139" s="1644"/>
      <c r="CB139" s="1644"/>
      <c r="CC139" s="1644"/>
      <c r="CD139" s="1644"/>
      <c r="CE139" s="1644"/>
      <c r="CF139" s="1644"/>
      <c r="CG139" s="1644"/>
      <c r="CH139" s="1644"/>
      <c r="CI139" s="1644"/>
      <c r="CJ139" s="252"/>
      <c r="CK139" s="1644" t="str">
        <f>+""</f>
        <v/>
      </c>
      <c r="CL139" s="1644"/>
      <c r="CM139" s="1644"/>
      <c r="CN139" s="1644"/>
      <c r="CO139" s="1644"/>
      <c r="CP139" s="1644"/>
      <c r="CQ139" s="1644"/>
      <c r="CR139" s="1644"/>
      <c r="CS139" s="1644"/>
      <c r="CT139" s="1644"/>
      <c r="CU139" s="1644"/>
      <c r="CV139" s="1644"/>
      <c r="CW139" s="252"/>
      <c r="CX139" s="1644" t="str">
        <f>+""</f>
        <v/>
      </c>
      <c r="CY139" s="1644"/>
      <c r="CZ139" s="1644"/>
      <c r="DA139" s="1644"/>
      <c r="DB139" s="1644"/>
      <c r="DC139" s="1644"/>
      <c r="DD139" s="1644"/>
      <c r="DE139" s="1644"/>
      <c r="DF139" s="1644"/>
      <c r="DG139" s="1644"/>
      <c r="DH139" s="1644"/>
      <c r="DI139" s="1644"/>
      <c r="DJ139" s="252"/>
      <c r="DK139" s="1646" t="str">
        <f>+""</f>
        <v/>
      </c>
      <c r="DL139" s="1646"/>
      <c r="DM139" s="1646"/>
      <c r="DN139" s="1646"/>
      <c r="DO139" s="1646"/>
      <c r="DP139" s="1646"/>
      <c r="DQ139" s="1646"/>
      <c r="DR139" s="1646"/>
      <c r="DS139" s="1646"/>
      <c r="DT139" s="1646"/>
      <c r="DU139" s="1646"/>
      <c r="DV139" s="1653"/>
    </row>
    <row r="140" spans="2:126" ht="29.25" customHeight="1" x14ac:dyDescent="0.15">
      <c r="B140" s="1040"/>
      <c r="C140" s="1648" t="str">
        <f t="shared" si="7"/>
        <v/>
      </c>
      <c r="D140" s="1648"/>
      <c r="E140" s="1648"/>
      <c r="F140" s="1648"/>
      <c r="G140" s="1648"/>
      <c r="H140" s="1648"/>
      <c r="I140" s="164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648"/>
      <c r="AL140" s="1648"/>
      <c r="AM140" s="1648"/>
      <c r="AN140" s="1648"/>
      <c r="AO140" s="1648"/>
      <c r="AP140" s="1648"/>
      <c r="AQ140" s="1648"/>
      <c r="AR140" s="1648"/>
      <c r="AS140" s="1648"/>
      <c r="AT140" s="1648"/>
      <c r="AU140" s="1648"/>
      <c r="AV140" s="1648"/>
      <c r="AW140" s="1648"/>
      <c r="AX140" s="1648"/>
      <c r="AY140" s="1648"/>
      <c r="AZ140" s="1648"/>
      <c r="BA140" s="1648"/>
      <c r="BB140" s="1648"/>
      <c r="BC140" s="1648"/>
      <c r="BD140" s="1648"/>
      <c r="BE140" s="1648"/>
      <c r="BF140" s="1648"/>
      <c r="BG140" s="314"/>
      <c r="BH140" s="266"/>
      <c r="BI140" s="487"/>
      <c r="BJ140" s="252"/>
      <c r="BK140" s="1644" t="str">
        <f>+""</f>
        <v/>
      </c>
      <c r="BL140" s="1644"/>
      <c r="BM140" s="1644"/>
      <c r="BN140" s="1644"/>
      <c r="BO140" s="1644"/>
      <c r="BP140" s="1644"/>
      <c r="BQ140" s="1644"/>
      <c r="BR140" s="1644"/>
      <c r="BS140" s="1644"/>
      <c r="BT140" s="1644"/>
      <c r="BU140" s="1644"/>
      <c r="BV140" s="1644"/>
      <c r="BW140" s="252"/>
      <c r="BX140" s="1644" t="str">
        <f>+""</f>
        <v/>
      </c>
      <c r="BY140" s="1644"/>
      <c r="BZ140" s="1644"/>
      <c r="CA140" s="1644"/>
      <c r="CB140" s="1644"/>
      <c r="CC140" s="1644"/>
      <c r="CD140" s="1644"/>
      <c r="CE140" s="1644"/>
      <c r="CF140" s="1644"/>
      <c r="CG140" s="1644"/>
      <c r="CH140" s="1644"/>
      <c r="CI140" s="1644"/>
      <c r="CJ140" s="252"/>
      <c r="CK140" s="1644" t="str">
        <f>+""</f>
        <v/>
      </c>
      <c r="CL140" s="1644"/>
      <c r="CM140" s="1644"/>
      <c r="CN140" s="1644"/>
      <c r="CO140" s="1644"/>
      <c r="CP140" s="1644"/>
      <c r="CQ140" s="1644"/>
      <c r="CR140" s="1644"/>
      <c r="CS140" s="1644"/>
      <c r="CT140" s="1644"/>
      <c r="CU140" s="1644"/>
      <c r="CV140" s="1644"/>
      <c r="CW140" s="252"/>
      <c r="CX140" s="1644" t="str">
        <f>+""</f>
        <v/>
      </c>
      <c r="CY140" s="1644"/>
      <c r="CZ140" s="1644"/>
      <c r="DA140" s="1644"/>
      <c r="DB140" s="1644"/>
      <c r="DC140" s="1644"/>
      <c r="DD140" s="1644"/>
      <c r="DE140" s="1644"/>
      <c r="DF140" s="1644"/>
      <c r="DG140" s="1644"/>
      <c r="DH140" s="1644"/>
      <c r="DI140" s="1644"/>
      <c r="DJ140" s="252"/>
      <c r="DK140" s="1646" t="str">
        <f>+""</f>
        <v/>
      </c>
      <c r="DL140" s="1646"/>
      <c r="DM140" s="1646"/>
      <c r="DN140" s="1646"/>
      <c r="DO140" s="1646"/>
      <c r="DP140" s="1646"/>
      <c r="DQ140" s="1646"/>
      <c r="DR140" s="1646"/>
      <c r="DS140" s="1646"/>
      <c r="DT140" s="1646"/>
      <c r="DU140" s="1646"/>
      <c r="DV140" s="1653"/>
    </row>
    <row r="141" spans="2:126" ht="29.25" customHeight="1" x14ac:dyDescent="0.15">
      <c r="B141" s="1040"/>
      <c r="C141" s="1648" t="str">
        <f t="shared" si="7"/>
        <v/>
      </c>
      <c r="D141" s="1648"/>
      <c r="E141" s="1648"/>
      <c r="F141" s="1648"/>
      <c r="G141" s="1648"/>
      <c r="H141" s="1648"/>
      <c r="I141" s="164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648"/>
      <c r="AL141" s="1648"/>
      <c r="AM141" s="1648"/>
      <c r="AN141" s="1648"/>
      <c r="AO141" s="1648"/>
      <c r="AP141" s="1648"/>
      <c r="AQ141" s="1648"/>
      <c r="AR141" s="1648"/>
      <c r="AS141" s="1648"/>
      <c r="AT141" s="1648"/>
      <c r="AU141" s="1648"/>
      <c r="AV141" s="1648"/>
      <c r="AW141" s="1648"/>
      <c r="AX141" s="1648"/>
      <c r="AY141" s="1648"/>
      <c r="AZ141" s="1648"/>
      <c r="BA141" s="1648"/>
      <c r="BB141" s="1648"/>
      <c r="BC141" s="1648"/>
      <c r="BD141" s="1648"/>
      <c r="BE141" s="1648"/>
      <c r="BF141" s="1648"/>
      <c r="BG141" s="314"/>
      <c r="BH141" s="266"/>
      <c r="BI141" s="487"/>
      <c r="BJ141" s="252"/>
      <c r="BK141" s="1644" t="str">
        <f>+""</f>
        <v/>
      </c>
      <c r="BL141" s="1644"/>
      <c r="BM141" s="1644"/>
      <c r="BN141" s="1644"/>
      <c r="BO141" s="1644"/>
      <c r="BP141" s="1644"/>
      <c r="BQ141" s="1644"/>
      <c r="BR141" s="1644"/>
      <c r="BS141" s="1644"/>
      <c r="BT141" s="1644"/>
      <c r="BU141" s="1644"/>
      <c r="BV141" s="1644"/>
      <c r="BW141" s="252"/>
      <c r="BX141" s="1644" t="str">
        <f>+""</f>
        <v/>
      </c>
      <c r="BY141" s="1644"/>
      <c r="BZ141" s="1644"/>
      <c r="CA141" s="1644"/>
      <c r="CB141" s="1644"/>
      <c r="CC141" s="1644"/>
      <c r="CD141" s="1644"/>
      <c r="CE141" s="1644"/>
      <c r="CF141" s="1644"/>
      <c r="CG141" s="1644"/>
      <c r="CH141" s="1644"/>
      <c r="CI141" s="1644"/>
      <c r="CJ141" s="252"/>
      <c r="CK141" s="1644" t="str">
        <f>+""</f>
        <v/>
      </c>
      <c r="CL141" s="1644"/>
      <c r="CM141" s="1644"/>
      <c r="CN141" s="1644"/>
      <c r="CO141" s="1644"/>
      <c r="CP141" s="1644"/>
      <c r="CQ141" s="1644"/>
      <c r="CR141" s="1644"/>
      <c r="CS141" s="1644"/>
      <c r="CT141" s="1644"/>
      <c r="CU141" s="1644"/>
      <c r="CV141" s="1644"/>
      <c r="CW141" s="252"/>
      <c r="CX141" s="1644" t="str">
        <f>+""</f>
        <v/>
      </c>
      <c r="CY141" s="1644"/>
      <c r="CZ141" s="1644"/>
      <c r="DA141" s="1644"/>
      <c r="DB141" s="1644"/>
      <c r="DC141" s="1644"/>
      <c r="DD141" s="1644"/>
      <c r="DE141" s="1644"/>
      <c r="DF141" s="1644"/>
      <c r="DG141" s="1644"/>
      <c r="DH141" s="1644"/>
      <c r="DI141" s="1644"/>
      <c r="DJ141" s="252"/>
      <c r="DK141" s="1646" t="str">
        <f>+""</f>
        <v/>
      </c>
      <c r="DL141" s="1646"/>
      <c r="DM141" s="1646"/>
      <c r="DN141" s="1646"/>
      <c r="DO141" s="1646"/>
      <c r="DP141" s="1646"/>
      <c r="DQ141" s="1646"/>
      <c r="DR141" s="1646"/>
      <c r="DS141" s="1646"/>
      <c r="DT141" s="1646"/>
      <c r="DU141" s="1646"/>
      <c r="DV141" s="1653"/>
    </row>
    <row r="142" spans="2:126" ht="29.25" customHeight="1" x14ac:dyDescent="0.15">
      <c r="B142" s="1040"/>
      <c r="C142" s="1648" t="str">
        <f t="shared" si="7"/>
        <v/>
      </c>
      <c r="D142" s="1648"/>
      <c r="E142" s="1648"/>
      <c r="F142" s="1648"/>
      <c r="G142" s="1648"/>
      <c r="H142" s="1648"/>
      <c r="I142" s="1648"/>
      <c r="J142" s="1648"/>
      <c r="K142" s="1648"/>
      <c r="L142" s="1648"/>
      <c r="M142" s="1648"/>
      <c r="N142" s="1648"/>
      <c r="O142" s="1648"/>
      <c r="P142" s="1648"/>
      <c r="Q142" s="1648"/>
      <c r="R142" s="1648"/>
      <c r="S142" s="1648"/>
      <c r="T142" s="1648"/>
      <c r="U142" s="1648"/>
      <c r="V142" s="1648"/>
      <c r="W142" s="1648"/>
      <c r="X142" s="1648"/>
      <c r="Y142" s="1648"/>
      <c r="Z142" s="1648"/>
      <c r="AA142" s="1648"/>
      <c r="AB142" s="1648"/>
      <c r="AC142" s="1648"/>
      <c r="AD142" s="1648"/>
      <c r="AE142" s="1648"/>
      <c r="AF142" s="1648"/>
      <c r="AG142" s="1648"/>
      <c r="AH142" s="1648"/>
      <c r="AI142" s="1648"/>
      <c r="AJ142" s="1648"/>
      <c r="AK142" s="1648"/>
      <c r="AL142" s="1648"/>
      <c r="AM142" s="1648"/>
      <c r="AN142" s="1648"/>
      <c r="AO142" s="1648"/>
      <c r="AP142" s="1648"/>
      <c r="AQ142" s="1648"/>
      <c r="AR142" s="1648"/>
      <c r="AS142" s="1648"/>
      <c r="AT142" s="1648"/>
      <c r="AU142" s="1648"/>
      <c r="AV142" s="1648"/>
      <c r="AW142" s="1648"/>
      <c r="AX142" s="1648"/>
      <c r="AY142" s="1648"/>
      <c r="AZ142" s="1648"/>
      <c r="BA142" s="1648"/>
      <c r="BB142" s="1648"/>
      <c r="BC142" s="1648"/>
      <c r="BD142" s="1648"/>
      <c r="BE142" s="1648"/>
      <c r="BF142" s="1648"/>
      <c r="BG142" s="314"/>
      <c r="BH142" s="266"/>
      <c r="BI142" s="487"/>
      <c r="BJ142" s="252"/>
      <c r="BK142" s="1644" t="str">
        <f>+""</f>
        <v/>
      </c>
      <c r="BL142" s="1644"/>
      <c r="BM142" s="1644"/>
      <c r="BN142" s="1644"/>
      <c r="BO142" s="1644"/>
      <c r="BP142" s="1644"/>
      <c r="BQ142" s="1644"/>
      <c r="BR142" s="1644"/>
      <c r="BS142" s="1644"/>
      <c r="BT142" s="1644"/>
      <c r="BU142" s="1644"/>
      <c r="BV142" s="1644"/>
      <c r="BW142" s="252"/>
      <c r="BX142" s="1644" t="str">
        <f>+""</f>
        <v/>
      </c>
      <c r="BY142" s="1644"/>
      <c r="BZ142" s="1644"/>
      <c r="CA142" s="1644"/>
      <c r="CB142" s="1644"/>
      <c r="CC142" s="1644"/>
      <c r="CD142" s="1644"/>
      <c r="CE142" s="1644"/>
      <c r="CF142" s="1644"/>
      <c r="CG142" s="1644"/>
      <c r="CH142" s="1644"/>
      <c r="CI142" s="1644"/>
      <c r="CJ142" s="252"/>
      <c r="CK142" s="1644" t="str">
        <f>+""</f>
        <v/>
      </c>
      <c r="CL142" s="1644"/>
      <c r="CM142" s="1644"/>
      <c r="CN142" s="1644"/>
      <c r="CO142" s="1644"/>
      <c r="CP142" s="1644"/>
      <c r="CQ142" s="1644"/>
      <c r="CR142" s="1644"/>
      <c r="CS142" s="1644"/>
      <c r="CT142" s="1644"/>
      <c r="CU142" s="1644"/>
      <c r="CV142" s="1644"/>
      <c r="CW142" s="252"/>
      <c r="CX142" s="1644" t="str">
        <f>+""</f>
        <v/>
      </c>
      <c r="CY142" s="1644"/>
      <c r="CZ142" s="1644"/>
      <c r="DA142" s="1644"/>
      <c r="DB142" s="1644"/>
      <c r="DC142" s="1644"/>
      <c r="DD142" s="1644"/>
      <c r="DE142" s="1644"/>
      <c r="DF142" s="1644"/>
      <c r="DG142" s="1644"/>
      <c r="DH142" s="1644"/>
      <c r="DI142" s="1644"/>
      <c r="DJ142" s="252"/>
      <c r="DK142" s="1646" t="str">
        <f>+""</f>
        <v/>
      </c>
      <c r="DL142" s="1646"/>
      <c r="DM142" s="1646"/>
      <c r="DN142" s="1646"/>
      <c r="DO142" s="1646"/>
      <c r="DP142" s="1646"/>
      <c r="DQ142" s="1646"/>
      <c r="DR142" s="1646"/>
      <c r="DS142" s="1646"/>
      <c r="DT142" s="1646"/>
      <c r="DU142" s="1646"/>
      <c r="DV142" s="1653"/>
    </row>
    <row r="143" spans="2:126" ht="29.25" customHeight="1" x14ac:dyDescent="0.15">
      <c r="B143" s="1040"/>
      <c r="C143" s="1648" t="str">
        <f t="shared" si="7"/>
        <v/>
      </c>
      <c r="D143" s="1648"/>
      <c r="E143" s="1648"/>
      <c r="F143" s="1648"/>
      <c r="G143" s="1648"/>
      <c r="H143" s="1648"/>
      <c r="I143" s="1648"/>
      <c r="J143" s="1648"/>
      <c r="K143" s="1648"/>
      <c r="L143" s="1648"/>
      <c r="M143" s="1648"/>
      <c r="N143" s="1648"/>
      <c r="O143" s="1648"/>
      <c r="P143" s="1648"/>
      <c r="Q143" s="1648"/>
      <c r="R143" s="1648"/>
      <c r="S143" s="1648"/>
      <c r="T143" s="1648"/>
      <c r="U143" s="1648"/>
      <c r="V143" s="1648"/>
      <c r="W143" s="1648"/>
      <c r="X143" s="1648"/>
      <c r="Y143" s="1648"/>
      <c r="Z143" s="1648"/>
      <c r="AA143" s="1648"/>
      <c r="AB143" s="1648"/>
      <c r="AC143" s="1648"/>
      <c r="AD143" s="1648"/>
      <c r="AE143" s="1648"/>
      <c r="AF143" s="1648"/>
      <c r="AG143" s="1648"/>
      <c r="AH143" s="1648"/>
      <c r="AI143" s="1648"/>
      <c r="AJ143" s="1648"/>
      <c r="AK143" s="1648"/>
      <c r="AL143" s="1648"/>
      <c r="AM143" s="1648"/>
      <c r="AN143" s="1648"/>
      <c r="AO143" s="1648"/>
      <c r="AP143" s="1648"/>
      <c r="AQ143" s="1648"/>
      <c r="AR143" s="1648"/>
      <c r="AS143" s="1648"/>
      <c r="AT143" s="1648"/>
      <c r="AU143" s="1648"/>
      <c r="AV143" s="1648"/>
      <c r="AW143" s="1648"/>
      <c r="AX143" s="1648"/>
      <c r="AY143" s="1648"/>
      <c r="AZ143" s="1648"/>
      <c r="BA143" s="1648"/>
      <c r="BB143" s="1648"/>
      <c r="BC143" s="1648"/>
      <c r="BD143" s="1648"/>
      <c r="BE143" s="1648"/>
      <c r="BF143" s="1648"/>
      <c r="BG143" s="314"/>
      <c r="BH143" s="266"/>
      <c r="BI143" s="487"/>
      <c r="BJ143" s="252"/>
      <c r="BK143" s="1644" t="str">
        <f>+""</f>
        <v/>
      </c>
      <c r="BL143" s="1644"/>
      <c r="BM143" s="1644"/>
      <c r="BN143" s="1644"/>
      <c r="BO143" s="1644"/>
      <c r="BP143" s="1644"/>
      <c r="BQ143" s="1644"/>
      <c r="BR143" s="1644"/>
      <c r="BS143" s="1644"/>
      <c r="BT143" s="1644"/>
      <c r="BU143" s="1644"/>
      <c r="BV143" s="1644"/>
      <c r="BW143" s="252"/>
      <c r="BX143" s="1644" t="str">
        <f>+""</f>
        <v/>
      </c>
      <c r="BY143" s="1644"/>
      <c r="BZ143" s="1644"/>
      <c r="CA143" s="1644"/>
      <c r="CB143" s="1644"/>
      <c r="CC143" s="1644"/>
      <c r="CD143" s="1644"/>
      <c r="CE143" s="1644"/>
      <c r="CF143" s="1644"/>
      <c r="CG143" s="1644"/>
      <c r="CH143" s="1644"/>
      <c r="CI143" s="1644"/>
      <c r="CJ143" s="252"/>
      <c r="CK143" s="1644" t="str">
        <f>+""</f>
        <v/>
      </c>
      <c r="CL143" s="1644"/>
      <c r="CM143" s="1644"/>
      <c r="CN143" s="1644"/>
      <c r="CO143" s="1644"/>
      <c r="CP143" s="1644"/>
      <c r="CQ143" s="1644"/>
      <c r="CR143" s="1644"/>
      <c r="CS143" s="1644"/>
      <c r="CT143" s="1644"/>
      <c r="CU143" s="1644"/>
      <c r="CV143" s="1644"/>
      <c r="CW143" s="252"/>
      <c r="CX143" s="1644" t="str">
        <f>+""</f>
        <v/>
      </c>
      <c r="CY143" s="1644"/>
      <c r="CZ143" s="1644"/>
      <c r="DA143" s="1644"/>
      <c r="DB143" s="1644"/>
      <c r="DC143" s="1644"/>
      <c r="DD143" s="1644"/>
      <c r="DE143" s="1644"/>
      <c r="DF143" s="1644"/>
      <c r="DG143" s="1644"/>
      <c r="DH143" s="1644"/>
      <c r="DI143" s="1644"/>
      <c r="DJ143" s="252"/>
      <c r="DK143" s="1646" t="str">
        <f>+""</f>
        <v/>
      </c>
      <c r="DL143" s="1646"/>
      <c r="DM143" s="1646"/>
      <c r="DN143" s="1646"/>
      <c r="DO143" s="1646"/>
      <c r="DP143" s="1646"/>
      <c r="DQ143" s="1646"/>
      <c r="DR143" s="1646"/>
      <c r="DS143" s="1646"/>
      <c r="DT143" s="1646"/>
      <c r="DU143" s="1646"/>
      <c r="DV143" s="1653"/>
    </row>
    <row r="144" spans="2:126" ht="29.25" customHeight="1" x14ac:dyDescent="0.15">
      <c r="B144" s="1040"/>
      <c r="C144" s="1648" t="str">
        <f t="shared" si="7"/>
        <v/>
      </c>
      <c r="D144" s="1648"/>
      <c r="E144" s="1648"/>
      <c r="F144" s="1648"/>
      <c r="G144" s="1648"/>
      <c r="H144" s="1648"/>
      <c r="I144" s="1648"/>
      <c r="J144" s="1648"/>
      <c r="K144" s="1648"/>
      <c r="L144" s="1648"/>
      <c r="M144" s="1648"/>
      <c r="N144" s="1648"/>
      <c r="O144" s="1648"/>
      <c r="P144" s="1648"/>
      <c r="Q144" s="1648"/>
      <c r="R144" s="1648"/>
      <c r="S144" s="1648"/>
      <c r="T144" s="1648"/>
      <c r="U144" s="1648"/>
      <c r="V144" s="1648"/>
      <c r="W144" s="1648"/>
      <c r="X144" s="1648"/>
      <c r="Y144" s="1648"/>
      <c r="Z144" s="1648"/>
      <c r="AA144" s="1648"/>
      <c r="AB144" s="1648"/>
      <c r="AC144" s="1648"/>
      <c r="AD144" s="1648"/>
      <c r="AE144" s="1648"/>
      <c r="AF144" s="1648"/>
      <c r="AG144" s="1648"/>
      <c r="AH144" s="1648"/>
      <c r="AI144" s="1648"/>
      <c r="AJ144" s="1648"/>
      <c r="AK144" s="1648"/>
      <c r="AL144" s="1648"/>
      <c r="AM144" s="1648"/>
      <c r="AN144" s="1648"/>
      <c r="AO144" s="1648"/>
      <c r="AP144" s="1648"/>
      <c r="AQ144" s="1648"/>
      <c r="AR144" s="1648"/>
      <c r="AS144" s="1648"/>
      <c r="AT144" s="1648"/>
      <c r="AU144" s="1648"/>
      <c r="AV144" s="1648"/>
      <c r="AW144" s="1648"/>
      <c r="AX144" s="1648"/>
      <c r="AY144" s="1648"/>
      <c r="AZ144" s="1648"/>
      <c r="BA144" s="1648"/>
      <c r="BB144" s="1648"/>
      <c r="BC144" s="1648"/>
      <c r="BD144" s="1648"/>
      <c r="BE144" s="1648"/>
      <c r="BF144" s="1648"/>
      <c r="BG144" s="314"/>
      <c r="BH144" s="266"/>
      <c r="BI144" s="487"/>
      <c r="BJ144" s="252"/>
      <c r="BK144" s="1644" t="str">
        <f>+""</f>
        <v/>
      </c>
      <c r="BL144" s="1644"/>
      <c r="BM144" s="1644"/>
      <c r="BN144" s="1644"/>
      <c r="BO144" s="1644"/>
      <c r="BP144" s="1644"/>
      <c r="BQ144" s="1644"/>
      <c r="BR144" s="1644"/>
      <c r="BS144" s="1644"/>
      <c r="BT144" s="1644"/>
      <c r="BU144" s="1644"/>
      <c r="BV144" s="1644"/>
      <c r="BW144" s="252"/>
      <c r="BX144" s="1644" t="str">
        <f>+""</f>
        <v/>
      </c>
      <c r="BY144" s="1644"/>
      <c r="BZ144" s="1644"/>
      <c r="CA144" s="1644"/>
      <c r="CB144" s="1644"/>
      <c r="CC144" s="1644"/>
      <c r="CD144" s="1644"/>
      <c r="CE144" s="1644"/>
      <c r="CF144" s="1644"/>
      <c r="CG144" s="1644"/>
      <c r="CH144" s="1644"/>
      <c r="CI144" s="1644"/>
      <c r="CJ144" s="252"/>
      <c r="CK144" s="1644" t="str">
        <f>+""</f>
        <v/>
      </c>
      <c r="CL144" s="1644"/>
      <c r="CM144" s="1644"/>
      <c r="CN144" s="1644"/>
      <c r="CO144" s="1644"/>
      <c r="CP144" s="1644"/>
      <c r="CQ144" s="1644"/>
      <c r="CR144" s="1644"/>
      <c r="CS144" s="1644"/>
      <c r="CT144" s="1644"/>
      <c r="CU144" s="1644"/>
      <c r="CV144" s="1644"/>
      <c r="CW144" s="252"/>
      <c r="CX144" s="1644" t="str">
        <f>+""</f>
        <v/>
      </c>
      <c r="CY144" s="1644"/>
      <c r="CZ144" s="1644"/>
      <c r="DA144" s="1644"/>
      <c r="DB144" s="1644"/>
      <c r="DC144" s="1644"/>
      <c r="DD144" s="1644"/>
      <c r="DE144" s="1644"/>
      <c r="DF144" s="1644"/>
      <c r="DG144" s="1644"/>
      <c r="DH144" s="1644"/>
      <c r="DI144" s="1644"/>
      <c r="DJ144" s="252"/>
      <c r="DK144" s="1646" t="str">
        <f>+""</f>
        <v/>
      </c>
      <c r="DL144" s="1646"/>
      <c r="DM144" s="1646"/>
      <c r="DN144" s="1646"/>
      <c r="DO144" s="1646"/>
      <c r="DP144" s="1646"/>
      <c r="DQ144" s="1646"/>
      <c r="DR144" s="1646"/>
      <c r="DS144" s="1646"/>
      <c r="DT144" s="1646"/>
      <c r="DU144" s="1646"/>
      <c r="DV144" s="1653"/>
    </row>
    <row r="145" spans="2:126" ht="29.25" customHeight="1" x14ac:dyDescent="0.15">
      <c r="B145" s="1040"/>
      <c r="C145" s="1648" t="str">
        <f t="shared" si="7"/>
        <v/>
      </c>
      <c r="D145" s="1648"/>
      <c r="E145" s="1648"/>
      <c r="F145" s="1648"/>
      <c r="G145" s="1648"/>
      <c r="H145" s="1648"/>
      <c r="I145" s="1648"/>
      <c r="J145" s="1648"/>
      <c r="K145" s="1648"/>
      <c r="L145" s="1648"/>
      <c r="M145" s="1648"/>
      <c r="N145" s="1648"/>
      <c r="O145" s="1648"/>
      <c r="P145" s="1648"/>
      <c r="Q145" s="1648"/>
      <c r="R145" s="1648"/>
      <c r="S145" s="1648"/>
      <c r="T145" s="1648"/>
      <c r="U145" s="1648"/>
      <c r="V145" s="1648"/>
      <c r="W145" s="1648"/>
      <c r="X145" s="1648"/>
      <c r="Y145" s="1648"/>
      <c r="Z145" s="1648"/>
      <c r="AA145" s="1648"/>
      <c r="AB145" s="1648"/>
      <c r="AC145" s="1648"/>
      <c r="AD145" s="1648"/>
      <c r="AE145" s="1648"/>
      <c r="AF145" s="1648"/>
      <c r="AG145" s="1648"/>
      <c r="AH145" s="1648"/>
      <c r="AI145" s="1648"/>
      <c r="AJ145" s="1648"/>
      <c r="AK145" s="1648"/>
      <c r="AL145" s="1648"/>
      <c r="AM145" s="1648"/>
      <c r="AN145" s="1648"/>
      <c r="AO145" s="1648"/>
      <c r="AP145" s="1648"/>
      <c r="AQ145" s="1648"/>
      <c r="AR145" s="1648"/>
      <c r="AS145" s="1648"/>
      <c r="AT145" s="1648"/>
      <c r="AU145" s="1648"/>
      <c r="AV145" s="1648"/>
      <c r="AW145" s="1648"/>
      <c r="AX145" s="1648"/>
      <c r="AY145" s="1648"/>
      <c r="AZ145" s="1648"/>
      <c r="BA145" s="1648"/>
      <c r="BB145" s="1648"/>
      <c r="BC145" s="1648"/>
      <c r="BD145" s="1648"/>
      <c r="BE145" s="1648"/>
      <c r="BF145" s="1648"/>
      <c r="BG145" s="314"/>
      <c r="BH145" s="266"/>
      <c r="BI145" s="487"/>
      <c r="BJ145" s="252"/>
      <c r="BK145" s="1644" t="str">
        <f>+""</f>
        <v/>
      </c>
      <c r="BL145" s="1644"/>
      <c r="BM145" s="1644"/>
      <c r="BN145" s="1644"/>
      <c r="BO145" s="1644"/>
      <c r="BP145" s="1644"/>
      <c r="BQ145" s="1644"/>
      <c r="BR145" s="1644"/>
      <c r="BS145" s="1644"/>
      <c r="BT145" s="1644"/>
      <c r="BU145" s="1644"/>
      <c r="BV145" s="1644"/>
      <c r="BW145" s="252"/>
      <c r="BX145" s="1644" t="str">
        <f>+""</f>
        <v/>
      </c>
      <c r="BY145" s="1644"/>
      <c r="BZ145" s="1644"/>
      <c r="CA145" s="1644"/>
      <c r="CB145" s="1644"/>
      <c r="CC145" s="1644"/>
      <c r="CD145" s="1644"/>
      <c r="CE145" s="1644"/>
      <c r="CF145" s="1644"/>
      <c r="CG145" s="1644"/>
      <c r="CH145" s="1644"/>
      <c r="CI145" s="1644"/>
      <c r="CJ145" s="252"/>
      <c r="CK145" s="1644" t="str">
        <f>+""</f>
        <v/>
      </c>
      <c r="CL145" s="1644"/>
      <c r="CM145" s="1644"/>
      <c r="CN145" s="1644"/>
      <c r="CO145" s="1644"/>
      <c r="CP145" s="1644"/>
      <c r="CQ145" s="1644"/>
      <c r="CR145" s="1644"/>
      <c r="CS145" s="1644"/>
      <c r="CT145" s="1644"/>
      <c r="CU145" s="1644"/>
      <c r="CV145" s="1644"/>
      <c r="CW145" s="252"/>
      <c r="CX145" s="1644" t="str">
        <f>+""</f>
        <v/>
      </c>
      <c r="CY145" s="1644"/>
      <c r="CZ145" s="1644"/>
      <c r="DA145" s="1644"/>
      <c r="DB145" s="1644"/>
      <c r="DC145" s="1644"/>
      <c r="DD145" s="1644"/>
      <c r="DE145" s="1644"/>
      <c r="DF145" s="1644"/>
      <c r="DG145" s="1644"/>
      <c r="DH145" s="1644"/>
      <c r="DI145" s="1644"/>
      <c r="DJ145" s="252"/>
      <c r="DK145" s="1646" t="str">
        <f>+""</f>
        <v/>
      </c>
      <c r="DL145" s="1646"/>
      <c r="DM145" s="1646"/>
      <c r="DN145" s="1646"/>
      <c r="DO145" s="1646"/>
      <c r="DP145" s="1646"/>
      <c r="DQ145" s="1646"/>
      <c r="DR145" s="1646"/>
      <c r="DS145" s="1646"/>
      <c r="DT145" s="1646"/>
      <c r="DU145" s="1646"/>
      <c r="DV145" s="1653"/>
    </row>
    <row r="146" spans="2:126" ht="29.25" customHeight="1" x14ac:dyDescent="0.15">
      <c r="B146" s="1040"/>
      <c r="C146" s="1648" t="str">
        <f t="shared" si="7"/>
        <v/>
      </c>
      <c r="D146" s="1648"/>
      <c r="E146" s="1648"/>
      <c r="F146" s="1648"/>
      <c r="G146" s="1648"/>
      <c r="H146" s="1648"/>
      <c r="I146" s="1648"/>
      <c r="J146" s="1648"/>
      <c r="K146" s="1648"/>
      <c r="L146" s="1648"/>
      <c r="M146" s="1648"/>
      <c r="N146" s="1648"/>
      <c r="O146" s="1648"/>
      <c r="P146" s="1648"/>
      <c r="Q146" s="1648"/>
      <c r="R146" s="1648"/>
      <c r="S146" s="1648"/>
      <c r="T146" s="1648"/>
      <c r="U146" s="1648"/>
      <c r="V146" s="1648"/>
      <c r="W146" s="1648"/>
      <c r="X146" s="1648"/>
      <c r="Y146" s="1648"/>
      <c r="Z146" s="1648"/>
      <c r="AA146" s="1648"/>
      <c r="AB146" s="1648"/>
      <c r="AC146" s="1648"/>
      <c r="AD146" s="1648"/>
      <c r="AE146" s="1648"/>
      <c r="AF146" s="1648"/>
      <c r="AG146" s="1648"/>
      <c r="AH146" s="1648"/>
      <c r="AI146" s="1648"/>
      <c r="AJ146" s="1648"/>
      <c r="AK146" s="1648"/>
      <c r="AL146" s="1648"/>
      <c r="AM146" s="1648"/>
      <c r="AN146" s="1648"/>
      <c r="AO146" s="1648"/>
      <c r="AP146" s="1648"/>
      <c r="AQ146" s="1648"/>
      <c r="AR146" s="1648"/>
      <c r="AS146" s="1648"/>
      <c r="AT146" s="1648"/>
      <c r="AU146" s="1648"/>
      <c r="AV146" s="1648"/>
      <c r="AW146" s="1648"/>
      <c r="AX146" s="1648"/>
      <c r="AY146" s="1648"/>
      <c r="AZ146" s="1648"/>
      <c r="BA146" s="1648"/>
      <c r="BB146" s="1648"/>
      <c r="BC146" s="1648"/>
      <c r="BD146" s="1648"/>
      <c r="BE146" s="1648"/>
      <c r="BF146" s="1648"/>
      <c r="BG146" s="314"/>
      <c r="BH146" s="266"/>
      <c r="BI146" s="487"/>
      <c r="BJ146" s="252"/>
      <c r="BK146" s="1644" t="str">
        <f>+""</f>
        <v/>
      </c>
      <c r="BL146" s="1644"/>
      <c r="BM146" s="1644"/>
      <c r="BN146" s="1644"/>
      <c r="BO146" s="1644"/>
      <c r="BP146" s="1644"/>
      <c r="BQ146" s="1644"/>
      <c r="BR146" s="1644"/>
      <c r="BS146" s="1644"/>
      <c r="BT146" s="1644"/>
      <c r="BU146" s="1644"/>
      <c r="BV146" s="1644"/>
      <c r="BW146" s="252"/>
      <c r="BX146" s="1644" t="str">
        <f>+""</f>
        <v/>
      </c>
      <c r="BY146" s="1644"/>
      <c r="BZ146" s="1644"/>
      <c r="CA146" s="1644"/>
      <c r="CB146" s="1644"/>
      <c r="CC146" s="1644"/>
      <c r="CD146" s="1644"/>
      <c r="CE146" s="1644"/>
      <c r="CF146" s="1644"/>
      <c r="CG146" s="1644"/>
      <c r="CH146" s="1644"/>
      <c r="CI146" s="1644"/>
      <c r="CJ146" s="252"/>
      <c r="CK146" s="1644" t="str">
        <f>+""</f>
        <v/>
      </c>
      <c r="CL146" s="1644"/>
      <c r="CM146" s="1644"/>
      <c r="CN146" s="1644"/>
      <c r="CO146" s="1644"/>
      <c r="CP146" s="1644"/>
      <c r="CQ146" s="1644"/>
      <c r="CR146" s="1644"/>
      <c r="CS146" s="1644"/>
      <c r="CT146" s="1644"/>
      <c r="CU146" s="1644"/>
      <c r="CV146" s="1644"/>
      <c r="CW146" s="252"/>
      <c r="CX146" s="1644" t="str">
        <f>+""</f>
        <v/>
      </c>
      <c r="CY146" s="1644"/>
      <c r="CZ146" s="1644"/>
      <c r="DA146" s="1644"/>
      <c r="DB146" s="1644"/>
      <c r="DC146" s="1644"/>
      <c r="DD146" s="1644"/>
      <c r="DE146" s="1644"/>
      <c r="DF146" s="1644"/>
      <c r="DG146" s="1644"/>
      <c r="DH146" s="1644"/>
      <c r="DI146" s="1644"/>
      <c r="DJ146" s="252"/>
      <c r="DK146" s="1646" t="str">
        <f>+""</f>
        <v/>
      </c>
      <c r="DL146" s="1646"/>
      <c r="DM146" s="1646"/>
      <c r="DN146" s="1646"/>
      <c r="DO146" s="1646"/>
      <c r="DP146" s="1646"/>
      <c r="DQ146" s="1646"/>
      <c r="DR146" s="1646"/>
      <c r="DS146" s="1646"/>
      <c r="DT146" s="1646"/>
      <c r="DU146" s="1646"/>
      <c r="DV146" s="1653"/>
    </row>
    <row r="147" spans="2:126" ht="29.25" customHeight="1" x14ac:dyDescent="0.15">
      <c r="B147" s="1040"/>
      <c r="C147" s="1648" t="str">
        <f t="shared" si="7"/>
        <v/>
      </c>
      <c r="D147" s="1648"/>
      <c r="E147" s="1648"/>
      <c r="F147" s="1648"/>
      <c r="G147" s="1648"/>
      <c r="H147" s="1648"/>
      <c r="I147" s="1648"/>
      <c r="J147" s="1648"/>
      <c r="K147" s="1648"/>
      <c r="L147" s="1648"/>
      <c r="M147" s="1648"/>
      <c r="N147" s="1648"/>
      <c r="O147" s="1648"/>
      <c r="P147" s="1648"/>
      <c r="Q147" s="1648"/>
      <c r="R147" s="1648"/>
      <c r="S147" s="1648"/>
      <c r="T147" s="1648"/>
      <c r="U147" s="1648"/>
      <c r="V147" s="1648"/>
      <c r="W147" s="1648"/>
      <c r="X147" s="1648"/>
      <c r="Y147" s="1648"/>
      <c r="Z147" s="1648"/>
      <c r="AA147" s="1648"/>
      <c r="AB147" s="1648"/>
      <c r="AC147" s="1648"/>
      <c r="AD147" s="1648"/>
      <c r="AE147" s="1648"/>
      <c r="AF147" s="1648"/>
      <c r="AG147" s="1648"/>
      <c r="AH147" s="1648"/>
      <c r="AI147" s="1648"/>
      <c r="AJ147" s="1648"/>
      <c r="AK147" s="1648"/>
      <c r="AL147" s="1648"/>
      <c r="AM147" s="1648"/>
      <c r="AN147" s="1648"/>
      <c r="AO147" s="1648"/>
      <c r="AP147" s="1648"/>
      <c r="AQ147" s="1648"/>
      <c r="AR147" s="1648"/>
      <c r="AS147" s="1648"/>
      <c r="AT147" s="1648"/>
      <c r="AU147" s="1648"/>
      <c r="AV147" s="1648"/>
      <c r="AW147" s="1648"/>
      <c r="AX147" s="1648"/>
      <c r="AY147" s="1648"/>
      <c r="AZ147" s="1648"/>
      <c r="BA147" s="1648"/>
      <c r="BB147" s="1648"/>
      <c r="BC147" s="1648"/>
      <c r="BD147" s="1648"/>
      <c r="BE147" s="1648"/>
      <c r="BF147" s="1648"/>
      <c r="BG147" s="314"/>
      <c r="BH147" s="266"/>
      <c r="BI147" s="487"/>
      <c r="BJ147" s="252"/>
      <c r="BK147" s="1644" t="str">
        <f>+""</f>
        <v/>
      </c>
      <c r="BL147" s="1644"/>
      <c r="BM147" s="1644"/>
      <c r="BN147" s="1644"/>
      <c r="BO147" s="1644"/>
      <c r="BP147" s="1644"/>
      <c r="BQ147" s="1644"/>
      <c r="BR147" s="1644"/>
      <c r="BS147" s="1644"/>
      <c r="BT147" s="1644"/>
      <c r="BU147" s="1644"/>
      <c r="BV147" s="1644"/>
      <c r="BW147" s="252"/>
      <c r="BX147" s="1644" t="str">
        <f>+""</f>
        <v/>
      </c>
      <c r="BY147" s="1644"/>
      <c r="BZ147" s="1644"/>
      <c r="CA147" s="1644"/>
      <c r="CB147" s="1644"/>
      <c r="CC147" s="1644"/>
      <c r="CD147" s="1644"/>
      <c r="CE147" s="1644"/>
      <c r="CF147" s="1644"/>
      <c r="CG147" s="1644"/>
      <c r="CH147" s="1644"/>
      <c r="CI147" s="1644"/>
      <c r="CJ147" s="252"/>
      <c r="CK147" s="1644" t="str">
        <f>+""</f>
        <v/>
      </c>
      <c r="CL147" s="1644"/>
      <c r="CM147" s="1644"/>
      <c r="CN147" s="1644"/>
      <c r="CO147" s="1644"/>
      <c r="CP147" s="1644"/>
      <c r="CQ147" s="1644"/>
      <c r="CR147" s="1644"/>
      <c r="CS147" s="1644"/>
      <c r="CT147" s="1644"/>
      <c r="CU147" s="1644"/>
      <c r="CV147" s="1644"/>
      <c r="CW147" s="252"/>
      <c r="CX147" s="1644" t="str">
        <f>+""</f>
        <v/>
      </c>
      <c r="CY147" s="1644"/>
      <c r="CZ147" s="1644"/>
      <c r="DA147" s="1644"/>
      <c r="DB147" s="1644"/>
      <c r="DC147" s="1644"/>
      <c r="DD147" s="1644"/>
      <c r="DE147" s="1644"/>
      <c r="DF147" s="1644"/>
      <c r="DG147" s="1644"/>
      <c r="DH147" s="1644"/>
      <c r="DI147" s="1644"/>
      <c r="DJ147" s="252"/>
      <c r="DK147" s="1646" t="str">
        <f>+""</f>
        <v/>
      </c>
      <c r="DL147" s="1646"/>
      <c r="DM147" s="1646"/>
      <c r="DN147" s="1646"/>
      <c r="DO147" s="1646"/>
      <c r="DP147" s="1646"/>
      <c r="DQ147" s="1646"/>
      <c r="DR147" s="1646"/>
      <c r="DS147" s="1646"/>
      <c r="DT147" s="1646"/>
      <c r="DU147" s="1646"/>
      <c r="DV147" s="1653"/>
    </row>
    <row r="148" spans="2:126" ht="29.25" customHeight="1" x14ac:dyDescent="0.15">
      <c r="B148" s="1040"/>
      <c r="C148" s="1648" t="str">
        <f t="shared" si="7"/>
        <v/>
      </c>
      <c r="D148" s="1648"/>
      <c r="E148" s="1648"/>
      <c r="F148" s="1648"/>
      <c r="G148" s="1648"/>
      <c r="H148" s="1648"/>
      <c r="I148" s="1648"/>
      <c r="J148" s="1648"/>
      <c r="K148" s="1648"/>
      <c r="L148" s="1648"/>
      <c r="M148" s="1648"/>
      <c r="N148" s="1648"/>
      <c r="O148" s="1648"/>
      <c r="P148" s="1648"/>
      <c r="Q148" s="1648"/>
      <c r="R148" s="1648"/>
      <c r="S148" s="1648"/>
      <c r="T148" s="1648"/>
      <c r="U148" s="1648"/>
      <c r="V148" s="1648"/>
      <c r="W148" s="1648"/>
      <c r="X148" s="1648"/>
      <c r="Y148" s="1648"/>
      <c r="Z148" s="1648"/>
      <c r="AA148" s="1648"/>
      <c r="AB148" s="1648"/>
      <c r="AC148" s="1648"/>
      <c r="AD148" s="1648"/>
      <c r="AE148" s="1648"/>
      <c r="AF148" s="1648"/>
      <c r="AG148" s="1648"/>
      <c r="AH148" s="1648"/>
      <c r="AI148" s="1648"/>
      <c r="AJ148" s="1648"/>
      <c r="AK148" s="1648"/>
      <c r="AL148" s="1648"/>
      <c r="AM148" s="1648"/>
      <c r="AN148" s="1648"/>
      <c r="AO148" s="1648"/>
      <c r="AP148" s="1648"/>
      <c r="AQ148" s="1648"/>
      <c r="AR148" s="1648"/>
      <c r="AS148" s="1648"/>
      <c r="AT148" s="1648"/>
      <c r="AU148" s="1648"/>
      <c r="AV148" s="1648"/>
      <c r="AW148" s="1648"/>
      <c r="AX148" s="1648"/>
      <c r="AY148" s="1648"/>
      <c r="AZ148" s="1648"/>
      <c r="BA148" s="1648"/>
      <c r="BB148" s="1648"/>
      <c r="BC148" s="1648"/>
      <c r="BD148" s="1648"/>
      <c r="BE148" s="1648"/>
      <c r="BF148" s="1648"/>
      <c r="BG148" s="314"/>
      <c r="BH148" s="266"/>
      <c r="BI148" s="487"/>
      <c r="BJ148" s="252"/>
      <c r="BK148" s="1644" t="str">
        <f>+""</f>
        <v/>
      </c>
      <c r="BL148" s="1644"/>
      <c r="BM148" s="1644"/>
      <c r="BN148" s="1644"/>
      <c r="BO148" s="1644"/>
      <c r="BP148" s="1644"/>
      <c r="BQ148" s="1644"/>
      <c r="BR148" s="1644"/>
      <c r="BS148" s="1644"/>
      <c r="BT148" s="1644"/>
      <c r="BU148" s="1644"/>
      <c r="BV148" s="1644"/>
      <c r="BW148" s="252"/>
      <c r="BX148" s="1644" t="str">
        <f>+""</f>
        <v/>
      </c>
      <c r="BY148" s="1644"/>
      <c r="BZ148" s="1644"/>
      <c r="CA148" s="1644"/>
      <c r="CB148" s="1644"/>
      <c r="CC148" s="1644"/>
      <c r="CD148" s="1644"/>
      <c r="CE148" s="1644"/>
      <c r="CF148" s="1644"/>
      <c r="CG148" s="1644"/>
      <c r="CH148" s="1644"/>
      <c r="CI148" s="1644"/>
      <c r="CJ148" s="252"/>
      <c r="CK148" s="1644" t="str">
        <f>+""</f>
        <v/>
      </c>
      <c r="CL148" s="1644"/>
      <c r="CM148" s="1644"/>
      <c r="CN148" s="1644"/>
      <c r="CO148" s="1644"/>
      <c r="CP148" s="1644"/>
      <c r="CQ148" s="1644"/>
      <c r="CR148" s="1644"/>
      <c r="CS148" s="1644"/>
      <c r="CT148" s="1644"/>
      <c r="CU148" s="1644"/>
      <c r="CV148" s="1644"/>
      <c r="CW148" s="252"/>
      <c r="CX148" s="1644" t="str">
        <f>+""</f>
        <v/>
      </c>
      <c r="CY148" s="1644"/>
      <c r="CZ148" s="1644"/>
      <c r="DA148" s="1644"/>
      <c r="DB148" s="1644"/>
      <c r="DC148" s="1644"/>
      <c r="DD148" s="1644"/>
      <c r="DE148" s="1644"/>
      <c r="DF148" s="1644"/>
      <c r="DG148" s="1644"/>
      <c r="DH148" s="1644"/>
      <c r="DI148" s="1644"/>
      <c r="DJ148" s="252"/>
      <c r="DK148" s="1646" t="str">
        <f>+""</f>
        <v/>
      </c>
      <c r="DL148" s="1646"/>
      <c r="DM148" s="1646"/>
      <c r="DN148" s="1646"/>
      <c r="DO148" s="1646"/>
      <c r="DP148" s="1646"/>
      <c r="DQ148" s="1646"/>
      <c r="DR148" s="1646"/>
      <c r="DS148" s="1646"/>
      <c r="DT148" s="1646"/>
      <c r="DU148" s="1646"/>
      <c r="DV148" s="1653"/>
    </row>
    <row r="149" spans="2:126" ht="29.25" customHeight="1" x14ac:dyDescent="0.15">
      <c r="B149" s="1040"/>
      <c r="C149" s="1648" t="str">
        <f t="shared" si="7"/>
        <v/>
      </c>
      <c r="D149" s="1648"/>
      <c r="E149" s="1648"/>
      <c r="F149" s="1648"/>
      <c r="G149" s="1648"/>
      <c r="H149" s="1648"/>
      <c r="I149" s="1648"/>
      <c r="J149" s="1648"/>
      <c r="K149" s="1648"/>
      <c r="L149" s="1648"/>
      <c r="M149" s="1648"/>
      <c r="N149" s="1648"/>
      <c r="O149" s="1648"/>
      <c r="P149" s="1648"/>
      <c r="Q149" s="1648"/>
      <c r="R149" s="1648"/>
      <c r="S149" s="1648"/>
      <c r="T149" s="1648"/>
      <c r="U149" s="1648"/>
      <c r="V149" s="1648"/>
      <c r="W149" s="1648"/>
      <c r="X149" s="1648"/>
      <c r="Y149" s="1648"/>
      <c r="Z149" s="1648"/>
      <c r="AA149" s="1648"/>
      <c r="AB149" s="1648"/>
      <c r="AC149" s="1648"/>
      <c r="AD149" s="1648"/>
      <c r="AE149" s="1648"/>
      <c r="AF149" s="1648"/>
      <c r="AG149" s="1648"/>
      <c r="AH149" s="1648"/>
      <c r="AI149" s="1648"/>
      <c r="AJ149" s="1648"/>
      <c r="AK149" s="1648"/>
      <c r="AL149" s="1648"/>
      <c r="AM149" s="1648"/>
      <c r="AN149" s="1648"/>
      <c r="AO149" s="1648"/>
      <c r="AP149" s="1648"/>
      <c r="AQ149" s="1648"/>
      <c r="AR149" s="1648"/>
      <c r="AS149" s="1648"/>
      <c r="AT149" s="1648"/>
      <c r="AU149" s="1648"/>
      <c r="AV149" s="1648"/>
      <c r="AW149" s="1648"/>
      <c r="AX149" s="1648"/>
      <c r="AY149" s="1648"/>
      <c r="AZ149" s="1648"/>
      <c r="BA149" s="1648"/>
      <c r="BB149" s="1648"/>
      <c r="BC149" s="1648"/>
      <c r="BD149" s="1648"/>
      <c r="BE149" s="1648"/>
      <c r="BF149" s="1648"/>
      <c r="BG149" s="314"/>
      <c r="BH149" s="266"/>
      <c r="BI149" s="487"/>
      <c r="BJ149" s="252"/>
      <c r="BK149" s="1644" t="str">
        <f>+""</f>
        <v/>
      </c>
      <c r="BL149" s="1644"/>
      <c r="BM149" s="1644"/>
      <c r="BN149" s="1644"/>
      <c r="BO149" s="1644"/>
      <c r="BP149" s="1644"/>
      <c r="BQ149" s="1644"/>
      <c r="BR149" s="1644"/>
      <c r="BS149" s="1644"/>
      <c r="BT149" s="1644"/>
      <c r="BU149" s="1644"/>
      <c r="BV149" s="1644"/>
      <c r="BW149" s="252"/>
      <c r="BX149" s="1644" t="str">
        <f>+""</f>
        <v/>
      </c>
      <c r="BY149" s="1644"/>
      <c r="BZ149" s="1644"/>
      <c r="CA149" s="1644"/>
      <c r="CB149" s="1644"/>
      <c r="CC149" s="1644"/>
      <c r="CD149" s="1644"/>
      <c r="CE149" s="1644"/>
      <c r="CF149" s="1644"/>
      <c r="CG149" s="1644"/>
      <c r="CH149" s="1644"/>
      <c r="CI149" s="1644"/>
      <c r="CJ149" s="252"/>
      <c r="CK149" s="1644" t="str">
        <f>+""</f>
        <v/>
      </c>
      <c r="CL149" s="1644"/>
      <c r="CM149" s="1644"/>
      <c r="CN149" s="1644"/>
      <c r="CO149" s="1644"/>
      <c r="CP149" s="1644"/>
      <c r="CQ149" s="1644"/>
      <c r="CR149" s="1644"/>
      <c r="CS149" s="1644"/>
      <c r="CT149" s="1644"/>
      <c r="CU149" s="1644"/>
      <c r="CV149" s="1644"/>
      <c r="CW149" s="252"/>
      <c r="CX149" s="1644" t="str">
        <f>+""</f>
        <v/>
      </c>
      <c r="CY149" s="1644"/>
      <c r="CZ149" s="1644"/>
      <c r="DA149" s="1644"/>
      <c r="DB149" s="1644"/>
      <c r="DC149" s="1644"/>
      <c r="DD149" s="1644"/>
      <c r="DE149" s="1644"/>
      <c r="DF149" s="1644"/>
      <c r="DG149" s="1644"/>
      <c r="DH149" s="1644"/>
      <c r="DI149" s="1644"/>
      <c r="DJ149" s="252"/>
      <c r="DK149" s="1646" t="str">
        <f>+""</f>
        <v/>
      </c>
      <c r="DL149" s="1646"/>
      <c r="DM149" s="1646"/>
      <c r="DN149" s="1646"/>
      <c r="DO149" s="1646"/>
      <c r="DP149" s="1646"/>
      <c r="DQ149" s="1646"/>
      <c r="DR149" s="1646"/>
      <c r="DS149" s="1646"/>
      <c r="DT149" s="1646"/>
      <c r="DU149" s="1646"/>
      <c r="DV149" s="1653"/>
    </row>
    <row r="150" spans="2:126" ht="29.25" customHeight="1" x14ac:dyDescent="0.15">
      <c r="B150" s="1040"/>
      <c r="C150" s="1648" t="str">
        <f t="shared" si="7"/>
        <v/>
      </c>
      <c r="D150" s="1648"/>
      <c r="E150" s="1648"/>
      <c r="F150" s="1648"/>
      <c r="G150" s="1648"/>
      <c r="H150" s="1648"/>
      <c r="I150" s="1648"/>
      <c r="J150" s="1648"/>
      <c r="K150" s="1648"/>
      <c r="L150" s="1648"/>
      <c r="M150" s="1648"/>
      <c r="N150" s="1648"/>
      <c r="O150" s="1648"/>
      <c r="P150" s="1648"/>
      <c r="Q150" s="1648"/>
      <c r="R150" s="1648"/>
      <c r="S150" s="1648"/>
      <c r="T150" s="1648"/>
      <c r="U150" s="1648"/>
      <c r="V150" s="1648"/>
      <c r="W150" s="1648"/>
      <c r="X150" s="1648"/>
      <c r="Y150" s="1648"/>
      <c r="Z150" s="1648"/>
      <c r="AA150" s="1648"/>
      <c r="AB150" s="1648"/>
      <c r="AC150" s="1648"/>
      <c r="AD150" s="1648"/>
      <c r="AE150" s="1648"/>
      <c r="AF150" s="1648"/>
      <c r="AG150" s="1648"/>
      <c r="AH150" s="1648"/>
      <c r="AI150" s="1648"/>
      <c r="AJ150" s="1648"/>
      <c r="AK150" s="1648"/>
      <c r="AL150" s="1648"/>
      <c r="AM150" s="1648"/>
      <c r="AN150" s="1648"/>
      <c r="AO150" s="1648"/>
      <c r="AP150" s="1648"/>
      <c r="AQ150" s="1648"/>
      <c r="AR150" s="1648"/>
      <c r="AS150" s="1648"/>
      <c r="AT150" s="1648"/>
      <c r="AU150" s="1648"/>
      <c r="AV150" s="1648"/>
      <c r="AW150" s="1648"/>
      <c r="AX150" s="1648"/>
      <c r="AY150" s="1648"/>
      <c r="AZ150" s="1648"/>
      <c r="BA150" s="1648"/>
      <c r="BB150" s="1648"/>
      <c r="BC150" s="1648"/>
      <c r="BD150" s="1648"/>
      <c r="BE150" s="1648"/>
      <c r="BF150" s="1648"/>
      <c r="BG150" s="314"/>
      <c r="BH150" s="266"/>
      <c r="BI150" s="487"/>
      <c r="BJ150" s="252"/>
      <c r="BK150" s="1644" t="str">
        <f>+""</f>
        <v/>
      </c>
      <c r="BL150" s="1644"/>
      <c r="BM150" s="1644"/>
      <c r="BN150" s="1644"/>
      <c r="BO150" s="1644"/>
      <c r="BP150" s="1644"/>
      <c r="BQ150" s="1644"/>
      <c r="BR150" s="1644"/>
      <c r="BS150" s="1644"/>
      <c r="BT150" s="1644"/>
      <c r="BU150" s="1644"/>
      <c r="BV150" s="1644"/>
      <c r="BW150" s="252"/>
      <c r="BX150" s="1644" t="str">
        <f>+""</f>
        <v/>
      </c>
      <c r="BY150" s="1644"/>
      <c r="BZ150" s="1644"/>
      <c r="CA150" s="1644"/>
      <c r="CB150" s="1644"/>
      <c r="CC150" s="1644"/>
      <c r="CD150" s="1644"/>
      <c r="CE150" s="1644"/>
      <c r="CF150" s="1644"/>
      <c r="CG150" s="1644"/>
      <c r="CH150" s="1644"/>
      <c r="CI150" s="1644"/>
      <c r="CJ150" s="252"/>
      <c r="CK150" s="1644" t="str">
        <f>+""</f>
        <v/>
      </c>
      <c r="CL150" s="1644"/>
      <c r="CM150" s="1644"/>
      <c r="CN150" s="1644"/>
      <c r="CO150" s="1644"/>
      <c r="CP150" s="1644"/>
      <c r="CQ150" s="1644"/>
      <c r="CR150" s="1644"/>
      <c r="CS150" s="1644"/>
      <c r="CT150" s="1644"/>
      <c r="CU150" s="1644"/>
      <c r="CV150" s="1644"/>
      <c r="CW150" s="252"/>
      <c r="CX150" s="1644" t="str">
        <f>+""</f>
        <v/>
      </c>
      <c r="CY150" s="1644"/>
      <c r="CZ150" s="1644"/>
      <c r="DA150" s="1644"/>
      <c r="DB150" s="1644"/>
      <c r="DC150" s="1644"/>
      <c r="DD150" s="1644"/>
      <c r="DE150" s="1644"/>
      <c r="DF150" s="1644"/>
      <c r="DG150" s="1644"/>
      <c r="DH150" s="1644"/>
      <c r="DI150" s="1644"/>
      <c r="DJ150" s="252"/>
      <c r="DK150" s="1646" t="str">
        <f>+""</f>
        <v/>
      </c>
      <c r="DL150" s="1646"/>
      <c r="DM150" s="1646"/>
      <c r="DN150" s="1646"/>
      <c r="DO150" s="1646"/>
      <c r="DP150" s="1646"/>
      <c r="DQ150" s="1646"/>
      <c r="DR150" s="1646"/>
      <c r="DS150" s="1646"/>
      <c r="DT150" s="1646"/>
      <c r="DU150" s="1646"/>
      <c r="DV150" s="1653"/>
    </row>
    <row r="151" spans="2:126" ht="29.25" customHeight="1" x14ac:dyDescent="0.15">
      <c r="B151" s="1040"/>
      <c r="C151" s="1648" t="str">
        <f t="shared" si="7"/>
        <v/>
      </c>
      <c r="D151" s="1648"/>
      <c r="E151" s="1648"/>
      <c r="F151" s="1648"/>
      <c r="G151" s="1648"/>
      <c r="H151" s="1648"/>
      <c r="I151" s="1648"/>
      <c r="J151" s="1648"/>
      <c r="K151" s="1648"/>
      <c r="L151" s="1648"/>
      <c r="M151" s="1648"/>
      <c r="N151" s="1648"/>
      <c r="O151" s="1648"/>
      <c r="P151" s="1648"/>
      <c r="Q151" s="1648"/>
      <c r="R151" s="1648"/>
      <c r="S151" s="1648"/>
      <c r="T151" s="1648"/>
      <c r="U151" s="1648"/>
      <c r="V151" s="1648"/>
      <c r="W151" s="1648"/>
      <c r="X151" s="1648"/>
      <c r="Y151" s="1648"/>
      <c r="Z151" s="1648"/>
      <c r="AA151" s="1648"/>
      <c r="AB151" s="1648"/>
      <c r="AC151" s="1648"/>
      <c r="AD151" s="1648"/>
      <c r="AE151" s="1648"/>
      <c r="AF151" s="1648"/>
      <c r="AG151" s="1648"/>
      <c r="AH151" s="1648"/>
      <c r="AI151" s="1648"/>
      <c r="AJ151" s="1648"/>
      <c r="AK151" s="1648"/>
      <c r="AL151" s="1648"/>
      <c r="AM151" s="1648"/>
      <c r="AN151" s="1648"/>
      <c r="AO151" s="1648"/>
      <c r="AP151" s="1648"/>
      <c r="AQ151" s="1648"/>
      <c r="AR151" s="1648"/>
      <c r="AS151" s="1648"/>
      <c r="AT151" s="1648"/>
      <c r="AU151" s="1648"/>
      <c r="AV151" s="1648"/>
      <c r="AW151" s="1648"/>
      <c r="AX151" s="1648"/>
      <c r="AY151" s="1648"/>
      <c r="AZ151" s="1648"/>
      <c r="BA151" s="1648"/>
      <c r="BB151" s="1648"/>
      <c r="BC151" s="1648"/>
      <c r="BD151" s="1648"/>
      <c r="BE151" s="1648"/>
      <c r="BF151" s="1648"/>
      <c r="BG151" s="314"/>
      <c r="BH151" s="266"/>
      <c r="BI151" s="487"/>
      <c r="BJ151" s="252"/>
      <c r="BK151" s="1644" t="str">
        <f>+""</f>
        <v/>
      </c>
      <c r="BL151" s="1644"/>
      <c r="BM151" s="1644"/>
      <c r="BN151" s="1644"/>
      <c r="BO151" s="1644"/>
      <c r="BP151" s="1644"/>
      <c r="BQ151" s="1644"/>
      <c r="BR151" s="1644"/>
      <c r="BS151" s="1644"/>
      <c r="BT151" s="1644"/>
      <c r="BU151" s="1644"/>
      <c r="BV151" s="1644"/>
      <c r="BW151" s="252"/>
      <c r="BX151" s="1644" t="str">
        <f>+""</f>
        <v/>
      </c>
      <c r="BY151" s="1644"/>
      <c r="BZ151" s="1644"/>
      <c r="CA151" s="1644"/>
      <c r="CB151" s="1644"/>
      <c r="CC151" s="1644"/>
      <c r="CD151" s="1644"/>
      <c r="CE151" s="1644"/>
      <c r="CF151" s="1644"/>
      <c r="CG151" s="1644"/>
      <c r="CH151" s="1644"/>
      <c r="CI151" s="1644"/>
      <c r="CJ151" s="252"/>
      <c r="CK151" s="1644" t="str">
        <f>+""</f>
        <v/>
      </c>
      <c r="CL151" s="1644"/>
      <c r="CM151" s="1644"/>
      <c r="CN151" s="1644"/>
      <c r="CO151" s="1644"/>
      <c r="CP151" s="1644"/>
      <c r="CQ151" s="1644"/>
      <c r="CR151" s="1644"/>
      <c r="CS151" s="1644"/>
      <c r="CT151" s="1644"/>
      <c r="CU151" s="1644"/>
      <c r="CV151" s="1644"/>
      <c r="CW151" s="252"/>
      <c r="CX151" s="1644" t="str">
        <f>+""</f>
        <v/>
      </c>
      <c r="CY151" s="1644"/>
      <c r="CZ151" s="1644"/>
      <c r="DA151" s="1644"/>
      <c r="DB151" s="1644"/>
      <c r="DC151" s="1644"/>
      <c r="DD151" s="1644"/>
      <c r="DE151" s="1644"/>
      <c r="DF151" s="1644"/>
      <c r="DG151" s="1644"/>
      <c r="DH151" s="1644"/>
      <c r="DI151" s="1644"/>
      <c r="DJ151" s="252"/>
      <c r="DK151" s="1646" t="str">
        <f>+""</f>
        <v/>
      </c>
      <c r="DL151" s="1646"/>
      <c r="DM151" s="1646"/>
      <c r="DN151" s="1646"/>
      <c r="DO151" s="1646"/>
      <c r="DP151" s="1646"/>
      <c r="DQ151" s="1646"/>
      <c r="DR151" s="1646"/>
      <c r="DS151" s="1646"/>
      <c r="DT151" s="1646"/>
      <c r="DU151" s="1646"/>
      <c r="DV151" s="1653"/>
    </row>
    <row r="152" spans="2:126" ht="29.25" customHeight="1" x14ac:dyDescent="0.15">
      <c r="B152" s="1040"/>
      <c r="C152" s="1648" t="str">
        <f t="shared" si="7"/>
        <v/>
      </c>
      <c r="D152" s="1648"/>
      <c r="E152" s="1648"/>
      <c r="F152" s="1648"/>
      <c r="G152" s="1648"/>
      <c r="H152" s="1648"/>
      <c r="I152" s="1648"/>
      <c r="J152" s="1648"/>
      <c r="K152" s="1648"/>
      <c r="L152" s="1648"/>
      <c r="M152" s="1648"/>
      <c r="N152" s="1648"/>
      <c r="O152" s="1648"/>
      <c r="P152" s="1648"/>
      <c r="Q152" s="1648"/>
      <c r="R152" s="1648"/>
      <c r="S152" s="1648"/>
      <c r="T152" s="1648"/>
      <c r="U152" s="1648"/>
      <c r="V152" s="1648"/>
      <c r="W152" s="1648"/>
      <c r="X152" s="1648"/>
      <c r="Y152" s="1648"/>
      <c r="Z152" s="1648"/>
      <c r="AA152" s="1648"/>
      <c r="AB152" s="1648"/>
      <c r="AC152" s="1648"/>
      <c r="AD152" s="1648"/>
      <c r="AE152" s="1648"/>
      <c r="AF152" s="1648"/>
      <c r="AG152" s="1648"/>
      <c r="AH152" s="1648"/>
      <c r="AI152" s="1648"/>
      <c r="AJ152" s="1648"/>
      <c r="AK152" s="1648"/>
      <c r="AL152" s="1648"/>
      <c r="AM152" s="1648"/>
      <c r="AN152" s="1648"/>
      <c r="AO152" s="1648"/>
      <c r="AP152" s="1648"/>
      <c r="AQ152" s="1648"/>
      <c r="AR152" s="1648"/>
      <c r="AS152" s="1648"/>
      <c r="AT152" s="1648"/>
      <c r="AU152" s="1648"/>
      <c r="AV152" s="1648"/>
      <c r="AW152" s="1648"/>
      <c r="AX152" s="1648"/>
      <c r="AY152" s="1648"/>
      <c r="AZ152" s="1648"/>
      <c r="BA152" s="1648"/>
      <c r="BB152" s="1648"/>
      <c r="BC152" s="1648"/>
      <c r="BD152" s="1648"/>
      <c r="BE152" s="1648"/>
      <c r="BF152" s="1648"/>
      <c r="BG152" s="314"/>
      <c r="BH152" s="266"/>
      <c r="BI152" s="487"/>
      <c r="BJ152" s="252"/>
      <c r="BK152" s="1644" t="str">
        <f>+""</f>
        <v/>
      </c>
      <c r="BL152" s="1644"/>
      <c r="BM152" s="1644"/>
      <c r="BN152" s="1644"/>
      <c r="BO152" s="1644"/>
      <c r="BP152" s="1644"/>
      <c r="BQ152" s="1644"/>
      <c r="BR152" s="1644"/>
      <c r="BS152" s="1644"/>
      <c r="BT152" s="1644"/>
      <c r="BU152" s="1644"/>
      <c r="BV152" s="1644"/>
      <c r="BW152" s="252"/>
      <c r="BX152" s="1644" t="str">
        <f>+""</f>
        <v/>
      </c>
      <c r="BY152" s="1644"/>
      <c r="BZ152" s="1644"/>
      <c r="CA152" s="1644"/>
      <c r="CB152" s="1644"/>
      <c r="CC152" s="1644"/>
      <c r="CD152" s="1644"/>
      <c r="CE152" s="1644"/>
      <c r="CF152" s="1644"/>
      <c r="CG152" s="1644"/>
      <c r="CH152" s="1644"/>
      <c r="CI152" s="1644"/>
      <c r="CJ152" s="252"/>
      <c r="CK152" s="1644" t="str">
        <f>+""</f>
        <v/>
      </c>
      <c r="CL152" s="1644"/>
      <c r="CM152" s="1644"/>
      <c r="CN152" s="1644"/>
      <c r="CO152" s="1644"/>
      <c r="CP152" s="1644"/>
      <c r="CQ152" s="1644"/>
      <c r="CR152" s="1644"/>
      <c r="CS152" s="1644"/>
      <c r="CT152" s="1644"/>
      <c r="CU152" s="1644"/>
      <c r="CV152" s="1644"/>
      <c r="CW152" s="252"/>
      <c r="CX152" s="1644" t="str">
        <f>+""</f>
        <v/>
      </c>
      <c r="CY152" s="1644"/>
      <c r="CZ152" s="1644"/>
      <c r="DA152" s="1644"/>
      <c r="DB152" s="1644"/>
      <c r="DC152" s="1644"/>
      <c r="DD152" s="1644"/>
      <c r="DE152" s="1644"/>
      <c r="DF152" s="1644"/>
      <c r="DG152" s="1644"/>
      <c r="DH152" s="1644"/>
      <c r="DI152" s="1644"/>
      <c r="DJ152" s="252"/>
      <c r="DK152" s="1646" t="str">
        <f>+""</f>
        <v/>
      </c>
      <c r="DL152" s="1646"/>
      <c r="DM152" s="1646"/>
      <c r="DN152" s="1646"/>
      <c r="DO152" s="1646"/>
      <c r="DP152" s="1646"/>
      <c r="DQ152" s="1646"/>
      <c r="DR152" s="1646"/>
      <c r="DS152" s="1646"/>
      <c r="DT152" s="1646"/>
      <c r="DU152" s="1646"/>
      <c r="DV152" s="1653"/>
    </row>
    <row r="153" spans="2:126" ht="29.25" customHeight="1" x14ac:dyDescent="0.15">
      <c r="B153" s="1040"/>
      <c r="C153" s="1648" t="str">
        <f t="shared" si="7"/>
        <v/>
      </c>
      <c r="D153" s="1648"/>
      <c r="E153" s="1648"/>
      <c r="F153" s="1648"/>
      <c r="G153" s="1648"/>
      <c r="H153" s="1648"/>
      <c r="I153" s="1648"/>
      <c r="J153" s="1648"/>
      <c r="K153" s="1648"/>
      <c r="L153" s="1648"/>
      <c r="M153" s="1648"/>
      <c r="N153" s="1648"/>
      <c r="O153" s="1648"/>
      <c r="P153" s="1648"/>
      <c r="Q153" s="1648"/>
      <c r="R153" s="1648"/>
      <c r="S153" s="1648"/>
      <c r="T153" s="1648"/>
      <c r="U153" s="1648"/>
      <c r="V153" s="1648"/>
      <c r="W153" s="1648"/>
      <c r="X153" s="1648"/>
      <c r="Y153" s="1648"/>
      <c r="Z153" s="1648"/>
      <c r="AA153" s="1648"/>
      <c r="AB153" s="1648"/>
      <c r="AC153" s="1648"/>
      <c r="AD153" s="1648"/>
      <c r="AE153" s="1648"/>
      <c r="AF153" s="1648"/>
      <c r="AG153" s="1648"/>
      <c r="AH153" s="1648"/>
      <c r="AI153" s="1648"/>
      <c r="AJ153" s="1648"/>
      <c r="AK153" s="1648"/>
      <c r="AL153" s="1648"/>
      <c r="AM153" s="1648"/>
      <c r="AN153" s="1648"/>
      <c r="AO153" s="1648"/>
      <c r="AP153" s="1648"/>
      <c r="AQ153" s="1648"/>
      <c r="AR153" s="1648"/>
      <c r="AS153" s="1648"/>
      <c r="AT153" s="1648"/>
      <c r="AU153" s="1648"/>
      <c r="AV153" s="1648"/>
      <c r="AW153" s="1648"/>
      <c r="AX153" s="1648"/>
      <c r="AY153" s="1648"/>
      <c r="AZ153" s="1648"/>
      <c r="BA153" s="1648"/>
      <c r="BB153" s="1648"/>
      <c r="BC153" s="1648"/>
      <c r="BD153" s="1648"/>
      <c r="BE153" s="1648"/>
      <c r="BF153" s="1648"/>
      <c r="BG153" s="314"/>
      <c r="BH153" s="266"/>
      <c r="BI153" s="487"/>
      <c r="BJ153" s="252"/>
      <c r="BK153" s="1644" t="str">
        <f>+""</f>
        <v/>
      </c>
      <c r="BL153" s="1644"/>
      <c r="BM153" s="1644"/>
      <c r="BN153" s="1644"/>
      <c r="BO153" s="1644"/>
      <c r="BP153" s="1644"/>
      <c r="BQ153" s="1644"/>
      <c r="BR153" s="1644"/>
      <c r="BS153" s="1644"/>
      <c r="BT153" s="1644"/>
      <c r="BU153" s="1644"/>
      <c r="BV153" s="1644"/>
      <c r="BW153" s="252"/>
      <c r="BX153" s="1644" t="str">
        <f>+""</f>
        <v/>
      </c>
      <c r="BY153" s="1644"/>
      <c r="BZ153" s="1644"/>
      <c r="CA153" s="1644"/>
      <c r="CB153" s="1644"/>
      <c r="CC153" s="1644"/>
      <c r="CD153" s="1644"/>
      <c r="CE153" s="1644"/>
      <c r="CF153" s="1644"/>
      <c r="CG153" s="1644"/>
      <c r="CH153" s="1644"/>
      <c r="CI153" s="1644"/>
      <c r="CJ153" s="252"/>
      <c r="CK153" s="1644" t="str">
        <f>+""</f>
        <v/>
      </c>
      <c r="CL153" s="1644"/>
      <c r="CM153" s="1644"/>
      <c r="CN153" s="1644"/>
      <c r="CO153" s="1644"/>
      <c r="CP153" s="1644"/>
      <c r="CQ153" s="1644"/>
      <c r="CR153" s="1644"/>
      <c r="CS153" s="1644"/>
      <c r="CT153" s="1644"/>
      <c r="CU153" s="1644"/>
      <c r="CV153" s="1644"/>
      <c r="CW153" s="252"/>
      <c r="CX153" s="1644" t="str">
        <f>+""</f>
        <v/>
      </c>
      <c r="CY153" s="1644"/>
      <c r="CZ153" s="1644"/>
      <c r="DA153" s="1644"/>
      <c r="DB153" s="1644"/>
      <c r="DC153" s="1644"/>
      <c r="DD153" s="1644"/>
      <c r="DE153" s="1644"/>
      <c r="DF153" s="1644"/>
      <c r="DG153" s="1644"/>
      <c r="DH153" s="1644"/>
      <c r="DI153" s="1644"/>
      <c r="DJ153" s="252"/>
      <c r="DK153" s="1646" t="str">
        <f>+""</f>
        <v/>
      </c>
      <c r="DL153" s="1646"/>
      <c r="DM153" s="1646"/>
      <c r="DN153" s="1646"/>
      <c r="DO153" s="1646"/>
      <c r="DP153" s="1646"/>
      <c r="DQ153" s="1646"/>
      <c r="DR153" s="1646"/>
      <c r="DS153" s="1646"/>
      <c r="DT153" s="1646"/>
      <c r="DU153" s="1646"/>
      <c r="DV153" s="1653"/>
    </row>
    <row r="154" spans="2:126" ht="29.25" customHeight="1" x14ac:dyDescent="0.15">
      <c r="B154" s="1040"/>
      <c r="C154" s="1648" t="str">
        <f t="shared" si="7"/>
        <v/>
      </c>
      <c r="D154" s="1648"/>
      <c r="E154" s="1648"/>
      <c r="F154" s="1648"/>
      <c r="G154" s="1648"/>
      <c r="H154" s="1648"/>
      <c r="I154" s="1648"/>
      <c r="J154" s="1648"/>
      <c r="K154" s="1648"/>
      <c r="L154" s="1648"/>
      <c r="M154" s="1648"/>
      <c r="N154" s="1648"/>
      <c r="O154" s="1648"/>
      <c r="P154" s="1648"/>
      <c r="Q154" s="1648"/>
      <c r="R154" s="1648"/>
      <c r="S154" s="1648"/>
      <c r="T154" s="1648"/>
      <c r="U154" s="1648"/>
      <c r="V154" s="1648"/>
      <c r="W154" s="1648"/>
      <c r="X154" s="1648"/>
      <c r="Y154" s="1648"/>
      <c r="Z154" s="1648"/>
      <c r="AA154" s="1648"/>
      <c r="AB154" s="1648"/>
      <c r="AC154" s="1648"/>
      <c r="AD154" s="1648"/>
      <c r="AE154" s="1648"/>
      <c r="AF154" s="1648"/>
      <c r="AG154" s="1648"/>
      <c r="AH154" s="1648"/>
      <c r="AI154" s="1648"/>
      <c r="AJ154" s="1648"/>
      <c r="AK154" s="1648"/>
      <c r="AL154" s="1648"/>
      <c r="AM154" s="1648"/>
      <c r="AN154" s="1648"/>
      <c r="AO154" s="1648"/>
      <c r="AP154" s="1648"/>
      <c r="AQ154" s="1648"/>
      <c r="AR154" s="1648"/>
      <c r="AS154" s="1648"/>
      <c r="AT154" s="1648"/>
      <c r="AU154" s="1648"/>
      <c r="AV154" s="1648"/>
      <c r="AW154" s="1648"/>
      <c r="AX154" s="1648"/>
      <c r="AY154" s="1648"/>
      <c r="AZ154" s="1648"/>
      <c r="BA154" s="1648"/>
      <c r="BB154" s="1648"/>
      <c r="BC154" s="1648"/>
      <c r="BD154" s="1648"/>
      <c r="BE154" s="1648"/>
      <c r="BF154" s="1648"/>
      <c r="BG154" s="314"/>
      <c r="BH154" s="266"/>
      <c r="BI154" s="487"/>
      <c r="BJ154" s="252"/>
      <c r="BK154" s="1644" t="str">
        <f>+""</f>
        <v/>
      </c>
      <c r="BL154" s="1644"/>
      <c r="BM154" s="1644"/>
      <c r="BN154" s="1644"/>
      <c r="BO154" s="1644"/>
      <c r="BP154" s="1644"/>
      <c r="BQ154" s="1644"/>
      <c r="BR154" s="1644"/>
      <c r="BS154" s="1644"/>
      <c r="BT154" s="1644"/>
      <c r="BU154" s="1644"/>
      <c r="BV154" s="1644"/>
      <c r="BW154" s="252"/>
      <c r="BX154" s="1644" t="str">
        <f>+""</f>
        <v/>
      </c>
      <c r="BY154" s="1644"/>
      <c r="BZ154" s="1644"/>
      <c r="CA154" s="1644"/>
      <c r="CB154" s="1644"/>
      <c r="CC154" s="1644"/>
      <c r="CD154" s="1644"/>
      <c r="CE154" s="1644"/>
      <c r="CF154" s="1644"/>
      <c r="CG154" s="1644"/>
      <c r="CH154" s="1644"/>
      <c r="CI154" s="1644"/>
      <c r="CJ154" s="252"/>
      <c r="CK154" s="1644" t="str">
        <f>+""</f>
        <v/>
      </c>
      <c r="CL154" s="1644"/>
      <c r="CM154" s="1644"/>
      <c r="CN154" s="1644"/>
      <c r="CO154" s="1644"/>
      <c r="CP154" s="1644"/>
      <c r="CQ154" s="1644"/>
      <c r="CR154" s="1644"/>
      <c r="CS154" s="1644"/>
      <c r="CT154" s="1644"/>
      <c r="CU154" s="1644"/>
      <c r="CV154" s="1644"/>
      <c r="CW154" s="252"/>
      <c r="CX154" s="1644" t="str">
        <f>+""</f>
        <v/>
      </c>
      <c r="CY154" s="1644"/>
      <c r="CZ154" s="1644"/>
      <c r="DA154" s="1644"/>
      <c r="DB154" s="1644"/>
      <c r="DC154" s="1644"/>
      <c r="DD154" s="1644"/>
      <c r="DE154" s="1644"/>
      <c r="DF154" s="1644"/>
      <c r="DG154" s="1644"/>
      <c r="DH154" s="1644"/>
      <c r="DI154" s="1644"/>
      <c r="DJ154" s="252"/>
      <c r="DK154" s="1646" t="str">
        <f>+""</f>
        <v/>
      </c>
      <c r="DL154" s="1646"/>
      <c r="DM154" s="1646"/>
      <c r="DN154" s="1646"/>
      <c r="DO154" s="1646"/>
      <c r="DP154" s="1646"/>
      <c r="DQ154" s="1646"/>
      <c r="DR154" s="1646"/>
      <c r="DS154" s="1646"/>
      <c r="DT154" s="1646"/>
      <c r="DU154" s="1646"/>
      <c r="DV154" s="1653"/>
    </row>
    <row r="155" spans="2:126" ht="29.25" customHeight="1" x14ac:dyDescent="0.15">
      <c r="B155" s="1041"/>
      <c r="C155" s="1671"/>
      <c r="D155" s="1671"/>
      <c r="E155" s="1671"/>
      <c r="F155" s="1671"/>
      <c r="G155" s="1671"/>
      <c r="H155" s="1671"/>
      <c r="I155" s="1671"/>
      <c r="J155" s="1671"/>
      <c r="K155" s="1671"/>
      <c r="L155" s="1671"/>
      <c r="M155" s="1671"/>
      <c r="N155" s="1671"/>
      <c r="O155" s="1671"/>
      <c r="P155" s="1671"/>
      <c r="Q155" s="1671"/>
      <c r="R155" s="1671"/>
      <c r="S155" s="1671"/>
      <c r="T155" s="1671"/>
      <c r="U155" s="1671"/>
      <c r="V155" s="1671"/>
      <c r="W155" s="1671"/>
      <c r="X155" s="1671"/>
      <c r="Y155" s="1671"/>
      <c r="Z155" s="1671"/>
      <c r="AA155" s="1671"/>
      <c r="AB155" s="1671"/>
      <c r="AC155" s="1671"/>
      <c r="AD155" s="1671"/>
      <c r="AE155" s="1671"/>
      <c r="AF155" s="1671"/>
      <c r="AG155" s="1671"/>
      <c r="AH155" s="1671"/>
      <c r="AI155" s="1671"/>
      <c r="AJ155" s="1671"/>
      <c r="AK155" s="1671"/>
      <c r="AL155" s="1671"/>
      <c r="AM155" s="1671"/>
      <c r="AN155" s="1671"/>
      <c r="AO155" s="1671"/>
      <c r="AP155" s="1671"/>
      <c r="AQ155" s="1671"/>
      <c r="AR155" s="1671"/>
      <c r="AS155" s="1671"/>
      <c r="AT155" s="1671"/>
      <c r="AU155" s="1671"/>
      <c r="AV155" s="1671"/>
      <c r="AW155" s="1671"/>
      <c r="AX155" s="1671"/>
      <c r="AY155" s="1671"/>
      <c r="AZ155" s="1671"/>
      <c r="BA155" s="1671"/>
      <c r="BB155" s="1671"/>
      <c r="BC155" s="1671"/>
      <c r="BD155" s="1671"/>
      <c r="BE155" s="1671"/>
      <c r="BF155" s="1671"/>
      <c r="BG155" s="316"/>
      <c r="BH155" s="259"/>
      <c r="BI155" s="487"/>
      <c r="BJ155" s="252"/>
      <c r="BK155" s="1644" t="str">
        <f>+""</f>
        <v/>
      </c>
      <c r="BL155" s="1644"/>
      <c r="BM155" s="1644"/>
      <c r="BN155" s="1644"/>
      <c r="BO155" s="1644"/>
      <c r="BP155" s="1644"/>
      <c r="BQ155" s="1644"/>
      <c r="BR155" s="1644"/>
      <c r="BS155" s="1644"/>
      <c r="BT155" s="1644"/>
      <c r="BU155" s="1644"/>
      <c r="BV155" s="1644"/>
      <c r="BW155" s="252"/>
      <c r="BX155" s="1644" t="str">
        <f>+""</f>
        <v/>
      </c>
      <c r="BY155" s="1644"/>
      <c r="BZ155" s="1644"/>
      <c r="CA155" s="1644"/>
      <c r="CB155" s="1644"/>
      <c r="CC155" s="1644"/>
      <c r="CD155" s="1644"/>
      <c r="CE155" s="1644"/>
      <c r="CF155" s="1644"/>
      <c r="CG155" s="1644"/>
      <c r="CH155" s="1644"/>
      <c r="CI155" s="1644"/>
      <c r="CJ155" s="252"/>
      <c r="CK155" s="1644" t="str">
        <f>+""</f>
        <v/>
      </c>
      <c r="CL155" s="1644"/>
      <c r="CM155" s="1644"/>
      <c r="CN155" s="1644"/>
      <c r="CO155" s="1644"/>
      <c r="CP155" s="1644"/>
      <c r="CQ155" s="1644"/>
      <c r="CR155" s="1644"/>
      <c r="CS155" s="1644"/>
      <c r="CT155" s="1644"/>
      <c r="CU155" s="1644"/>
      <c r="CV155" s="1644"/>
      <c r="CW155" s="252"/>
      <c r="CX155" s="1644" t="str">
        <f>+""</f>
        <v/>
      </c>
      <c r="CY155" s="1644"/>
      <c r="CZ155" s="1644"/>
      <c r="DA155" s="1644"/>
      <c r="DB155" s="1644"/>
      <c r="DC155" s="1644"/>
      <c r="DD155" s="1644"/>
      <c r="DE155" s="1644"/>
      <c r="DF155" s="1644"/>
      <c r="DG155" s="1644"/>
      <c r="DH155" s="1644"/>
      <c r="DI155" s="1644"/>
      <c r="DJ155" s="252"/>
      <c r="DK155" s="1646" t="str">
        <f>+""</f>
        <v/>
      </c>
      <c r="DL155" s="1646"/>
      <c r="DM155" s="1646"/>
      <c r="DN155" s="1646"/>
      <c r="DO155" s="1646"/>
      <c r="DP155" s="1646"/>
      <c r="DQ155" s="1646"/>
      <c r="DR155" s="1646"/>
      <c r="DS155" s="1646"/>
      <c r="DT155" s="1646"/>
      <c r="DU155" s="1646"/>
      <c r="DV155" s="1653"/>
    </row>
    <row r="156" spans="2:126" x14ac:dyDescent="0.15">
      <c r="B156" s="1673" t="s">
        <v>845</v>
      </c>
      <c r="C156" s="1674"/>
      <c r="D156" s="1674"/>
      <c r="E156" s="1674"/>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D156" s="1674"/>
      <c r="AE156" s="1674"/>
      <c r="AF156" s="1674"/>
      <c r="AG156" s="1674"/>
      <c r="AH156" s="1674"/>
      <c r="AI156" s="1674"/>
      <c r="AJ156" s="1674"/>
      <c r="AK156" s="1674"/>
      <c r="AL156" s="1674"/>
      <c r="AM156" s="1674"/>
      <c r="AN156" s="1674"/>
      <c r="AO156" s="1674"/>
      <c r="AP156" s="1674"/>
      <c r="AQ156" s="1674"/>
      <c r="AR156" s="1674"/>
      <c r="AS156" s="1674"/>
      <c r="AT156" s="1674"/>
      <c r="AU156" s="1674"/>
      <c r="AV156" s="1674"/>
      <c r="AW156" s="1674"/>
      <c r="AX156" s="1674"/>
      <c r="AY156" s="1674"/>
      <c r="AZ156" s="1674"/>
      <c r="BA156" s="1674"/>
      <c r="BB156" s="1674"/>
      <c r="BC156" s="1674"/>
      <c r="BD156" s="1674"/>
      <c r="BE156" s="1674"/>
      <c r="BF156" s="1674"/>
      <c r="BG156" s="1675"/>
      <c r="BH156" s="259"/>
      <c r="BI156" s="487"/>
      <c r="BJ156" s="252"/>
      <c r="BK156" s="1644" t="str">
        <f>+""</f>
        <v/>
      </c>
      <c r="BL156" s="1644"/>
      <c r="BM156" s="1644"/>
      <c r="BN156" s="1644"/>
      <c r="BO156" s="1644"/>
      <c r="BP156" s="1644"/>
      <c r="BQ156" s="1644"/>
      <c r="BR156" s="1644"/>
      <c r="BS156" s="1644"/>
      <c r="BT156" s="1644"/>
      <c r="BU156" s="1644"/>
      <c r="BV156" s="1644"/>
      <c r="BW156" s="252"/>
      <c r="BX156" s="1644" t="str">
        <f>+""</f>
        <v/>
      </c>
      <c r="BY156" s="1644"/>
      <c r="BZ156" s="1644"/>
      <c r="CA156" s="1644"/>
      <c r="CB156" s="1644"/>
      <c r="CC156" s="1644"/>
      <c r="CD156" s="1644"/>
      <c r="CE156" s="1644"/>
      <c r="CF156" s="1644"/>
      <c r="CG156" s="1644"/>
      <c r="CH156" s="1644"/>
      <c r="CI156" s="1644"/>
      <c r="CJ156" s="252"/>
      <c r="CK156" s="1644" t="str">
        <f>+""</f>
        <v/>
      </c>
      <c r="CL156" s="1644"/>
      <c r="CM156" s="1644"/>
      <c r="CN156" s="1644"/>
      <c r="CO156" s="1644"/>
      <c r="CP156" s="1644"/>
      <c r="CQ156" s="1644"/>
      <c r="CR156" s="1644"/>
      <c r="CS156" s="1644"/>
      <c r="CT156" s="1644"/>
      <c r="CU156" s="1644"/>
      <c r="CV156" s="1644"/>
      <c r="CW156" s="252"/>
      <c r="CX156" s="1644" t="str">
        <f>+""</f>
        <v/>
      </c>
      <c r="CY156" s="1644"/>
      <c r="CZ156" s="1644"/>
      <c r="DA156" s="1644"/>
      <c r="DB156" s="1644"/>
      <c r="DC156" s="1644"/>
      <c r="DD156" s="1644"/>
      <c r="DE156" s="1644"/>
      <c r="DF156" s="1644"/>
      <c r="DG156" s="1644"/>
      <c r="DH156" s="1644"/>
      <c r="DI156" s="1644"/>
      <c r="DJ156" s="252"/>
      <c r="DK156" s="1646" t="str">
        <f>+""</f>
        <v/>
      </c>
      <c r="DL156" s="1646"/>
      <c r="DM156" s="1646"/>
      <c r="DN156" s="1646"/>
      <c r="DO156" s="1646"/>
      <c r="DP156" s="1646"/>
      <c r="DQ156" s="1646"/>
      <c r="DR156" s="1646"/>
      <c r="DS156" s="1646"/>
      <c r="DT156" s="1646"/>
      <c r="DU156" s="1646"/>
      <c r="DV156" s="1653"/>
    </row>
    <row r="157" spans="2:126" x14ac:dyDescent="0.15">
      <c r="B157" s="317"/>
      <c r="C157" s="1672"/>
      <c r="D157" s="1672"/>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D157" s="1672"/>
      <c r="AE157" s="1672"/>
      <c r="AF157" s="1672"/>
      <c r="AG157" s="1672"/>
      <c r="AH157" s="1672"/>
      <c r="AI157" s="1672"/>
      <c r="AJ157" s="1672"/>
      <c r="AK157" s="1672"/>
      <c r="AL157" s="1672"/>
      <c r="AM157" s="1672"/>
      <c r="AN157" s="1672"/>
      <c r="AO157" s="1672"/>
      <c r="AP157" s="1672"/>
      <c r="AQ157" s="1672"/>
      <c r="AR157" s="1672"/>
      <c r="AS157" s="1672"/>
      <c r="AT157" s="1672"/>
      <c r="AU157" s="1672"/>
      <c r="AV157" s="1672"/>
      <c r="AW157" s="1672"/>
      <c r="AX157" s="1672"/>
      <c r="AY157" s="1672"/>
      <c r="AZ157" s="1672"/>
      <c r="BA157" s="1672"/>
      <c r="BB157" s="1672"/>
      <c r="BC157" s="1672"/>
      <c r="BD157" s="1672"/>
      <c r="BE157" s="1672"/>
      <c r="BF157" s="1672"/>
      <c r="BG157" s="319"/>
      <c r="BH157" s="259"/>
      <c r="BI157" s="487"/>
      <c r="BJ157" s="252"/>
      <c r="BK157" s="1644" t="str">
        <f>+""</f>
        <v/>
      </c>
      <c r="BL157" s="1644"/>
      <c r="BM157" s="1644"/>
      <c r="BN157" s="1644"/>
      <c r="BO157" s="1644"/>
      <c r="BP157" s="1644"/>
      <c r="BQ157" s="1644"/>
      <c r="BR157" s="1644"/>
      <c r="BS157" s="1644"/>
      <c r="BT157" s="1644"/>
      <c r="BU157" s="1644"/>
      <c r="BV157" s="1644"/>
      <c r="BW157" s="252"/>
      <c r="BX157" s="1644" t="str">
        <f>+""</f>
        <v/>
      </c>
      <c r="BY157" s="1644"/>
      <c r="BZ157" s="1644"/>
      <c r="CA157" s="1644"/>
      <c r="CB157" s="1644"/>
      <c r="CC157" s="1644"/>
      <c r="CD157" s="1644"/>
      <c r="CE157" s="1644"/>
      <c r="CF157" s="1644"/>
      <c r="CG157" s="1644"/>
      <c r="CH157" s="1644"/>
      <c r="CI157" s="1644"/>
      <c r="CJ157" s="252"/>
      <c r="CK157" s="1644" t="str">
        <f>+""</f>
        <v/>
      </c>
      <c r="CL157" s="1644"/>
      <c r="CM157" s="1644"/>
      <c r="CN157" s="1644"/>
      <c r="CO157" s="1644"/>
      <c r="CP157" s="1644"/>
      <c r="CQ157" s="1644"/>
      <c r="CR157" s="1644"/>
      <c r="CS157" s="1644"/>
      <c r="CT157" s="1644"/>
      <c r="CU157" s="1644"/>
      <c r="CV157" s="1644"/>
      <c r="CW157" s="252"/>
      <c r="CX157" s="1644" t="str">
        <f>+""</f>
        <v/>
      </c>
      <c r="CY157" s="1644"/>
      <c r="CZ157" s="1644"/>
      <c r="DA157" s="1644"/>
      <c r="DB157" s="1644"/>
      <c r="DC157" s="1644"/>
      <c r="DD157" s="1644"/>
      <c r="DE157" s="1644"/>
      <c r="DF157" s="1644"/>
      <c r="DG157" s="1644"/>
      <c r="DH157" s="1644"/>
      <c r="DI157" s="1644"/>
      <c r="DJ157" s="252"/>
      <c r="DK157" s="1646" t="str">
        <f>+""</f>
        <v/>
      </c>
      <c r="DL157" s="1646"/>
      <c r="DM157" s="1646"/>
      <c r="DN157" s="1646"/>
      <c r="DO157" s="1646"/>
      <c r="DP157" s="1646"/>
      <c r="DQ157" s="1646"/>
      <c r="DR157" s="1646"/>
      <c r="DS157" s="1646"/>
      <c r="DT157" s="1646"/>
      <c r="DU157" s="1646"/>
      <c r="DV157" s="1653"/>
    </row>
    <row r="158" spans="2:126" x14ac:dyDescent="0.15">
      <c r="B158" s="312"/>
      <c r="C158" s="1632" t="s">
        <v>977</v>
      </c>
      <c r="D158" s="1632"/>
      <c r="E158" s="1632"/>
      <c r="F158" s="1632"/>
      <c r="G158" s="1632"/>
      <c r="H158" s="1632"/>
      <c r="I158" s="1632"/>
      <c r="J158" s="1632"/>
      <c r="K158" s="1632"/>
      <c r="L158" s="1632"/>
      <c r="M158" s="1632"/>
      <c r="N158" s="1632"/>
      <c r="O158" s="1632"/>
      <c r="P158" s="1632"/>
      <c r="Q158" s="1632"/>
      <c r="R158" s="1632"/>
      <c r="S158" s="1632"/>
      <c r="T158" s="1632"/>
      <c r="U158" s="1632"/>
      <c r="V158" s="1632"/>
      <c r="W158" s="1632"/>
      <c r="X158" s="1632"/>
      <c r="Y158" s="1632"/>
      <c r="Z158" s="1632"/>
      <c r="AA158" s="1632"/>
      <c r="AB158" s="1632"/>
      <c r="AC158" s="1632"/>
      <c r="AD158" s="1632"/>
      <c r="AE158" s="1632"/>
      <c r="AF158" s="1632"/>
      <c r="AG158" s="1632"/>
      <c r="AH158" s="1632"/>
      <c r="AI158" s="1632"/>
      <c r="AJ158" s="1632"/>
      <c r="AK158" s="1632"/>
      <c r="AL158" s="1632"/>
      <c r="AM158" s="1632"/>
      <c r="AN158" s="1632"/>
      <c r="AO158" s="1632"/>
      <c r="AP158" s="1632"/>
      <c r="AQ158" s="1632"/>
      <c r="AR158" s="1632"/>
      <c r="AS158" s="1632"/>
      <c r="AT158" s="1632"/>
      <c r="AU158" s="1632"/>
      <c r="AV158" s="1632"/>
      <c r="AW158" s="1632"/>
      <c r="AX158" s="1632"/>
      <c r="AY158" s="1632"/>
      <c r="AZ158" s="1632"/>
      <c r="BA158" s="1632"/>
      <c r="BB158" s="1632"/>
      <c r="BC158" s="1632"/>
      <c r="BD158" s="1632"/>
      <c r="BE158" s="1632"/>
      <c r="BF158" s="1632"/>
      <c r="BG158" s="314"/>
      <c r="BH158" s="259"/>
      <c r="BI158" s="487"/>
      <c r="BJ158" s="252"/>
      <c r="BK158" s="252"/>
      <c r="BL158" s="252"/>
      <c r="BM158" s="252"/>
      <c r="BN158" s="252"/>
      <c r="BO158" s="252"/>
      <c r="BP158" s="252"/>
      <c r="BQ158" s="252"/>
      <c r="BR158" s="252"/>
      <c r="BS158" s="252"/>
      <c r="BT158" s="252"/>
      <c r="BU158" s="252"/>
      <c r="BV158" s="252"/>
      <c r="BW158" s="252"/>
      <c r="BX158" s="252"/>
      <c r="BY158" s="252"/>
      <c r="BZ158" s="252"/>
      <c r="CA158" s="252"/>
      <c r="CB158" s="252"/>
      <c r="CC158" s="252"/>
      <c r="CD158" s="252"/>
      <c r="CE158" s="252"/>
      <c r="CF158" s="252"/>
      <c r="CG158" s="252"/>
      <c r="CH158" s="252"/>
      <c r="CI158" s="252"/>
      <c r="CJ158" s="252"/>
      <c r="CK158" s="252"/>
      <c r="CL158" s="252"/>
      <c r="CM158" s="252"/>
      <c r="CN158" s="252"/>
      <c r="CO158" s="252"/>
      <c r="CP158" s="252"/>
      <c r="CQ158" s="252"/>
      <c r="CR158" s="252"/>
      <c r="CS158" s="252"/>
      <c r="CT158" s="252"/>
      <c r="CU158" s="252"/>
      <c r="CV158" s="252"/>
      <c r="CW158" s="252"/>
      <c r="CX158" s="252"/>
      <c r="CY158" s="252"/>
      <c r="CZ158" s="252"/>
      <c r="DA158" s="252"/>
      <c r="DB158" s="252"/>
      <c r="DC158" s="252"/>
      <c r="DD158" s="252"/>
      <c r="DE158" s="252"/>
      <c r="DF158" s="252"/>
      <c r="DG158" s="252"/>
      <c r="DH158" s="252"/>
      <c r="DI158" s="252"/>
      <c r="DJ158" s="252"/>
      <c r="DK158" s="252"/>
      <c r="DL158" s="252"/>
      <c r="DM158" s="252"/>
      <c r="DN158" s="252"/>
      <c r="DO158" s="252"/>
      <c r="DP158" s="252"/>
      <c r="DQ158" s="252"/>
      <c r="DR158" s="252"/>
      <c r="DS158" s="252"/>
      <c r="DT158" s="252"/>
      <c r="DU158" s="252"/>
      <c r="DV158" s="488"/>
    </row>
    <row r="159" spans="2:126" x14ac:dyDescent="0.15">
      <c r="B159" s="312"/>
      <c r="BG159" s="314"/>
      <c r="BH159" s="259"/>
      <c r="BI159" s="487"/>
      <c r="BJ159" s="252"/>
      <c r="BK159" s="252"/>
      <c r="BL159" s="252"/>
      <c r="BM159" s="252"/>
      <c r="BN159" s="252"/>
      <c r="BO159" s="252"/>
      <c r="BP159" s="252"/>
      <c r="BQ159" s="252"/>
      <c r="BR159" s="252"/>
      <c r="BS159" s="252"/>
      <c r="BT159" s="252"/>
      <c r="BU159" s="252"/>
      <c r="BV159" s="252"/>
      <c r="BW159" s="252"/>
      <c r="BX159" s="252"/>
      <c r="BY159" s="252"/>
      <c r="BZ159" s="252"/>
      <c r="CA159" s="252"/>
      <c r="CB159" s="252"/>
      <c r="CC159" s="252"/>
      <c r="CD159" s="252"/>
      <c r="CE159" s="252"/>
      <c r="CF159" s="252"/>
      <c r="CG159" s="252"/>
      <c r="CH159" s="252"/>
      <c r="CI159" s="252"/>
      <c r="CJ159" s="252"/>
      <c r="CK159" s="252"/>
      <c r="CL159" s="252"/>
      <c r="CM159" s="252"/>
      <c r="CN159" s="252"/>
      <c r="CO159" s="252"/>
      <c r="CP159" s="252"/>
      <c r="CQ159" s="252"/>
      <c r="CR159" s="252"/>
      <c r="CS159" s="252"/>
      <c r="CT159" s="252"/>
      <c r="CU159" s="252"/>
      <c r="CV159" s="252"/>
      <c r="CW159" s="252"/>
      <c r="CX159" s="252"/>
      <c r="CY159" s="252"/>
      <c r="CZ159" s="252"/>
      <c r="DA159" s="252"/>
      <c r="DB159" s="252"/>
      <c r="DC159" s="252"/>
      <c r="DD159" s="252"/>
      <c r="DE159" s="252"/>
      <c r="DF159" s="252"/>
      <c r="DG159" s="252"/>
      <c r="DH159" s="252"/>
      <c r="DI159" s="252"/>
      <c r="DJ159" s="252"/>
      <c r="DK159" s="252"/>
      <c r="DL159" s="252"/>
      <c r="DM159" s="252"/>
      <c r="DN159" s="252"/>
      <c r="DO159" s="252"/>
      <c r="DP159" s="252"/>
      <c r="DQ159" s="252"/>
      <c r="DR159" s="252"/>
      <c r="DS159" s="252"/>
      <c r="DT159" s="252"/>
      <c r="DU159" s="252"/>
      <c r="DV159" s="488"/>
    </row>
    <row r="160" spans="2:126" ht="26.25" customHeight="1" x14ac:dyDescent="0.15">
      <c r="B160" s="312"/>
      <c r="C160" s="1632" t="s">
        <v>978</v>
      </c>
      <c r="D160" s="1632"/>
      <c r="E160" s="1632"/>
      <c r="F160" s="1632"/>
      <c r="G160" s="1632"/>
      <c r="H160" s="1632"/>
      <c r="I160" s="1632"/>
      <c r="J160" s="1632"/>
      <c r="K160" s="1632"/>
      <c r="L160" s="1632"/>
      <c r="M160" s="1632"/>
      <c r="N160" s="1632"/>
      <c r="O160" s="1632"/>
      <c r="P160" s="1632"/>
      <c r="Q160" s="1632"/>
      <c r="R160" s="1632"/>
      <c r="S160" s="1632"/>
      <c r="T160" s="1632"/>
      <c r="U160" s="1632"/>
      <c r="V160" s="1632"/>
      <c r="W160" s="1632"/>
      <c r="X160" s="1632"/>
      <c r="Y160" s="1632"/>
      <c r="Z160" s="1632"/>
      <c r="AA160" s="1632"/>
      <c r="AB160" s="1632"/>
      <c r="AC160" s="1632"/>
      <c r="AD160" s="1632"/>
      <c r="AE160" s="1632"/>
      <c r="AF160" s="1632"/>
      <c r="AG160" s="1632"/>
      <c r="AH160" s="1632"/>
      <c r="AI160" s="1632"/>
      <c r="AJ160" s="1632"/>
      <c r="AK160" s="1632"/>
      <c r="AL160" s="1632"/>
      <c r="AM160" s="1632"/>
      <c r="AN160" s="1632"/>
      <c r="AO160" s="1632"/>
      <c r="AP160" s="1632"/>
      <c r="AQ160" s="1632"/>
      <c r="AR160" s="1632"/>
      <c r="AS160" s="1632"/>
      <c r="AT160" s="1632"/>
      <c r="AU160" s="1632"/>
      <c r="AV160" s="1632"/>
      <c r="AW160" s="1632"/>
      <c r="AX160" s="1632"/>
      <c r="AY160" s="1632"/>
      <c r="AZ160" s="1632"/>
      <c r="BA160" s="1632"/>
      <c r="BB160" s="1632"/>
      <c r="BC160" s="1632"/>
      <c r="BD160" s="1632"/>
      <c r="BE160" s="1632"/>
      <c r="BF160" s="1632"/>
      <c r="BG160" s="314"/>
      <c r="BH160" s="259"/>
      <c r="BI160" s="487"/>
      <c r="BJ160" s="252">
        <v>6</v>
      </c>
      <c r="BK160" s="1649" t="s">
        <v>113</v>
      </c>
      <c r="BL160" s="1649"/>
      <c r="BM160" s="1649"/>
      <c r="BN160" s="1649"/>
      <c r="BO160" s="1649"/>
      <c r="BP160" s="1649"/>
      <c r="BQ160" s="1649"/>
      <c r="BR160" s="1649"/>
      <c r="BS160" s="1649"/>
      <c r="BT160" s="1649"/>
      <c r="BU160" s="1649"/>
      <c r="BV160" s="1649"/>
      <c r="BW160" s="252">
        <v>7</v>
      </c>
      <c r="BX160" s="1649" t="s">
        <v>115</v>
      </c>
      <c r="BY160" s="1649"/>
      <c r="BZ160" s="1649"/>
      <c r="CA160" s="1649"/>
      <c r="CB160" s="1649"/>
      <c r="CC160" s="1649"/>
      <c r="CD160" s="1649"/>
      <c r="CE160" s="1649"/>
      <c r="CF160" s="1649"/>
      <c r="CG160" s="1649"/>
      <c r="CH160" s="1649"/>
      <c r="CI160" s="1649"/>
      <c r="CJ160" s="252">
        <v>8</v>
      </c>
      <c r="CK160" s="1649" t="s">
        <v>126</v>
      </c>
      <c r="CL160" s="1649"/>
      <c r="CM160" s="1649"/>
      <c r="CN160" s="1649"/>
      <c r="CO160" s="1649"/>
      <c r="CP160" s="1649"/>
      <c r="CQ160" s="1649"/>
      <c r="CR160" s="1649"/>
      <c r="CS160" s="1649"/>
      <c r="CT160" s="1649"/>
      <c r="CU160" s="1649"/>
      <c r="CV160" s="1649"/>
      <c r="CW160" s="252">
        <v>9</v>
      </c>
      <c r="CX160" s="1649" t="s">
        <v>727</v>
      </c>
      <c r="CY160" s="1649"/>
      <c r="CZ160" s="1649"/>
      <c r="DA160" s="1649"/>
      <c r="DB160" s="1649"/>
      <c r="DC160" s="1649"/>
      <c r="DD160" s="1649"/>
      <c r="DE160" s="1649"/>
      <c r="DF160" s="1649"/>
      <c r="DG160" s="1649"/>
      <c r="DH160" s="1649"/>
      <c r="DI160" s="1649"/>
      <c r="DJ160" s="252">
        <v>10</v>
      </c>
      <c r="DK160" s="1649" t="s">
        <v>514</v>
      </c>
      <c r="DL160" s="1649"/>
      <c r="DM160" s="1649"/>
      <c r="DN160" s="1649"/>
      <c r="DO160" s="1649"/>
      <c r="DP160" s="1649"/>
      <c r="DQ160" s="1649"/>
      <c r="DR160" s="1649"/>
      <c r="DS160" s="1649"/>
      <c r="DT160" s="1649"/>
      <c r="DU160" s="1649"/>
      <c r="DV160" s="1659"/>
    </row>
    <row r="161" spans="2:126" x14ac:dyDescent="0.15">
      <c r="B161" s="312"/>
      <c r="C161" s="505"/>
      <c r="D161" s="518"/>
      <c r="E161" s="1623" t="s">
        <v>769</v>
      </c>
      <c r="F161" s="1623"/>
      <c r="G161" s="1623"/>
      <c r="H161" s="1623"/>
      <c r="I161" s="1623"/>
      <c r="J161" s="1623"/>
      <c r="K161" s="1623"/>
      <c r="L161" s="1623"/>
      <c r="M161" s="1623"/>
      <c r="N161" s="1623"/>
      <c r="O161" s="1623"/>
      <c r="P161" s="1623"/>
      <c r="Q161" s="1623"/>
      <c r="R161" s="1623"/>
      <c r="S161" s="1623"/>
      <c r="T161" s="1623"/>
      <c r="U161" s="1623"/>
      <c r="V161" s="1623"/>
      <c r="W161" s="1623"/>
      <c r="X161" s="1623"/>
      <c r="Y161" s="1623"/>
      <c r="Z161" s="1623"/>
      <c r="AA161" s="1623"/>
      <c r="AB161" s="1623"/>
      <c r="AC161" s="1623"/>
      <c r="AD161" s="1623"/>
      <c r="AE161" s="1623"/>
      <c r="AF161" s="1623"/>
      <c r="AG161" s="1623"/>
      <c r="AH161" s="1623"/>
      <c r="AI161" s="1623"/>
      <c r="AJ161" s="1623"/>
      <c r="AK161" s="1623"/>
      <c r="AL161" s="1623"/>
      <c r="AM161" s="1623"/>
      <c r="AN161" s="1623"/>
      <c r="AO161" s="1623"/>
      <c r="AP161" s="1623"/>
      <c r="AQ161" s="1623"/>
      <c r="AR161" s="1623"/>
      <c r="AS161" s="1623"/>
      <c r="AT161" s="1623"/>
      <c r="AU161" s="1623"/>
      <c r="AV161" s="1623"/>
      <c r="AW161" s="1623"/>
      <c r="AX161" s="1623"/>
      <c r="AY161" s="1623"/>
      <c r="AZ161" s="1623"/>
      <c r="BA161" s="1623"/>
      <c r="BB161" s="1623"/>
      <c r="BC161" s="1623"/>
      <c r="BD161" s="1623"/>
      <c r="BE161" s="1623"/>
      <c r="BF161" s="1623"/>
      <c r="BG161" s="311"/>
      <c r="BI161" s="487"/>
      <c r="BJ161" s="252"/>
      <c r="BK161" s="1644" t="s">
        <v>677</v>
      </c>
      <c r="BL161" s="1644"/>
      <c r="BM161" s="1644"/>
      <c r="BN161" s="1644"/>
      <c r="BO161" s="1644"/>
      <c r="BP161" s="1644"/>
      <c r="BQ161" s="1644"/>
      <c r="BR161" s="1644"/>
      <c r="BS161" s="1644"/>
      <c r="BT161" s="1644"/>
      <c r="BU161" s="1644"/>
      <c r="BV161" s="1644"/>
      <c r="BW161" s="252"/>
      <c r="BX161" s="1644" t="s">
        <v>686</v>
      </c>
      <c r="BY161" s="1644"/>
      <c r="BZ161" s="1644"/>
      <c r="CA161" s="1644"/>
      <c r="CB161" s="1644"/>
      <c r="CC161" s="1644"/>
      <c r="CD161" s="1644"/>
      <c r="CE161" s="1644"/>
      <c r="CF161" s="1644"/>
      <c r="CG161" s="1644"/>
      <c r="CH161" s="1644"/>
      <c r="CI161" s="1644"/>
      <c r="CJ161" s="252"/>
      <c r="CK161" s="1644" t="s">
        <v>954</v>
      </c>
      <c r="CL161" s="1644"/>
      <c r="CM161" s="1644"/>
      <c r="CN161" s="1644"/>
      <c r="CO161" s="1644"/>
      <c r="CP161" s="1644"/>
      <c r="CQ161" s="1644"/>
      <c r="CR161" s="1644"/>
      <c r="CS161" s="1644"/>
      <c r="CT161" s="1644"/>
      <c r="CU161" s="1644"/>
      <c r="CV161" s="1644"/>
      <c r="CW161" s="252"/>
      <c r="CX161" s="1646" t="s">
        <v>677</v>
      </c>
      <c r="CY161" s="1646"/>
      <c r="CZ161" s="1646"/>
      <c r="DA161" s="1646"/>
      <c r="DB161" s="1646"/>
      <c r="DC161" s="1646"/>
      <c r="DD161" s="1646"/>
      <c r="DE161" s="1646"/>
      <c r="DF161" s="1646"/>
      <c r="DG161" s="1646"/>
      <c r="DH161" s="1646"/>
      <c r="DI161" s="1646"/>
      <c r="DJ161" s="252"/>
      <c r="DK161" s="1646" t="s">
        <v>974</v>
      </c>
      <c r="DL161" s="1646"/>
      <c r="DM161" s="1646"/>
      <c r="DN161" s="1646"/>
      <c r="DO161" s="1646"/>
      <c r="DP161" s="1646"/>
      <c r="DQ161" s="1646"/>
      <c r="DR161" s="1646"/>
      <c r="DS161" s="1646"/>
      <c r="DT161" s="1646"/>
      <c r="DU161" s="1646"/>
      <c r="DV161" s="1653"/>
    </row>
    <row r="162" spans="2:126" x14ac:dyDescent="0.15">
      <c r="B162" s="312"/>
      <c r="C162" s="505"/>
      <c r="D162" s="518"/>
      <c r="E162" s="1623" t="s">
        <v>979</v>
      </c>
      <c r="F162" s="1623"/>
      <c r="G162" s="1623"/>
      <c r="H162" s="1623"/>
      <c r="I162" s="1623"/>
      <c r="J162" s="1623"/>
      <c r="K162" s="1623"/>
      <c r="L162" s="1623"/>
      <c r="M162" s="1623"/>
      <c r="N162" s="1623"/>
      <c r="O162" s="1623"/>
      <c r="P162" s="1623"/>
      <c r="Q162" s="1623"/>
      <c r="R162" s="1623"/>
      <c r="S162" s="1623"/>
      <c r="T162" s="1623"/>
      <c r="U162" s="1623"/>
      <c r="V162" s="1623"/>
      <c r="W162" s="1623"/>
      <c r="X162" s="1623"/>
      <c r="Y162" s="1623"/>
      <c r="Z162" s="1623"/>
      <c r="AA162" s="1623"/>
      <c r="AB162" s="1623"/>
      <c r="AC162" s="1623"/>
      <c r="AD162" s="1623"/>
      <c r="AE162" s="1623"/>
      <c r="AF162" s="1623"/>
      <c r="AG162" s="1623"/>
      <c r="AH162" s="1623"/>
      <c r="AI162" s="1623"/>
      <c r="AJ162" s="1623"/>
      <c r="AK162" s="1623"/>
      <c r="AL162" s="1623"/>
      <c r="AM162" s="1623"/>
      <c r="AN162" s="1623"/>
      <c r="AO162" s="1623"/>
      <c r="AP162" s="1623"/>
      <c r="AQ162" s="1623"/>
      <c r="AR162" s="1623"/>
      <c r="AS162" s="1623"/>
      <c r="AT162" s="1623"/>
      <c r="AU162" s="1623"/>
      <c r="AV162" s="1623"/>
      <c r="AW162" s="1623"/>
      <c r="AX162" s="1623"/>
      <c r="AY162" s="1623"/>
      <c r="AZ162" s="1623"/>
      <c r="BA162" s="1623"/>
      <c r="BB162" s="1623"/>
      <c r="BC162" s="1623"/>
      <c r="BD162" s="1623"/>
      <c r="BE162" s="1623"/>
      <c r="BF162" s="1623"/>
      <c r="BG162" s="311"/>
      <c r="BI162" s="487"/>
      <c r="BJ162" s="252"/>
      <c r="BK162" s="1644" t="s">
        <v>683</v>
      </c>
      <c r="BL162" s="1644"/>
      <c r="BM162" s="1644"/>
      <c r="BN162" s="1644"/>
      <c r="BO162" s="1644"/>
      <c r="BP162" s="1644"/>
      <c r="BQ162" s="1644"/>
      <c r="BR162" s="1644"/>
      <c r="BS162" s="1644"/>
      <c r="BT162" s="1644"/>
      <c r="BU162" s="1644"/>
      <c r="BV162" s="1644"/>
      <c r="BW162" s="252"/>
      <c r="BX162" s="1644" t="s">
        <v>687</v>
      </c>
      <c r="BY162" s="1644"/>
      <c r="BZ162" s="1644"/>
      <c r="CA162" s="1644"/>
      <c r="CB162" s="1644"/>
      <c r="CC162" s="1644"/>
      <c r="CD162" s="1644"/>
      <c r="CE162" s="1644"/>
      <c r="CF162" s="1644"/>
      <c r="CG162" s="1644"/>
      <c r="CH162" s="1644"/>
      <c r="CI162" s="1644"/>
      <c r="CJ162" s="252"/>
      <c r="CK162" s="1644" t="s">
        <v>989</v>
      </c>
      <c r="CL162" s="1644"/>
      <c r="CM162" s="1644"/>
      <c r="CN162" s="1644"/>
      <c r="CO162" s="1644"/>
      <c r="CP162" s="1644"/>
      <c r="CQ162" s="1644"/>
      <c r="CR162" s="1644"/>
      <c r="CS162" s="1644"/>
      <c r="CT162" s="1644"/>
      <c r="CU162" s="1644"/>
      <c r="CV162" s="1644"/>
      <c r="CW162" s="252"/>
      <c r="CX162" s="1646" t="s">
        <v>645</v>
      </c>
      <c r="CY162" s="1646"/>
      <c r="CZ162" s="1646"/>
      <c r="DA162" s="1646"/>
      <c r="DB162" s="1646"/>
      <c r="DC162" s="1646"/>
      <c r="DD162" s="1646"/>
      <c r="DE162" s="1646"/>
      <c r="DF162" s="1646"/>
      <c r="DG162" s="1646"/>
      <c r="DH162" s="1646"/>
      <c r="DI162" s="1646"/>
      <c r="DJ162" s="252"/>
      <c r="DK162" s="1646" t="s">
        <v>933</v>
      </c>
      <c r="DL162" s="1646"/>
      <c r="DM162" s="1646"/>
      <c r="DN162" s="1646"/>
      <c r="DO162" s="1646"/>
      <c r="DP162" s="1646"/>
      <c r="DQ162" s="1646"/>
      <c r="DR162" s="1646"/>
      <c r="DS162" s="1646"/>
      <c r="DT162" s="1646"/>
      <c r="DU162" s="1646"/>
      <c r="DV162" s="1653"/>
    </row>
    <row r="163" spans="2:126" x14ac:dyDescent="0.15">
      <c r="B163" s="312"/>
      <c r="C163" s="505"/>
      <c r="D163" s="505"/>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505"/>
      <c r="AE163" s="505"/>
      <c r="AF163" s="505"/>
      <c r="AG163" s="505"/>
      <c r="AH163" s="505"/>
      <c r="AI163" s="505"/>
      <c r="AJ163" s="505"/>
      <c r="AK163" s="505"/>
      <c r="AL163" s="505"/>
      <c r="AM163" s="505"/>
      <c r="AN163" s="505"/>
      <c r="AO163" s="505"/>
      <c r="AP163" s="505"/>
      <c r="AQ163" s="505"/>
      <c r="AR163" s="505"/>
      <c r="AS163" s="505"/>
      <c r="AT163" s="505"/>
      <c r="AU163" s="505"/>
      <c r="AV163" s="505"/>
      <c r="AW163" s="505"/>
      <c r="AX163" s="505"/>
      <c r="AY163" s="505"/>
      <c r="AZ163" s="505"/>
      <c r="BA163" s="505"/>
      <c r="BB163" s="505"/>
      <c r="BC163" s="505"/>
      <c r="BD163" s="505"/>
      <c r="BE163" s="505"/>
      <c r="BF163" s="505"/>
      <c r="BG163" s="311"/>
      <c r="BI163" s="487"/>
      <c r="BJ163" s="252"/>
      <c r="BK163" s="1644" t="s">
        <v>684</v>
      </c>
      <c r="BL163" s="1644"/>
      <c r="BM163" s="1644"/>
      <c r="BN163" s="1644"/>
      <c r="BO163" s="1644"/>
      <c r="BP163" s="1644"/>
      <c r="BQ163" s="1644"/>
      <c r="BR163" s="1644"/>
      <c r="BS163" s="1644"/>
      <c r="BT163" s="1644"/>
      <c r="BU163" s="1644"/>
      <c r="BV163" s="1644"/>
      <c r="BW163" s="252"/>
      <c r="BX163" s="1644" t="s">
        <v>688</v>
      </c>
      <c r="BY163" s="1644"/>
      <c r="BZ163" s="1644"/>
      <c r="CA163" s="1644"/>
      <c r="CB163" s="1644"/>
      <c r="CC163" s="1644"/>
      <c r="CD163" s="1644"/>
      <c r="CE163" s="1644"/>
      <c r="CF163" s="1644"/>
      <c r="CG163" s="1644"/>
      <c r="CH163" s="1644"/>
      <c r="CI163" s="1644"/>
      <c r="CJ163" s="252"/>
      <c r="CK163" s="1644" t="s">
        <v>955</v>
      </c>
      <c r="CL163" s="1644"/>
      <c r="CM163" s="1644"/>
      <c r="CN163" s="1644"/>
      <c r="CO163" s="1644"/>
      <c r="CP163" s="1644"/>
      <c r="CQ163" s="1644"/>
      <c r="CR163" s="1644"/>
      <c r="CS163" s="1644"/>
      <c r="CT163" s="1644"/>
      <c r="CU163" s="1644"/>
      <c r="CV163" s="1644"/>
      <c r="CW163" s="252"/>
      <c r="CX163" s="1646" t="s">
        <v>683</v>
      </c>
      <c r="CY163" s="1646"/>
      <c r="CZ163" s="1646"/>
      <c r="DA163" s="1646"/>
      <c r="DB163" s="1646"/>
      <c r="DC163" s="1646"/>
      <c r="DD163" s="1646"/>
      <c r="DE163" s="1646"/>
      <c r="DF163" s="1646"/>
      <c r="DG163" s="1646"/>
      <c r="DH163" s="1646"/>
      <c r="DI163" s="1646"/>
      <c r="DJ163" s="252"/>
      <c r="DK163" s="1646" t="s">
        <v>966</v>
      </c>
      <c r="DL163" s="1646"/>
      <c r="DM163" s="1646"/>
      <c r="DN163" s="1646"/>
      <c r="DO163" s="1646"/>
      <c r="DP163" s="1646"/>
      <c r="DQ163" s="1646"/>
      <c r="DR163" s="1646"/>
      <c r="DS163" s="1646"/>
      <c r="DT163" s="1646"/>
      <c r="DU163" s="1646"/>
      <c r="DV163" s="1653"/>
    </row>
    <row r="164" spans="2:126" x14ac:dyDescent="0.15">
      <c r="B164" s="312"/>
      <c r="C164" s="505"/>
      <c r="D164" s="505"/>
      <c r="E164" s="1645" t="s">
        <v>770</v>
      </c>
      <c r="F164" s="1645"/>
      <c r="G164" s="1645"/>
      <c r="H164" s="1645"/>
      <c r="I164" s="1645"/>
      <c r="J164" s="1645"/>
      <c r="K164" s="1645"/>
      <c r="L164" s="1645"/>
      <c r="M164" s="1645"/>
      <c r="N164" s="1645"/>
      <c r="O164" s="1645"/>
      <c r="P164" s="1645"/>
      <c r="Q164" s="1645"/>
      <c r="R164" s="1645"/>
      <c r="S164" s="1645"/>
      <c r="T164" s="1645"/>
      <c r="U164" s="1645"/>
      <c r="V164" s="505"/>
      <c r="W164" s="505"/>
      <c r="X164" s="1642"/>
      <c r="Y164" s="1642"/>
      <c r="Z164" s="1642"/>
      <c r="AA164" s="1642"/>
      <c r="AB164" s="1642"/>
      <c r="AC164" s="1642"/>
      <c r="AD164" s="1642"/>
      <c r="AE164" s="1642"/>
      <c r="AF164" s="1642"/>
      <c r="AG164" s="506" t="s">
        <v>771</v>
      </c>
      <c r="AH164" s="505"/>
      <c r="AI164" s="505"/>
      <c r="AJ164" s="1643"/>
      <c r="AK164" s="1643"/>
      <c r="AL164" s="1643"/>
      <c r="AM164" s="1643"/>
      <c r="AN164" s="1643"/>
      <c r="AO164" s="1643"/>
      <c r="AP164" s="1643"/>
      <c r="AQ164" s="1643"/>
      <c r="AR164" s="1643"/>
      <c r="AS164" s="506" t="s">
        <v>772</v>
      </c>
      <c r="AT164" s="505"/>
      <c r="AU164" s="505"/>
      <c r="AV164" s="505"/>
      <c r="AW164" s="505"/>
      <c r="AX164" s="505"/>
      <c r="AY164" s="505"/>
      <c r="AZ164" s="505"/>
      <c r="BA164" s="505"/>
      <c r="BB164" s="505"/>
      <c r="BC164" s="505"/>
      <c r="BD164" s="505"/>
      <c r="BE164" s="505"/>
      <c r="BF164" s="505"/>
      <c r="BG164" s="311"/>
      <c r="BI164" s="487"/>
      <c r="BJ164" s="252"/>
      <c r="BK164" s="1644" t="s">
        <v>685</v>
      </c>
      <c r="BL164" s="1644"/>
      <c r="BM164" s="1644"/>
      <c r="BN164" s="1644"/>
      <c r="BO164" s="1644"/>
      <c r="BP164" s="1644"/>
      <c r="BQ164" s="1644"/>
      <c r="BR164" s="1644"/>
      <c r="BS164" s="1644"/>
      <c r="BT164" s="1644"/>
      <c r="BU164" s="1644"/>
      <c r="BV164" s="1644"/>
      <c r="BW164" s="252"/>
      <c r="BX164" s="1644" t="s">
        <v>689</v>
      </c>
      <c r="BY164" s="1644"/>
      <c r="BZ164" s="1644"/>
      <c r="CA164" s="1644"/>
      <c r="CB164" s="1644"/>
      <c r="CC164" s="1644"/>
      <c r="CD164" s="1644"/>
      <c r="CE164" s="1644"/>
      <c r="CF164" s="1644"/>
      <c r="CG164" s="1644"/>
      <c r="CH164" s="1644"/>
      <c r="CI164" s="1644"/>
      <c r="CJ164" s="252"/>
      <c r="CK164" s="1644" t="s">
        <v>956</v>
      </c>
      <c r="CL164" s="1644"/>
      <c r="CM164" s="1644"/>
      <c r="CN164" s="1644"/>
      <c r="CO164" s="1644"/>
      <c r="CP164" s="1644"/>
      <c r="CQ164" s="1644"/>
      <c r="CR164" s="1644"/>
      <c r="CS164" s="1644"/>
      <c r="CT164" s="1644"/>
      <c r="CU164" s="1644"/>
      <c r="CV164" s="1644"/>
      <c r="CW164" s="252"/>
      <c r="CX164" s="1646" t="s">
        <v>728</v>
      </c>
      <c r="CY164" s="1646"/>
      <c r="CZ164" s="1646"/>
      <c r="DA164" s="1646"/>
      <c r="DB164" s="1646"/>
      <c r="DC164" s="1646"/>
      <c r="DD164" s="1646"/>
      <c r="DE164" s="1646"/>
      <c r="DF164" s="1646"/>
      <c r="DG164" s="1646"/>
      <c r="DH164" s="1646"/>
      <c r="DI164" s="1646"/>
      <c r="DJ164" s="252"/>
      <c r="DK164" s="1646" t="s">
        <v>967</v>
      </c>
      <c r="DL164" s="1646"/>
      <c r="DM164" s="1646"/>
      <c r="DN164" s="1646"/>
      <c r="DO164" s="1646"/>
      <c r="DP164" s="1646"/>
      <c r="DQ164" s="1646"/>
      <c r="DR164" s="1646"/>
      <c r="DS164" s="1646"/>
      <c r="DT164" s="1646"/>
      <c r="DU164" s="1646"/>
      <c r="DV164" s="1653"/>
    </row>
    <row r="165" spans="2:126" ht="14.25" customHeight="1" x14ac:dyDescent="0.15">
      <c r="B165" s="312"/>
      <c r="C165" s="505"/>
      <c r="D165" s="505"/>
      <c r="E165" s="505"/>
      <c r="F165" s="505"/>
      <c r="G165" s="505"/>
      <c r="H165" s="505"/>
      <c r="I165" s="505"/>
      <c r="J165" s="505"/>
      <c r="K165" s="505"/>
      <c r="L165" s="505"/>
      <c r="M165" s="505"/>
      <c r="N165" s="505"/>
      <c r="O165" s="505"/>
      <c r="P165" s="505"/>
      <c r="Q165" s="505"/>
      <c r="R165" s="505"/>
      <c r="S165" s="505"/>
      <c r="T165" s="505"/>
      <c r="U165" s="505"/>
      <c r="V165" s="505"/>
      <c r="W165" s="505"/>
      <c r="X165" s="505"/>
      <c r="Y165" s="505"/>
      <c r="Z165" s="505"/>
      <c r="AA165" s="505"/>
      <c r="AB165" s="505"/>
      <c r="AC165" s="505"/>
      <c r="AD165" s="505"/>
      <c r="AE165" s="505"/>
      <c r="AF165" s="505"/>
      <c r="AG165" s="505"/>
      <c r="AH165" s="505"/>
      <c r="AI165" s="505"/>
      <c r="AJ165" s="505"/>
      <c r="AK165" s="505"/>
      <c r="AL165" s="505"/>
      <c r="AM165" s="505"/>
      <c r="AN165" s="505"/>
      <c r="AO165" s="505"/>
      <c r="AP165" s="505"/>
      <c r="AQ165" s="505"/>
      <c r="AR165" s="505"/>
      <c r="AS165" s="505"/>
      <c r="AT165" s="505"/>
      <c r="AU165" s="505"/>
      <c r="AV165" s="505"/>
      <c r="AW165" s="505"/>
      <c r="AX165" s="505"/>
      <c r="AY165" s="505"/>
      <c r="AZ165" s="505"/>
      <c r="BA165" s="505"/>
      <c r="BB165" s="505"/>
      <c r="BC165" s="505"/>
      <c r="BD165" s="505"/>
      <c r="BE165" s="505"/>
      <c r="BF165" s="505"/>
      <c r="BG165" s="311"/>
      <c r="BI165" s="487"/>
      <c r="BJ165" s="252"/>
      <c r="BK165" s="1644" t="str">
        <f>+""</f>
        <v/>
      </c>
      <c r="BL165" s="1644"/>
      <c r="BM165" s="1644"/>
      <c r="BN165" s="1644"/>
      <c r="BO165" s="1644"/>
      <c r="BP165" s="1644"/>
      <c r="BQ165" s="1644"/>
      <c r="BR165" s="1644"/>
      <c r="BS165" s="1644"/>
      <c r="BT165" s="1644"/>
      <c r="BU165" s="1644"/>
      <c r="BV165" s="1644"/>
      <c r="BW165" s="252"/>
      <c r="BX165" s="1644" t="s">
        <v>690</v>
      </c>
      <c r="BY165" s="1644"/>
      <c r="BZ165" s="1644"/>
      <c r="CA165" s="1644"/>
      <c r="CB165" s="1644"/>
      <c r="CC165" s="1644"/>
      <c r="CD165" s="1644"/>
      <c r="CE165" s="1644"/>
      <c r="CF165" s="1644"/>
      <c r="CG165" s="1644"/>
      <c r="CH165" s="1644"/>
      <c r="CI165" s="1644"/>
      <c r="CJ165" s="252"/>
      <c r="CK165" s="1655" t="s">
        <v>957</v>
      </c>
      <c r="CL165" s="1655"/>
      <c r="CM165" s="1655"/>
      <c r="CN165" s="1655"/>
      <c r="CO165" s="1655"/>
      <c r="CP165" s="1655"/>
      <c r="CQ165" s="1655"/>
      <c r="CR165" s="1655"/>
      <c r="CS165" s="1655"/>
      <c r="CT165" s="1655"/>
      <c r="CU165" s="1655"/>
      <c r="CV165" s="1655"/>
      <c r="CW165" s="252"/>
      <c r="CX165" s="1646" t="s">
        <v>729</v>
      </c>
      <c r="CY165" s="1646"/>
      <c r="CZ165" s="1646"/>
      <c r="DA165" s="1646"/>
      <c r="DB165" s="1646"/>
      <c r="DC165" s="1646"/>
      <c r="DD165" s="1646"/>
      <c r="DE165" s="1646"/>
      <c r="DF165" s="1646"/>
      <c r="DG165" s="1646"/>
      <c r="DH165" s="1646"/>
      <c r="DI165" s="1646"/>
      <c r="DJ165" s="252"/>
      <c r="DK165" s="1646" t="s">
        <v>965</v>
      </c>
      <c r="DL165" s="1646"/>
      <c r="DM165" s="1646"/>
      <c r="DN165" s="1646"/>
      <c r="DO165" s="1646"/>
      <c r="DP165" s="1646"/>
      <c r="DQ165" s="1646"/>
      <c r="DR165" s="1646"/>
      <c r="DS165" s="1646"/>
      <c r="DT165" s="1646"/>
      <c r="DU165" s="1646"/>
      <c r="DV165" s="1653"/>
    </row>
    <row r="166" spans="2:126" x14ac:dyDescent="0.15">
      <c r="B166" s="312"/>
      <c r="C166" s="505"/>
      <c r="D166" s="518"/>
      <c r="E166" s="1623" t="s">
        <v>773</v>
      </c>
      <c r="F166" s="1623"/>
      <c r="G166" s="1623"/>
      <c r="H166" s="1623"/>
      <c r="I166" s="1623"/>
      <c r="J166" s="1623"/>
      <c r="K166" s="1623"/>
      <c r="L166" s="1623"/>
      <c r="M166" s="1623"/>
      <c r="N166" s="1623"/>
      <c r="O166" s="1623"/>
      <c r="P166" s="1623"/>
      <c r="Q166" s="1623"/>
      <c r="R166" s="1623"/>
      <c r="S166" s="1623"/>
      <c r="T166" s="1623"/>
      <c r="U166" s="1623"/>
      <c r="V166" s="1623"/>
      <c r="W166" s="1623"/>
      <c r="X166" s="1623"/>
      <c r="Y166" s="1623"/>
      <c r="Z166" s="1623"/>
      <c r="AA166" s="1623"/>
      <c r="AB166" s="1623"/>
      <c r="AC166" s="1623"/>
      <c r="AD166" s="1623"/>
      <c r="AE166" s="1623"/>
      <c r="AF166" s="1623"/>
      <c r="AG166" s="1623"/>
      <c r="AH166" s="1623"/>
      <c r="AI166" s="1623"/>
      <c r="AJ166" s="1623"/>
      <c r="AK166" s="1623"/>
      <c r="AL166" s="1623"/>
      <c r="AM166" s="1623"/>
      <c r="AN166" s="1623"/>
      <c r="AO166" s="1623"/>
      <c r="AP166" s="1623"/>
      <c r="AQ166" s="1623"/>
      <c r="AR166" s="1623"/>
      <c r="AS166" s="1623"/>
      <c r="AT166" s="1623"/>
      <c r="AU166" s="1623"/>
      <c r="AV166" s="1623"/>
      <c r="AW166" s="1623"/>
      <c r="AX166" s="1623"/>
      <c r="AY166" s="1623"/>
      <c r="AZ166" s="1623"/>
      <c r="BA166" s="1623"/>
      <c r="BB166" s="1623"/>
      <c r="BC166" s="1623"/>
      <c r="BD166" s="1623"/>
      <c r="BE166" s="1623"/>
      <c r="BF166" s="1623"/>
      <c r="BG166" s="311"/>
      <c r="BI166" s="487"/>
      <c r="BJ166" s="252"/>
      <c r="BK166" s="1644" t="str">
        <f>+""</f>
        <v/>
      </c>
      <c r="BL166" s="1644"/>
      <c r="BM166" s="1644"/>
      <c r="BN166" s="1644"/>
      <c r="BO166" s="1644"/>
      <c r="BP166" s="1644"/>
      <c r="BQ166" s="1644"/>
      <c r="BR166" s="1644"/>
      <c r="BS166" s="1644"/>
      <c r="BT166" s="1644"/>
      <c r="BU166" s="1644"/>
      <c r="BV166" s="1644"/>
      <c r="BW166" s="252"/>
      <c r="BX166" s="1644" t="s">
        <v>691</v>
      </c>
      <c r="BY166" s="1644"/>
      <c r="BZ166" s="1644"/>
      <c r="CA166" s="1644"/>
      <c r="CB166" s="1644"/>
      <c r="CC166" s="1644"/>
      <c r="CD166" s="1644"/>
      <c r="CE166" s="1644"/>
      <c r="CF166" s="1644"/>
      <c r="CG166" s="1644"/>
      <c r="CH166" s="1644"/>
      <c r="CI166" s="1644"/>
      <c r="CJ166" s="252"/>
      <c r="CK166" s="1644" t="s">
        <v>959</v>
      </c>
      <c r="CL166" s="1644"/>
      <c r="CM166" s="1644"/>
      <c r="CN166" s="1644"/>
      <c r="CO166" s="1644"/>
      <c r="CP166" s="1644"/>
      <c r="CQ166" s="1644"/>
      <c r="CR166" s="1644"/>
      <c r="CS166" s="1644"/>
      <c r="CT166" s="1644"/>
      <c r="CU166" s="1644"/>
      <c r="CV166" s="1644"/>
      <c r="CW166" s="252"/>
      <c r="CX166" s="1646" t="s">
        <v>685</v>
      </c>
      <c r="CY166" s="1646"/>
      <c r="CZ166" s="1646"/>
      <c r="DA166" s="1646"/>
      <c r="DB166" s="1646"/>
      <c r="DC166" s="1646"/>
      <c r="DD166" s="1646"/>
      <c r="DE166" s="1646"/>
      <c r="DF166" s="1646"/>
      <c r="DG166" s="1646"/>
      <c r="DH166" s="1646"/>
      <c r="DI166" s="1646"/>
      <c r="DJ166" s="252"/>
      <c r="DK166" s="1646" t="s">
        <v>975</v>
      </c>
      <c r="DL166" s="1646"/>
      <c r="DM166" s="1646"/>
      <c r="DN166" s="1646"/>
      <c r="DO166" s="1646"/>
      <c r="DP166" s="1646"/>
      <c r="DQ166" s="1646"/>
      <c r="DR166" s="1646"/>
      <c r="DS166" s="1646"/>
      <c r="DT166" s="1646"/>
      <c r="DU166" s="1646"/>
      <c r="DV166" s="1653"/>
    </row>
    <row r="167" spans="2:126" x14ac:dyDescent="0.15">
      <c r="B167" s="312"/>
      <c r="C167" s="505"/>
      <c r="D167" s="518"/>
      <c r="E167" s="1623" t="s">
        <v>980</v>
      </c>
      <c r="F167" s="1623"/>
      <c r="G167" s="1623"/>
      <c r="H167" s="1623"/>
      <c r="I167" s="1623"/>
      <c r="J167" s="1623"/>
      <c r="K167" s="1623"/>
      <c r="L167" s="1623"/>
      <c r="M167" s="1623"/>
      <c r="N167" s="1623"/>
      <c r="O167" s="1623"/>
      <c r="P167" s="1623"/>
      <c r="Q167" s="1623"/>
      <c r="R167" s="1623"/>
      <c r="S167" s="1623"/>
      <c r="T167" s="1623"/>
      <c r="U167" s="1623"/>
      <c r="V167" s="1623"/>
      <c r="W167" s="1623"/>
      <c r="X167" s="1623"/>
      <c r="Y167" s="1623"/>
      <c r="Z167" s="1623"/>
      <c r="AA167" s="1623"/>
      <c r="AB167" s="1623"/>
      <c r="AC167" s="1623"/>
      <c r="AD167" s="1623"/>
      <c r="AE167" s="1623"/>
      <c r="AF167" s="1623"/>
      <c r="AG167" s="1623"/>
      <c r="AH167" s="1623"/>
      <c r="AI167" s="1623"/>
      <c r="AJ167" s="1623"/>
      <c r="AK167" s="1623"/>
      <c r="AL167" s="1623"/>
      <c r="AM167" s="1623"/>
      <c r="AN167" s="1623"/>
      <c r="AO167" s="1623"/>
      <c r="AP167" s="1623"/>
      <c r="AQ167" s="1623"/>
      <c r="AR167" s="1623"/>
      <c r="AS167" s="1623"/>
      <c r="AT167" s="1623"/>
      <c r="AU167" s="1623"/>
      <c r="AV167" s="1623"/>
      <c r="AW167" s="1623"/>
      <c r="AX167" s="1623"/>
      <c r="AY167" s="1623"/>
      <c r="AZ167" s="1623"/>
      <c r="BA167" s="1623"/>
      <c r="BB167" s="1623"/>
      <c r="BC167" s="1623"/>
      <c r="BD167" s="1623"/>
      <c r="BE167" s="1623"/>
      <c r="BF167" s="1623"/>
      <c r="BG167" s="311"/>
      <c r="BI167" s="487"/>
      <c r="BJ167" s="252"/>
      <c r="BK167" s="1644" t="str">
        <f>+""</f>
        <v/>
      </c>
      <c r="BL167" s="1644"/>
      <c r="BM167" s="1644"/>
      <c r="BN167" s="1644"/>
      <c r="BO167" s="1644"/>
      <c r="BP167" s="1644"/>
      <c r="BQ167" s="1644"/>
      <c r="BR167" s="1644"/>
      <c r="BS167" s="1644"/>
      <c r="BT167" s="1644"/>
      <c r="BU167" s="1644"/>
      <c r="BV167" s="1644"/>
      <c r="BW167" s="252"/>
      <c r="BX167" s="1644" t="s">
        <v>692</v>
      </c>
      <c r="BY167" s="1644"/>
      <c r="BZ167" s="1644"/>
      <c r="CA167" s="1644"/>
      <c r="CB167" s="1644"/>
      <c r="CC167" s="1644"/>
      <c r="CD167" s="1644"/>
      <c r="CE167" s="1644"/>
      <c r="CF167" s="1644"/>
      <c r="CG167" s="1644"/>
      <c r="CH167" s="1644"/>
      <c r="CI167" s="1644"/>
      <c r="CJ167" s="252"/>
      <c r="CK167" s="1644" t="s">
        <v>958</v>
      </c>
      <c r="CL167" s="1644"/>
      <c r="CM167" s="1644"/>
      <c r="CN167" s="1644"/>
      <c r="CO167" s="1644"/>
      <c r="CP167" s="1644"/>
      <c r="CQ167" s="1644"/>
      <c r="CR167" s="1644"/>
      <c r="CS167" s="1644"/>
      <c r="CT167" s="1644"/>
      <c r="CU167" s="1644"/>
      <c r="CV167" s="1644"/>
      <c r="CW167" s="252"/>
      <c r="CX167" s="1646" t="s">
        <v>730</v>
      </c>
      <c r="CY167" s="1646"/>
      <c r="CZ167" s="1646"/>
      <c r="DA167" s="1646"/>
      <c r="DB167" s="1646"/>
      <c r="DC167" s="1646"/>
      <c r="DD167" s="1646"/>
      <c r="DE167" s="1646"/>
      <c r="DF167" s="1646"/>
      <c r="DG167" s="1646"/>
      <c r="DH167" s="1646"/>
      <c r="DI167" s="1646"/>
      <c r="DJ167" s="252"/>
      <c r="DK167" s="1646" t="s">
        <v>968</v>
      </c>
      <c r="DL167" s="1646"/>
      <c r="DM167" s="1646"/>
      <c r="DN167" s="1646"/>
      <c r="DO167" s="1646"/>
      <c r="DP167" s="1646"/>
      <c r="DQ167" s="1646"/>
      <c r="DR167" s="1646"/>
      <c r="DS167" s="1646"/>
      <c r="DT167" s="1646"/>
      <c r="DU167" s="1646"/>
      <c r="DV167" s="1653"/>
    </row>
    <row r="168" spans="2:126" x14ac:dyDescent="0.15">
      <c r="B168" s="312"/>
      <c r="C168" s="505"/>
      <c r="D168" s="505"/>
      <c r="E168" s="505"/>
      <c r="F168" s="505"/>
      <c r="G168" s="505"/>
      <c r="H168" s="505"/>
      <c r="I168" s="505"/>
      <c r="J168" s="505"/>
      <c r="K168" s="505"/>
      <c r="L168" s="505"/>
      <c r="M168" s="505"/>
      <c r="N168" s="505"/>
      <c r="O168" s="505"/>
      <c r="P168" s="505"/>
      <c r="Q168" s="505"/>
      <c r="R168" s="505"/>
      <c r="S168" s="505"/>
      <c r="T168" s="505"/>
      <c r="U168" s="505"/>
      <c r="V168" s="505"/>
      <c r="W168" s="505"/>
      <c r="X168" s="505"/>
      <c r="Y168" s="505"/>
      <c r="Z168" s="505"/>
      <c r="AA168" s="505"/>
      <c r="AB168" s="505"/>
      <c r="AC168" s="505"/>
      <c r="AD168" s="505"/>
      <c r="AE168" s="505"/>
      <c r="AF168" s="505"/>
      <c r="AG168" s="505"/>
      <c r="AH168" s="505"/>
      <c r="AI168" s="505"/>
      <c r="AJ168" s="505"/>
      <c r="AK168" s="505"/>
      <c r="AL168" s="505"/>
      <c r="AM168" s="505"/>
      <c r="AN168" s="505"/>
      <c r="AO168" s="505"/>
      <c r="AP168" s="505"/>
      <c r="AQ168" s="505"/>
      <c r="AR168" s="505"/>
      <c r="AS168" s="505"/>
      <c r="AT168" s="505"/>
      <c r="AU168" s="505"/>
      <c r="AV168" s="505"/>
      <c r="AW168" s="505"/>
      <c r="AX168" s="505"/>
      <c r="AY168" s="505"/>
      <c r="AZ168" s="505"/>
      <c r="BA168" s="505"/>
      <c r="BB168" s="505"/>
      <c r="BC168" s="505"/>
      <c r="BD168" s="505"/>
      <c r="BE168" s="505"/>
      <c r="BF168" s="505"/>
      <c r="BG168" s="311"/>
      <c r="BI168" s="487"/>
      <c r="BJ168" s="252"/>
      <c r="BK168" s="1644" t="str">
        <f>+""</f>
        <v/>
      </c>
      <c r="BL168" s="1644"/>
      <c r="BM168" s="1644"/>
      <c r="BN168" s="1644"/>
      <c r="BO168" s="1644"/>
      <c r="BP168" s="1644"/>
      <c r="BQ168" s="1644"/>
      <c r="BR168" s="1644"/>
      <c r="BS168" s="1644"/>
      <c r="BT168" s="1644"/>
      <c r="BU168" s="1644"/>
      <c r="BV168" s="1644"/>
      <c r="BW168" s="252"/>
      <c r="BX168" s="1644" t="s">
        <v>693</v>
      </c>
      <c r="BY168" s="1644"/>
      <c r="BZ168" s="1644"/>
      <c r="CA168" s="1644"/>
      <c r="CB168" s="1644"/>
      <c r="CC168" s="1644"/>
      <c r="CD168" s="1644"/>
      <c r="CE168" s="1644"/>
      <c r="CF168" s="1644"/>
      <c r="CG168" s="1644"/>
      <c r="CH168" s="1644"/>
      <c r="CI168" s="1644"/>
      <c r="CJ168" s="252"/>
      <c r="CK168" s="1644" t="s">
        <v>959</v>
      </c>
      <c r="CL168" s="1644"/>
      <c r="CM168" s="1644"/>
      <c r="CN168" s="1644"/>
      <c r="CO168" s="1644"/>
      <c r="CP168" s="1644"/>
      <c r="CQ168" s="1644"/>
      <c r="CR168" s="1644"/>
      <c r="CS168" s="1644"/>
      <c r="CT168" s="1644"/>
      <c r="CU168" s="1644"/>
      <c r="CV168" s="1644"/>
      <c r="CW168" s="252"/>
      <c r="CX168" s="1646" t="s">
        <v>731</v>
      </c>
      <c r="CY168" s="1646"/>
      <c r="CZ168" s="1646"/>
      <c r="DA168" s="1646"/>
      <c r="DB168" s="1646"/>
      <c r="DC168" s="1646"/>
      <c r="DD168" s="1646"/>
      <c r="DE168" s="1646"/>
      <c r="DF168" s="1646"/>
      <c r="DG168" s="1646"/>
      <c r="DH168" s="1646"/>
      <c r="DI168" s="1646"/>
      <c r="DJ168" s="252"/>
      <c r="DK168" s="1658" t="s">
        <v>956</v>
      </c>
      <c r="DL168" s="1646"/>
      <c r="DM168" s="1646"/>
      <c r="DN168" s="1646"/>
      <c r="DO168" s="1646"/>
      <c r="DP168" s="1646"/>
      <c r="DQ168" s="1646"/>
      <c r="DR168" s="1646"/>
      <c r="DS168" s="1646"/>
      <c r="DT168" s="1646"/>
      <c r="DU168" s="1646"/>
      <c r="DV168" s="1653"/>
    </row>
    <row r="169" spans="2:126" x14ac:dyDescent="0.15">
      <c r="B169" s="312"/>
      <c r="C169" s="505"/>
      <c r="D169" s="505"/>
      <c r="E169" s="1645" t="s">
        <v>770</v>
      </c>
      <c r="F169" s="1645"/>
      <c r="G169" s="1645"/>
      <c r="H169" s="1645"/>
      <c r="I169" s="1645"/>
      <c r="J169" s="1645"/>
      <c r="K169" s="1645"/>
      <c r="L169" s="1645"/>
      <c r="M169" s="1645"/>
      <c r="N169" s="1645"/>
      <c r="O169" s="1645"/>
      <c r="P169" s="1645"/>
      <c r="Q169" s="1645"/>
      <c r="R169" s="1645"/>
      <c r="S169" s="1645"/>
      <c r="T169" s="1645"/>
      <c r="U169" s="1645"/>
      <c r="V169" s="505"/>
      <c r="W169" s="505"/>
      <c r="X169" s="1642"/>
      <c r="Y169" s="1642"/>
      <c r="Z169" s="1642"/>
      <c r="AA169" s="1642"/>
      <c r="AB169" s="1642"/>
      <c r="AC169" s="1642"/>
      <c r="AD169" s="1642"/>
      <c r="AE169" s="1642"/>
      <c r="AF169" s="1642"/>
      <c r="AG169" s="506" t="s">
        <v>771</v>
      </c>
      <c r="AH169" s="505"/>
      <c r="AI169" s="505"/>
      <c r="AJ169" s="1643"/>
      <c r="AK169" s="1643"/>
      <c r="AL169" s="1643"/>
      <c r="AM169" s="1643"/>
      <c r="AN169" s="1643"/>
      <c r="AO169" s="1643"/>
      <c r="AP169" s="1643"/>
      <c r="AQ169" s="1643"/>
      <c r="AR169" s="1643"/>
      <c r="AS169" s="506" t="s">
        <v>772</v>
      </c>
      <c r="AT169" s="505"/>
      <c r="AU169" s="505"/>
      <c r="AV169" s="505"/>
      <c r="AW169" s="505"/>
      <c r="AX169" s="505"/>
      <c r="AY169" s="505"/>
      <c r="AZ169" s="505"/>
      <c r="BA169" s="505"/>
      <c r="BB169" s="505"/>
      <c r="BC169" s="505"/>
      <c r="BD169" s="505"/>
      <c r="BE169" s="505"/>
      <c r="BF169" s="505"/>
      <c r="BG169" s="311"/>
      <c r="BI169" s="487"/>
      <c r="BJ169" s="252"/>
      <c r="BK169" s="1644" t="str">
        <f>+""</f>
        <v/>
      </c>
      <c r="BL169" s="1644"/>
      <c r="BM169" s="1644"/>
      <c r="BN169" s="1644"/>
      <c r="BO169" s="1644"/>
      <c r="BP169" s="1644"/>
      <c r="BQ169" s="1644"/>
      <c r="BR169" s="1644"/>
      <c r="BS169" s="1644"/>
      <c r="BT169" s="1644"/>
      <c r="BU169" s="1644"/>
      <c r="BV169" s="1644"/>
      <c r="BW169" s="252"/>
      <c r="BX169" s="1644" t="s">
        <v>694</v>
      </c>
      <c r="BY169" s="1644"/>
      <c r="BZ169" s="1644"/>
      <c r="CA169" s="1644"/>
      <c r="CB169" s="1644"/>
      <c r="CC169" s="1644"/>
      <c r="CD169" s="1644"/>
      <c r="CE169" s="1644"/>
      <c r="CF169" s="1644"/>
      <c r="CG169" s="1644"/>
      <c r="CH169" s="1644"/>
      <c r="CI169" s="1644"/>
      <c r="CJ169" s="252"/>
      <c r="CK169" s="1644" t="s">
        <v>960</v>
      </c>
      <c r="CL169" s="1644"/>
      <c r="CM169" s="1644"/>
      <c r="CN169" s="1644"/>
      <c r="CO169" s="1644"/>
      <c r="CP169" s="1644"/>
      <c r="CQ169" s="1644"/>
      <c r="CR169" s="1644"/>
      <c r="CS169" s="1644"/>
      <c r="CT169" s="1644"/>
      <c r="CU169" s="1644"/>
      <c r="CV169" s="1644"/>
      <c r="CW169" s="252"/>
      <c r="CX169" s="1646" t="s">
        <v>732</v>
      </c>
      <c r="CY169" s="1646"/>
      <c r="CZ169" s="1646"/>
      <c r="DA169" s="1646"/>
      <c r="DB169" s="1646"/>
      <c r="DC169" s="1646"/>
      <c r="DD169" s="1646"/>
      <c r="DE169" s="1646"/>
      <c r="DF169" s="1646"/>
      <c r="DG169" s="1646"/>
      <c r="DH169" s="1646"/>
      <c r="DI169" s="1646"/>
      <c r="DJ169" s="252"/>
      <c r="DK169" s="1658" t="s">
        <v>957</v>
      </c>
      <c r="DL169" s="1646"/>
      <c r="DM169" s="1646"/>
      <c r="DN169" s="1646"/>
      <c r="DO169" s="1646"/>
      <c r="DP169" s="1646"/>
      <c r="DQ169" s="1646"/>
      <c r="DR169" s="1646"/>
      <c r="DS169" s="1646"/>
      <c r="DT169" s="1646"/>
      <c r="DU169" s="1646"/>
      <c r="DV169" s="1653"/>
    </row>
    <row r="170" spans="2:126" x14ac:dyDescent="0.15">
      <c r="B170" s="312"/>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c r="AX170" s="507"/>
      <c r="AY170" s="507"/>
      <c r="AZ170" s="507"/>
      <c r="BA170" s="507"/>
      <c r="BB170" s="507"/>
      <c r="BC170" s="507"/>
      <c r="BD170" s="507"/>
      <c r="BE170" s="507"/>
      <c r="BF170" s="507"/>
      <c r="BG170" s="311"/>
      <c r="BI170" s="487"/>
      <c r="BJ170" s="252"/>
      <c r="BK170" s="1644" t="str">
        <f>+""</f>
        <v/>
      </c>
      <c r="BL170" s="1644"/>
      <c r="BM170" s="1644"/>
      <c r="BN170" s="1644"/>
      <c r="BO170" s="1644"/>
      <c r="BP170" s="1644"/>
      <c r="BQ170" s="1644"/>
      <c r="BR170" s="1644"/>
      <c r="BS170" s="1644"/>
      <c r="BT170" s="1644"/>
      <c r="BU170" s="1644"/>
      <c r="BV170" s="1644"/>
      <c r="BW170" s="252"/>
      <c r="BX170" s="1644" t="s">
        <v>695</v>
      </c>
      <c r="BY170" s="1644"/>
      <c r="BZ170" s="1644"/>
      <c r="CA170" s="1644"/>
      <c r="CB170" s="1644"/>
      <c r="CC170" s="1644"/>
      <c r="CD170" s="1644"/>
      <c r="CE170" s="1644"/>
      <c r="CF170" s="1644"/>
      <c r="CG170" s="1644"/>
      <c r="CH170" s="1644"/>
      <c r="CI170" s="1644"/>
      <c r="CJ170" s="252"/>
      <c r="CK170" s="1644" t="s">
        <v>961</v>
      </c>
      <c r="CL170" s="1644"/>
      <c r="CM170" s="1644"/>
      <c r="CN170" s="1644"/>
      <c r="CO170" s="1644"/>
      <c r="CP170" s="1644"/>
      <c r="CQ170" s="1644"/>
      <c r="CR170" s="1644"/>
      <c r="CS170" s="1644"/>
      <c r="CT170" s="1644"/>
      <c r="CU170" s="1644"/>
      <c r="CV170" s="1644"/>
      <c r="CW170" s="252"/>
      <c r="CX170" s="1646" t="s">
        <v>733</v>
      </c>
      <c r="CY170" s="1646"/>
      <c r="CZ170" s="1646"/>
      <c r="DA170" s="1646"/>
      <c r="DB170" s="1646"/>
      <c r="DC170" s="1646"/>
      <c r="DD170" s="1646"/>
      <c r="DE170" s="1646"/>
      <c r="DF170" s="1646"/>
      <c r="DG170" s="1646"/>
      <c r="DH170" s="1646"/>
      <c r="DI170" s="1646"/>
      <c r="DJ170" s="252"/>
      <c r="DK170" s="1646" t="s">
        <v>969</v>
      </c>
      <c r="DL170" s="1646"/>
      <c r="DM170" s="1646"/>
      <c r="DN170" s="1646"/>
      <c r="DO170" s="1646"/>
      <c r="DP170" s="1646"/>
      <c r="DQ170" s="1646"/>
      <c r="DR170" s="1646"/>
      <c r="DS170" s="1646"/>
      <c r="DT170" s="1646"/>
      <c r="DU170" s="1646"/>
      <c r="DV170" s="1653"/>
    </row>
    <row r="171" spans="2:126" ht="27" customHeight="1" x14ac:dyDescent="0.15">
      <c r="B171" s="312"/>
      <c r="C171" s="1632" t="s">
        <v>981</v>
      </c>
      <c r="D171" s="1632"/>
      <c r="E171" s="1632"/>
      <c r="F171" s="1632"/>
      <c r="G171" s="1632"/>
      <c r="H171" s="1632"/>
      <c r="I171" s="1632"/>
      <c r="J171" s="1632"/>
      <c r="K171" s="1632"/>
      <c r="L171" s="1632"/>
      <c r="M171" s="1632"/>
      <c r="N171" s="1632"/>
      <c r="O171" s="1632"/>
      <c r="P171" s="1632"/>
      <c r="Q171" s="1632"/>
      <c r="R171" s="1632"/>
      <c r="S171" s="1632"/>
      <c r="T171" s="1632"/>
      <c r="U171" s="1632"/>
      <c r="V171" s="1632"/>
      <c r="W171" s="1632"/>
      <c r="X171" s="1632"/>
      <c r="Y171" s="1632"/>
      <c r="Z171" s="1632"/>
      <c r="AA171" s="1632"/>
      <c r="AB171" s="1632"/>
      <c r="AC171" s="1632"/>
      <c r="AD171" s="1632"/>
      <c r="AE171" s="1632"/>
      <c r="AF171" s="1632"/>
      <c r="AG171" s="1632"/>
      <c r="AH171" s="1632"/>
      <c r="AI171" s="1632"/>
      <c r="AJ171" s="1632"/>
      <c r="AK171" s="1632"/>
      <c r="AL171" s="1632"/>
      <c r="AM171" s="1632"/>
      <c r="AN171" s="1632"/>
      <c r="AO171" s="1632"/>
      <c r="AP171" s="1632"/>
      <c r="AQ171" s="1632"/>
      <c r="AR171" s="1632"/>
      <c r="AS171" s="1632"/>
      <c r="AT171" s="1632"/>
      <c r="AU171" s="1632"/>
      <c r="AV171" s="1632"/>
      <c r="AW171" s="1632"/>
      <c r="AX171" s="1632"/>
      <c r="AY171" s="1632"/>
      <c r="AZ171" s="1632"/>
      <c r="BA171" s="1632"/>
      <c r="BB171" s="1632"/>
      <c r="BC171" s="1632"/>
      <c r="BD171" s="1632"/>
      <c r="BE171" s="1632"/>
      <c r="BF171" s="1632"/>
      <c r="BG171" s="311"/>
      <c r="BI171" s="487"/>
      <c r="BJ171" s="252"/>
      <c r="BK171" s="1644" t="str">
        <f>+""</f>
        <v/>
      </c>
      <c r="BL171" s="1644"/>
      <c r="BM171" s="1644"/>
      <c r="BN171" s="1644"/>
      <c r="BO171" s="1644"/>
      <c r="BP171" s="1644"/>
      <c r="BQ171" s="1644"/>
      <c r="BR171" s="1644"/>
      <c r="BS171" s="1644"/>
      <c r="BT171" s="1644"/>
      <c r="BU171" s="1644"/>
      <c r="BV171" s="1644"/>
      <c r="BW171" s="252"/>
      <c r="BX171" s="1644" t="s">
        <v>696</v>
      </c>
      <c r="BY171" s="1644"/>
      <c r="BZ171" s="1644"/>
      <c r="CA171" s="1644"/>
      <c r="CB171" s="1644"/>
      <c r="CC171" s="1644"/>
      <c r="CD171" s="1644"/>
      <c r="CE171" s="1644"/>
      <c r="CF171" s="1644"/>
      <c r="CG171" s="1644"/>
      <c r="CH171" s="1644"/>
      <c r="CI171" s="1644"/>
      <c r="CJ171" s="252"/>
      <c r="CK171" s="1644" t="s">
        <v>962</v>
      </c>
      <c r="CL171" s="1644"/>
      <c r="CM171" s="1644"/>
      <c r="CN171" s="1644"/>
      <c r="CO171" s="1644"/>
      <c r="CP171" s="1644"/>
      <c r="CQ171" s="1644"/>
      <c r="CR171" s="1644"/>
      <c r="CS171" s="1644"/>
      <c r="CT171" s="1644"/>
      <c r="CU171" s="1644"/>
      <c r="CV171" s="1644"/>
      <c r="CW171" s="252"/>
      <c r="CX171" s="1646" t="s">
        <v>704</v>
      </c>
      <c r="CY171" s="1646"/>
      <c r="CZ171" s="1646"/>
      <c r="DA171" s="1646"/>
      <c r="DB171" s="1646"/>
      <c r="DC171" s="1646"/>
      <c r="DD171" s="1646"/>
      <c r="DE171" s="1646"/>
      <c r="DF171" s="1646"/>
      <c r="DG171" s="1646"/>
      <c r="DH171" s="1646"/>
      <c r="DI171" s="1646"/>
      <c r="DJ171" s="252"/>
      <c r="DK171" s="1646" t="s">
        <v>970</v>
      </c>
      <c r="DL171" s="1646"/>
      <c r="DM171" s="1646"/>
      <c r="DN171" s="1646"/>
      <c r="DO171" s="1646"/>
      <c r="DP171" s="1646"/>
      <c r="DQ171" s="1646"/>
      <c r="DR171" s="1646"/>
      <c r="DS171" s="1646"/>
      <c r="DT171" s="1646"/>
      <c r="DU171" s="1646"/>
      <c r="DV171" s="1653"/>
    </row>
    <row r="172" spans="2:126" x14ac:dyDescent="0.15">
      <c r="B172" s="312"/>
      <c r="C172" s="505"/>
      <c r="D172" s="518"/>
      <c r="E172" s="1623" t="s">
        <v>774</v>
      </c>
      <c r="F172" s="1623"/>
      <c r="G172" s="1623"/>
      <c r="H172" s="1623"/>
      <c r="I172" s="1623"/>
      <c r="J172" s="1623"/>
      <c r="K172" s="1623"/>
      <c r="L172" s="1623"/>
      <c r="M172" s="1623"/>
      <c r="N172" s="1623"/>
      <c r="O172" s="1623"/>
      <c r="P172" s="1623"/>
      <c r="Q172" s="1623"/>
      <c r="R172" s="1623"/>
      <c r="S172" s="1623"/>
      <c r="T172" s="1623"/>
      <c r="U172" s="1623"/>
      <c r="V172" s="1623"/>
      <c r="W172" s="1623"/>
      <c r="X172" s="1623"/>
      <c r="Y172" s="1623"/>
      <c r="Z172" s="1623"/>
      <c r="AA172" s="1623"/>
      <c r="AB172" s="1623"/>
      <c r="AC172" s="1623"/>
      <c r="AD172" s="1623"/>
      <c r="AE172" s="1623"/>
      <c r="AF172" s="1623"/>
      <c r="AG172" s="1623"/>
      <c r="AH172" s="1623"/>
      <c r="AI172" s="1623"/>
      <c r="AJ172" s="1623"/>
      <c r="AK172" s="1623"/>
      <c r="AL172" s="1623"/>
      <c r="AM172" s="1623"/>
      <c r="AN172" s="1623"/>
      <c r="AO172" s="1623"/>
      <c r="AP172" s="1623"/>
      <c r="AQ172" s="1623"/>
      <c r="AR172" s="1623"/>
      <c r="AS172" s="1623"/>
      <c r="AT172" s="1623"/>
      <c r="AU172" s="1623"/>
      <c r="AV172" s="1623"/>
      <c r="AW172" s="1623"/>
      <c r="AX172" s="1623"/>
      <c r="AY172" s="1623"/>
      <c r="AZ172" s="1623"/>
      <c r="BA172" s="1623"/>
      <c r="BB172" s="1623"/>
      <c r="BC172" s="1623"/>
      <c r="BD172" s="1623"/>
      <c r="BE172" s="1623"/>
      <c r="BF172" s="1623"/>
      <c r="BG172" s="311"/>
      <c r="BI172" s="487"/>
      <c r="BJ172" s="252"/>
      <c r="BK172" s="1644" t="str">
        <f>+""</f>
        <v/>
      </c>
      <c r="BL172" s="1644"/>
      <c r="BM172" s="1644"/>
      <c r="BN172" s="1644"/>
      <c r="BO172" s="1644"/>
      <c r="BP172" s="1644"/>
      <c r="BQ172" s="1644"/>
      <c r="BR172" s="1644"/>
      <c r="BS172" s="1644"/>
      <c r="BT172" s="1644"/>
      <c r="BU172" s="1644"/>
      <c r="BV172" s="1644"/>
      <c r="BW172" s="252"/>
      <c r="BX172" s="1644" t="s">
        <v>697</v>
      </c>
      <c r="BY172" s="1644"/>
      <c r="BZ172" s="1644"/>
      <c r="CA172" s="1644"/>
      <c r="CB172" s="1644"/>
      <c r="CC172" s="1644"/>
      <c r="CD172" s="1644"/>
      <c r="CE172" s="1644"/>
      <c r="CF172" s="1644"/>
      <c r="CG172" s="1644"/>
      <c r="CH172" s="1644"/>
      <c r="CI172" s="1644"/>
      <c r="CJ172" s="252"/>
      <c r="CK172" s="1644" t="s">
        <v>963</v>
      </c>
      <c r="CL172" s="1644"/>
      <c r="CM172" s="1644"/>
      <c r="CN172" s="1644"/>
      <c r="CO172" s="1644"/>
      <c r="CP172" s="1644"/>
      <c r="CQ172" s="1644"/>
      <c r="CR172" s="1644"/>
      <c r="CS172" s="1644"/>
      <c r="CT172" s="1644"/>
      <c r="CU172" s="1644"/>
      <c r="CV172" s="1644"/>
      <c r="CW172" s="252"/>
      <c r="CX172" s="1660" t="s">
        <v>734</v>
      </c>
      <c r="CY172" s="1660"/>
      <c r="CZ172" s="1660"/>
      <c r="DA172" s="1660"/>
      <c r="DB172" s="1660"/>
      <c r="DC172" s="1660"/>
      <c r="DD172" s="1660"/>
      <c r="DE172" s="1660"/>
      <c r="DF172" s="1660"/>
      <c r="DG172" s="1660"/>
      <c r="DH172" s="1660"/>
      <c r="DI172" s="1660"/>
      <c r="DJ172" s="252"/>
      <c r="DK172" s="1646" t="s">
        <v>971</v>
      </c>
      <c r="DL172" s="1646"/>
      <c r="DM172" s="1646"/>
      <c r="DN172" s="1646"/>
      <c r="DO172" s="1646"/>
      <c r="DP172" s="1646"/>
      <c r="DQ172" s="1646"/>
      <c r="DR172" s="1646"/>
      <c r="DS172" s="1646"/>
      <c r="DT172" s="1646"/>
      <c r="DU172" s="1646"/>
      <c r="DV172" s="1653"/>
    </row>
    <row r="173" spans="2:126" ht="14.25" customHeight="1" x14ac:dyDescent="0.2">
      <c r="B173" s="312"/>
      <c r="C173" s="505"/>
      <c r="D173" s="518"/>
      <c r="E173" s="1623" t="s">
        <v>982</v>
      </c>
      <c r="F173" s="1623"/>
      <c r="G173" s="1623"/>
      <c r="H173" s="1623"/>
      <c r="I173" s="1623"/>
      <c r="J173" s="1623"/>
      <c r="K173" s="1623"/>
      <c r="L173" s="1623"/>
      <c r="M173" s="1623"/>
      <c r="N173" s="1623"/>
      <c r="O173" s="1623"/>
      <c r="P173" s="1623"/>
      <c r="Q173" s="1623"/>
      <c r="R173" s="1623"/>
      <c r="S173" s="1623"/>
      <c r="T173" s="1623"/>
      <c r="U173" s="1623"/>
      <c r="V173" s="1623"/>
      <c r="W173" s="1623"/>
      <c r="X173" s="1623"/>
      <c r="Y173" s="1623"/>
      <c r="Z173" s="1623"/>
      <c r="AA173" s="1623"/>
      <c r="AB173" s="1623"/>
      <c r="AC173" s="1623"/>
      <c r="AD173" s="1623"/>
      <c r="AE173" s="1623"/>
      <c r="AF173" s="1623"/>
      <c r="AG173" s="1623"/>
      <c r="AH173" s="1623"/>
      <c r="AI173" s="1623"/>
      <c r="AJ173" s="1623"/>
      <c r="AK173" s="1623"/>
      <c r="AL173" s="1623"/>
      <c r="AM173" s="1623"/>
      <c r="AN173" s="1623"/>
      <c r="AO173" s="505"/>
      <c r="AP173" s="1712" t="s">
        <v>1042</v>
      </c>
      <c r="AQ173" s="1712"/>
      <c r="AR173" s="1712"/>
      <c r="AS173" s="1712"/>
      <c r="AT173" s="1712"/>
      <c r="AU173" s="1712"/>
      <c r="AV173" s="1712"/>
      <c r="AW173" s="1712"/>
      <c r="AX173" s="1712"/>
      <c r="AY173" s="1712"/>
      <c r="AZ173" s="1712"/>
      <c r="BA173" s="1712"/>
      <c r="BB173" s="1712"/>
      <c r="BC173" s="1712"/>
      <c r="BD173" s="1712"/>
      <c r="BE173" s="1712"/>
      <c r="BF173" s="1712"/>
      <c r="BG173" s="311"/>
      <c r="BI173" s="487"/>
      <c r="BJ173" s="252"/>
      <c r="BK173" s="1644" t="str">
        <f>+""</f>
        <v/>
      </c>
      <c r="BL173" s="1644"/>
      <c r="BM173" s="1644"/>
      <c r="BN173" s="1644"/>
      <c r="BO173" s="1644"/>
      <c r="BP173" s="1644"/>
      <c r="BQ173" s="1644"/>
      <c r="BR173" s="1644"/>
      <c r="BS173" s="1644"/>
      <c r="BT173" s="1644"/>
      <c r="BU173" s="1644"/>
      <c r="BV173" s="1644"/>
      <c r="BW173" s="252"/>
      <c r="BX173" s="1644" t="s">
        <v>704</v>
      </c>
      <c r="BY173" s="1644"/>
      <c r="BZ173" s="1644"/>
      <c r="CA173" s="1644"/>
      <c r="CB173" s="1644"/>
      <c r="CC173" s="1644"/>
      <c r="CD173" s="1644"/>
      <c r="CE173" s="1644"/>
      <c r="CF173" s="1644"/>
      <c r="CG173" s="1644"/>
      <c r="CH173" s="1644"/>
      <c r="CI173" s="1644"/>
      <c r="CJ173" s="252"/>
      <c r="CK173" s="1644" t="s">
        <v>964</v>
      </c>
      <c r="CL173" s="1644"/>
      <c r="CM173" s="1644"/>
      <c r="CN173" s="1644"/>
      <c r="CO173" s="1644"/>
      <c r="CP173" s="1644"/>
      <c r="CQ173" s="1644"/>
      <c r="CR173" s="1644"/>
      <c r="CS173" s="1644"/>
      <c r="CT173" s="1644"/>
      <c r="CU173" s="1644"/>
      <c r="CV173" s="1644"/>
      <c r="CW173" s="252"/>
      <c r="CX173" s="1661" t="s">
        <v>735</v>
      </c>
      <c r="CY173" s="1661"/>
      <c r="CZ173" s="1661"/>
      <c r="DA173" s="1661"/>
      <c r="DB173" s="1661"/>
      <c r="DC173" s="1661"/>
      <c r="DD173" s="1661"/>
      <c r="DE173" s="1661"/>
      <c r="DF173" s="1661"/>
      <c r="DG173" s="1661"/>
      <c r="DH173" s="1661"/>
      <c r="DI173" s="1661"/>
      <c r="DJ173" s="252"/>
      <c r="DK173" s="1646" t="s">
        <v>972</v>
      </c>
      <c r="DL173" s="1646"/>
      <c r="DM173" s="1646"/>
      <c r="DN173" s="1646"/>
      <c r="DO173" s="1646"/>
      <c r="DP173" s="1646"/>
      <c r="DQ173" s="1646"/>
      <c r="DR173" s="1646"/>
      <c r="DS173" s="1646"/>
      <c r="DT173" s="1646"/>
      <c r="DU173" s="1646"/>
      <c r="DV173" s="1653"/>
    </row>
    <row r="174" spans="2:126" x14ac:dyDescent="0.15">
      <c r="B174" s="312"/>
      <c r="C174" s="535"/>
      <c r="D174" s="535"/>
      <c r="E174" s="535"/>
      <c r="F174" s="535"/>
      <c r="G174" s="535"/>
      <c r="H174" s="535"/>
      <c r="I174" s="535"/>
      <c r="J174" s="535"/>
      <c r="K174" s="535"/>
      <c r="L174" s="535"/>
      <c r="M174" s="535"/>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5"/>
      <c r="AL174" s="535"/>
      <c r="AM174" s="535"/>
      <c r="AN174" s="535"/>
      <c r="AO174" s="535"/>
      <c r="AP174" s="535"/>
      <c r="AQ174" s="535"/>
      <c r="AR174" s="535"/>
      <c r="AS174" s="535"/>
      <c r="AT174" s="535"/>
      <c r="AU174" s="535"/>
      <c r="AV174" s="535"/>
      <c r="AW174" s="535"/>
      <c r="AX174" s="535"/>
      <c r="AY174" s="535"/>
      <c r="AZ174" s="535"/>
      <c r="BA174" s="535"/>
      <c r="BB174" s="535"/>
      <c r="BC174" s="535"/>
      <c r="BD174" s="535"/>
      <c r="BE174" s="535"/>
      <c r="BF174" s="535"/>
      <c r="BG174" s="311"/>
      <c r="BI174" s="487"/>
      <c r="BJ174" s="252"/>
      <c r="BK174" s="1644" t="str">
        <f>+""</f>
        <v/>
      </c>
      <c r="BL174" s="1644"/>
      <c r="BM174" s="1644"/>
      <c r="BN174" s="1644"/>
      <c r="BO174" s="1644"/>
      <c r="BP174" s="1644"/>
      <c r="BQ174" s="1644"/>
      <c r="BR174" s="1644"/>
      <c r="BS174" s="1644"/>
      <c r="BT174" s="1644"/>
      <c r="BU174" s="1644"/>
      <c r="BV174" s="1644"/>
      <c r="BW174" s="252"/>
      <c r="BX174" s="1656" t="s">
        <v>698</v>
      </c>
      <c r="BY174" s="1656"/>
      <c r="BZ174" s="1656"/>
      <c r="CA174" s="1656"/>
      <c r="CB174" s="1656"/>
      <c r="CC174" s="1656"/>
      <c r="CD174" s="1656"/>
      <c r="CE174" s="1656"/>
      <c r="CF174" s="1656"/>
      <c r="CG174" s="1656"/>
      <c r="CH174" s="1656"/>
      <c r="CI174" s="1656"/>
      <c r="CJ174" s="252"/>
      <c r="CK174" s="1644" t="s">
        <v>965</v>
      </c>
      <c r="CL174" s="1644"/>
      <c r="CM174" s="1644"/>
      <c r="CN174" s="1644"/>
      <c r="CO174" s="1644"/>
      <c r="CP174" s="1644"/>
      <c r="CQ174" s="1644"/>
      <c r="CR174" s="1644"/>
      <c r="CS174" s="1644"/>
      <c r="CT174" s="1644"/>
      <c r="CU174" s="1644"/>
      <c r="CV174" s="1644"/>
      <c r="CW174" s="252"/>
      <c r="CX174" s="1661" t="s">
        <v>736</v>
      </c>
      <c r="CY174" s="1661"/>
      <c r="CZ174" s="1661"/>
      <c r="DA174" s="1661"/>
      <c r="DB174" s="1661"/>
      <c r="DC174" s="1661"/>
      <c r="DD174" s="1661"/>
      <c r="DE174" s="1661"/>
      <c r="DF174" s="1661"/>
      <c r="DG174" s="1661"/>
      <c r="DH174" s="1661"/>
      <c r="DI174" s="1661"/>
      <c r="DJ174" s="252"/>
      <c r="DK174" s="1646" t="s">
        <v>973</v>
      </c>
      <c r="DL174" s="1646"/>
      <c r="DM174" s="1646"/>
      <c r="DN174" s="1646"/>
      <c r="DO174" s="1646"/>
      <c r="DP174" s="1646"/>
      <c r="DQ174" s="1646"/>
      <c r="DR174" s="1646"/>
      <c r="DS174" s="1646"/>
      <c r="DT174" s="1646"/>
      <c r="DU174" s="1646"/>
      <c r="DV174" s="1653"/>
    </row>
    <row r="175" spans="2:126" ht="57.75" customHeight="1" x14ac:dyDescent="0.15">
      <c r="B175" s="312"/>
      <c r="C175" s="535"/>
      <c r="D175" s="1650" t="s">
        <v>983</v>
      </c>
      <c r="E175" s="1651"/>
      <c r="F175" s="535"/>
      <c r="G175" s="1650" t="s">
        <v>984</v>
      </c>
      <c r="H175" s="1652"/>
      <c r="I175" s="1652"/>
      <c r="J175" s="1652"/>
      <c r="K175" s="1652"/>
      <c r="L175" s="1652"/>
      <c r="M175" s="1652"/>
      <c r="N175" s="1652"/>
      <c r="O175" s="1652"/>
      <c r="P175" s="1651"/>
      <c r="Q175" s="535"/>
      <c r="R175" s="1650" t="s">
        <v>985</v>
      </c>
      <c r="S175" s="1652"/>
      <c r="T175" s="1652"/>
      <c r="U175" s="1652"/>
      <c r="V175" s="1652"/>
      <c r="W175" s="1652"/>
      <c r="X175" s="1652"/>
      <c r="Y175" s="1652"/>
      <c r="Z175" s="1652"/>
      <c r="AA175" s="1651"/>
      <c r="AB175" s="535"/>
      <c r="AC175" s="1650" t="s">
        <v>1029</v>
      </c>
      <c r="AD175" s="1652"/>
      <c r="AE175" s="1652"/>
      <c r="AF175" s="1652"/>
      <c r="AG175" s="1652"/>
      <c r="AH175" s="1652"/>
      <c r="AI175" s="1652"/>
      <c r="AJ175" s="1652"/>
      <c r="AK175" s="1652"/>
      <c r="AL175" s="1651"/>
      <c r="AM175" s="535"/>
      <c r="AN175" s="1650" t="s">
        <v>1031</v>
      </c>
      <c r="AO175" s="1652"/>
      <c r="AP175" s="1652"/>
      <c r="AQ175" s="1652"/>
      <c r="AR175" s="1652"/>
      <c r="AS175" s="1652"/>
      <c r="AT175" s="1652"/>
      <c r="AU175" s="1652"/>
      <c r="AV175" s="1652"/>
      <c r="AW175" s="1651"/>
      <c r="AX175" s="535"/>
      <c r="AY175" s="1650" t="s">
        <v>986</v>
      </c>
      <c r="AZ175" s="1652"/>
      <c r="BA175" s="1652"/>
      <c r="BB175" s="1652"/>
      <c r="BC175" s="1652"/>
      <c r="BD175" s="1652"/>
      <c r="BE175" s="1652"/>
      <c r="BF175" s="1651"/>
      <c r="BG175" s="311"/>
      <c r="BI175" s="1713" t="s">
        <v>1030</v>
      </c>
      <c r="BJ175" s="1162"/>
      <c r="BK175" s="1644" t="str">
        <f>+""</f>
        <v/>
      </c>
      <c r="BL175" s="1644"/>
      <c r="BM175" s="1644"/>
      <c r="BN175" s="1644"/>
      <c r="BO175" s="1644"/>
      <c r="BP175" s="1644"/>
      <c r="BQ175" s="1644"/>
      <c r="BR175" s="1644"/>
      <c r="BS175" s="1644"/>
      <c r="BT175" s="1644"/>
      <c r="BU175" s="1644"/>
      <c r="BV175" s="1644"/>
      <c r="BW175" s="252"/>
      <c r="BX175" s="1657" t="s">
        <v>699</v>
      </c>
      <c r="BY175" s="1657"/>
      <c r="BZ175" s="1657"/>
      <c r="CA175" s="1657"/>
      <c r="CB175" s="1657"/>
      <c r="CC175" s="1657"/>
      <c r="CD175" s="1657"/>
      <c r="CE175" s="1657"/>
      <c r="CF175" s="1657"/>
      <c r="CG175" s="1657"/>
      <c r="CH175" s="1657"/>
      <c r="CI175" s="1657"/>
      <c r="CJ175" s="252"/>
      <c r="CK175" s="1644" t="str">
        <f>+""</f>
        <v/>
      </c>
      <c r="CL175" s="1644"/>
      <c r="CM175" s="1644"/>
      <c r="CN175" s="1644"/>
      <c r="CO175" s="1644"/>
      <c r="CP175" s="1644"/>
      <c r="CQ175" s="1644"/>
      <c r="CR175" s="1644"/>
      <c r="CS175" s="1644"/>
      <c r="CT175" s="1644"/>
      <c r="CU175" s="1644"/>
      <c r="CV175" s="1644"/>
      <c r="CW175" s="252"/>
      <c r="CX175" s="1646" t="str">
        <f>+""</f>
        <v/>
      </c>
      <c r="CY175" s="1646"/>
      <c r="CZ175" s="1646"/>
      <c r="DA175" s="1646"/>
      <c r="DB175" s="1646"/>
      <c r="DC175" s="1646"/>
      <c r="DD175" s="1646"/>
      <c r="DE175" s="1646"/>
      <c r="DF175" s="1646"/>
      <c r="DG175" s="1646"/>
      <c r="DH175" s="1646"/>
      <c r="DI175" s="1646"/>
      <c r="DJ175" s="252"/>
      <c r="DK175" s="1646" t="s">
        <v>751</v>
      </c>
      <c r="DL175" s="1646"/>
      <c r="DM175" s="1646"/>
      <c r="DN175" s="1646"/>
      <c r="DO175" s="1646"/>
      <c r="DP175" s="1646"/>
      <c r="DQ175" s="1646"/>
      <c r="DR175" s="1646"/>
      <c r="DS175" s="1646"/>
      <c r="DT175" s="1646"/>
      <c r="DU175" s="1646"/>
      <c r="DV175" s="1653"/>
    </row>
    <row r="176" spans="2:126" x14ac:dyDescent="0.15">
      <c r="B176" s="312"/>
      <c r="C176" s="514"/>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514"/>
      <c r="AE176" s="514"/>
      <c r="AF176" s="514"/>
      <c r="AG176" s="514"/>
      <c r="AH176" s="514"/>
      <c r="AI176" s="514"/>
      <c r="AJ176" s="514"/>
      <c r="AK176" s="514"/>
      <c r="AL176" s="514"/>
      <c r="AM176" s="514"/>
      <c r="AN176" s="514"/>
      <c r="AO176" s="514"/>
      <c r="AP176" s="514"/>
      <c r="AQ176" s="514"/>
      <c r="AR176" s="514"/>
      <c r="AS176" s="514"/>
      <c r="AT176" s="514"/>
      <c r="AU176" s="514"/>
      <c r="AV176" s="514"/>
      <c r="AW176" s="514"/>
      <c r="AX176" s="514"/>
      <c r="AY176" s="514"/>
      <c r="AZ176" s="514"/>
      <c r="BA176" s="514"/>
      <c r="BB176" s="514"/>
      <c r="BC176" s="514"/>
      <c r="BD176" s="514"/>
      <c r="BE176" s="514"/>
      <c r="BF176" s="514"/>
      <c r="BG176" s="311"/>
      <c r="BI176" s="965" t="s">
        <v>163</v>
      </c>
      <c r="BJ176" s="966"/>
      <c r="BK176" s="1644" t="str">
        <f>+""</f>
        <v/>
      </c>
      <c r="BL176" s="1644"/>
      <c r="BM176" s="1644"/>
      <c r="BN176" s="1644"/>
      <c r="BO176" s="1644"/>
      <c r="BP176" s="1644"/>
      <c r="BQ176" s="1644"/>
      <c r="BR176" s="1644"/>
      <c r="BS176" s="1644"/>
      <c r="BT176" s="1644"/>
      <c r="BU176" s="1644"/>
      <c r="BV176" s="1644"/>
      <c r="BW176" s="252"/>
      <c r="BX176" s="1657" t="s">
        <v>700</v>
      </c>
      <c r="BY176" s="1657"/>
      <c r="BZ176" s="1657"/>
      <c r="CA176" s="1657"/>
      <c r="CB176" s="1657"/>
      <c r="CC176" s="1657"/>
      <c r="CD176" s="1657"/>
      <c r="CE176" s="1657"/>
      <c r="CF176" s="1657"/>
      <c r="CG176" s="1657"/>
      <c r="CH176" s="1657"/>
      <c r="CI176" s="1657"/>
      <c r="CJ176" s="252"/>
      <c r="CK176" s="1644" t="str">
        <f>+""</f>
        <v/>
      </c>
      <c r="CL176" s="1644"/>
      <c r="CM176" s="1644"/>
      <c r="CN176" s="1644"/>
      <c r="CO176" s="1644"/>
      <c r="CP176" s="1644"/>
      <c r="CQ176" s="1644"/>
      <c r="CR176" s="1644"/>
      <c r="CS176" s="1644"/>
      <c r="CT176" s="1644"/>
      <c r="CU176" s="1644"/>
      <c r="CV176" s="1644"/>
      <c r="CW176" s="252"/>
      <c r="CX176" s="1646" t="str">
        <f>+""</f>
        <v/>
      </c>
      <c r="CY176" s="1646"/>
      <c r="CZ176" s="1646"/>
      <c r="DA176" s="1646"/>
      <c r="DB176" s="1646"/>
      <c r="DC176" s="1646"/>
      <c r="DD176" s="1646"/>
      <c r="DE176" s="1646"/>
      <c r="DF176" s="1646"/>
      <c r="DG176" s="1646"/>
      <c r="DH176" s="1646"/>
      <c r="DI176" s="1646"/>
      <c r="DJ176" s="252"/>
      <c r="DK176" s="1646" t="s">
        <v>976</v>
      </c>
      <c r="DL176" s="1646"/>
      <c r="DM176" s="1646"/>
      <c r="DN176" s="1646"/>
      <c r="DO176" s="1646"/>
      <c r="DP176" s="1646"/>
      <c r="DQ176" s="1646"/>
      <c r="DR176" s="1646"/>
      <c r="DS176" s="1646"/>
      <c r="DT176" s="1646"/>
      <c r="DU176" s="1646"/>
      <c r="DV176" s="1653"/>
    </row>
    <row r="177" spans="2:126" x14ac:dyDescent="0.15">
      <c r="B177" s="312"/>
      <c r="C177" s="537"/>
      <c r="D177" s="1617">
        <v>1</v>
      </c>
      <c r="E177" s="1618"/>
      <c r="F177" s="535"/>
      <c r="G177" s="1616"/>
      <c r="H177" s="1616"/>
      <c r="I177" s="1616"/>
      <c r="J177" s="1616"/>
      <c r="K177" s="1616"/>
      <c r="L177" s="1616"/>
      <c r="M177" s="1616"/>
      <c r="N177" s="1616"/>
      <c r="O177" s="1616"/>
      <c r="P177" s="1616"/>
      <c r="Q177" s="535"/>
      <c r="R177" s="1616"/>
      <c r="S177" s="1616"/>
      <c r="T177" s="1616"/>
      <c r="U177" s="1616"/>
      <c r="V177" s="1616"/>
      <c r="W177" s="1616"/>
      <c r="X177" s="1616"/>
      <c r="Y177" s="1616"/>
      <c r="Z177" s="1616"/>
      <c r="AA177" s="1616"/>
      <c r="AB177" s="535"/>
      <c r="AC177" s="1615" t="s">
        <v>163</v>
      </c>
      <c r="AD177" s="1615"/>
      <c r="AE177" s="1615"/>
      <c r="AF177" s="1615"/>
      <c r="AG177" s="1615"/>
      <c r="AH177" s="1615"/>
      <c r="AI177" s="1615"/>
      <c r="AJ177" s="1615"/>
      <c r="AK177" s="1615"/>
      <c r="AL177" s="1615"/>
      <c r="AM177" s="535"/>
      <c r="AN177" s="1619">
        <v>0</v>
      </c>
      <c r="AO177" s="1619"/>
      <c r="AP177" s="1619"/>
      <c r="AQ177" s="1619"/>
      <c r="AR177" s="1619"/>
      <c r="AS177" s="1620">
        <v>0</v>
      </c>
      <c r="AT177" s="1620"/>
      <c r="AU177" s="1620"/>
      <c r="AV177" s="1620"/>
      <c r="AW177" s="1620"/>
      <c r="AX177" s="535"/>
      <c r="AY177" s="1616"/>
      <c r="AZ177" s="1616"/>
      <c r="BA177" s="1616"/>
      <c r="BB177" s="1616"/>
      <c r="BC177" s="1616"/>
      <c r="BD177" s="1616"/>
      <c r="BE177" s="1616"/>
      <c r="BF177" s="1616"/>
      <c r="BG177" s="311"/>
      <c r="BI177" s="965" t="s">
        <v>112</v>
      </c>
      <c r="BJ177" s="966"/>
      <c r="BK177" s="1644" t="str">
        <f>+""</f>
        <v/>
      </c>
      <c r="BL177" s="1644"/>
      <c r="BM177" s="1644"/>
      <c r="BN177" s="1644"/>
      <c r="BO177" s="1644"/>
      <c r="BP177" s="1644"/>
      <c r="BQ177" s="1644"/>
      <c r="BR177" s="1644"/>
      <c r="BS177" s="1644"/>
      <c r="BT177" s="1644"/>
      <c r="BU177" s="1644"/>
      <c r="BV177" s="1644"/>
      <c r="BW177" s="252"/>
      <c r="BX177" s="1657" t="s">
        <v>701</v>
      </c>
      <c r="BY177" s="1657"/>
      <c r="BZ177" s="1657"/>
      <c r="CA177" s="1657"/>
      <c r="CB177" s="1657"/>
      <c r="CC177" s="1657"/>
      <c r="CD177" s="1657"/>
      <c r="CE177" s="1657"/>
      <c r="CF177" s="1657"/>
      <c r="CG177" s="1657"/>
      <c r="CH177" s="1657"/>
      <c r="CI177" s="1657"/>
      <c r="CJ177" s="252"/>
      <c r="CK177" s="1644" t="str">
        <f>+""</f>
        <v/>
      </c>
      <c r="CL177" s="1644"/>
      <c r="CM177" s="1644"/>
      <c r="CN177" s="1644"/>
      <c r="CO177" s="1644"/>
      <c r="CP177" s="1644"/>
      <c r="CQ177" s="1644"/>
      <c r="CR177" s="1644"/>
      <c r="CS177" s="1644"/>
      <c r="CT177" s="1644"/>
      <c r="CU177" s="1644"/>
      <c r="CV177" s="1644"/>
      <c r="CW177" s="252"/>
      <c r="CX177" s="1646" t="str">
        <f>+""</f>
        <v/>
      </c>
      <c r="CY177" s="1646"/>
      <c r="CZ177" s="1646"/>
      <c r="DA177" s="1646"/>
      <c r="DB177" s="1646"/>
      <c r="DC177" s="1646"/>
      <c r="DD177" s="1646"/>
      <c r="DE177" s="1646"/>
      <c r="DF177" s="1646"/>
      <c r="DG177" s="1646"/>
      <c r="DH177" s="1646"/>
      <c r="DI177" s="1646"/>
      <c r="DJ177" s="252"/>
      <c r="DK177" s="1646" t="str">
        <f>+""</f>
        <v/>
      </c>
      <c r="DL177" s="1646"/>
      <c r="DM177" s="1646"/>
      <c r="DN177" s="1646"/>
      <c r="DO177" s="1646"/>
      <c r="DP177" s="1646"/>
      <c r="DQ177" s="1646"/>
      <c r="DR177" s="1646"/>
      <c r="DS177" s="1646"/>
      <c r="DT177" s="1646"/>
      <c r="DU177" s="1646"/>
      <c r="DV177" s="1653"/>
    </row>
    <row r="178" spans="2:126" x14ac:dyDescent="0.15">
      <c r="B178" s="312"/>
      <c r="C178" s="535"/>
      <c r="D178" s="536"/>
      <c r="E178" s="535"/>
      <c r="F178" s="535"/>
      <c r="G178" s="535"/>
      <c r="H178" s="535"/>
      <c r="I178" s="535"/>
      <c r="J178" s="535"/>
      <c r="K178" s="535"/>
      <c r="L178" s="535"/>
      <c r="M178" s="535"/>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5"/>
      <c r="AL178" s="535"/>
      <c r="AM178" s="535"/>
      <c r="AN178" s="535"/>
      <c r="AO178" s="535"/>
      <c r="AP178" s="535"/>
      <c r="AQ178" s="535"/>
      <c r="AR178" s="535"/>
      <c r="AS178" s="535"/>
      <c r="AT178" s="535"/>
      <c r="AU178" s="535"/>
      <c r="AV178" s="535"/>
      <c r="AW178" s="535"/>
      <c r="AX178" s="535"/>
      <c r="AY178" s="535"/>
      <c r="AZ178" s="535"/>
      <c r="BA178" s="535"/>
      <c r="BB178" s="535"/>
      <c r="BC178" s="535"/>
      <c r="BD178" s="535"/>
      <c r="BE178" s="535"/>
      <c r="BF178" s="535"/>
      <c r="BG178" s="311"/>
      <c r="BI178" s="965" t="s">
        <v>113</v>
      </c>
      <c r="BJ178" s="966"/>
      <c r="BK178" s="1644" t="str">
        <f>+""</f>
        <v/>
      </c>
      <c r="BL178" s="1644"/>
      <c r="BM178" s="1644"/>
      <c r="BN178" s="1644"/>
      <c r="BO178" s="1644"/>
      <c r="BP178" s="1644"/>
      <c r="BQ178" s="1644"/>
      <c r="BR178" s="1644"/>
      <c r="BS178" s="1644"/>
      <c r="BT178" s="1644"/>
      <c r="BU178" s="1644"/>
      <c r="BV178" s="1644"/>
      <c r="BW178" s="252"/>
      <c r="BX178" s="1657" t="s">
        <v>702</v>
      </c>
      <c r="BY178" s="1657"/>
      <c r="BZ178" s="1657"/>
      <c r="CA178" s="1657"/>
      <c r="CB178" s="1657"/>
      <c r="CC178" s="1657"/>
      <c r="CD178" s="1657"/>
      <c r="CE178" s="1657"/>
      <c r="CF178" s="1657"/>
      <c r="CG178" s="1657"/>
      <c r="CH178" s="1657"/>
      <c r="CI178" s="1657"/>
      <c r="CJ178" s="252"/>
      <c r="CK178" s="1644" t="str">
        <f>+""</f>
        <v/>
      </c>
      <c r="CL178" s="1644"/>
      <c r="CM178" s="1644"/>
      <c r="CN178" s="1644"/>
      <c r="CO178" s="1644"/>
      <c r="CP178" s="1644"/>
      <c r="CQ178" s="1644"/>
      <c r="CR178" s="1644"/>
      <c r="CS178" s="1644"/>
      <c r="CT178" s="1644"/>
      <c r="CU178" s="1644"/>
      <c r="CV178" s="1644"/>
      <c r="CW178" s="252"/>
      <c r="CX178" s="1646" t="str">
        <f>+""</f>
        <v/>
      </c>
      <c r="CY178" s="1646"/>
      <c r="CZ178" s="1646"/>
      <c r="DA178" s="1646"/>
      <c r="DB178" s="1646"/>
      <c r="DC178" s="1646"/>
      <c r="DD178" s="1646"/>
      <c r="DE178" s="1646"/>
      <c r="DF178" s="1646"/>
      <c r="DG178" s="1646"/>
      <c r="DH178" s="1646"/>
      <c r="DI178" s="1646"/>
      <c r="DJ178" s="252"/>
      <c r="DK178" s="1646" t="str">
        <f>+""</f>
        <v/>
      </c>
      <c r="DL178" s="1646"/>
      <c r="DM178" s="1646"/>
      <c r="DN178" s="1646"/>
      <c r="DO178" s="1646"/>
      <c r="DP178" s="1646"/>
      <c r="DQ178" s="1646"/>
      <c r="DR178" s="1646"/>
      <c r="DS178" s="1646"/>
      <c r="DT178" s="1646"/>
      <c r="DU178" s="1646"/>
      <c r="DV178" s="1653"/>
    </row>
    <row r="179" spans="2:126" x14ac:dyDescent="0.15">
      <c r="B179" s="312"/>
      <c r="C179" s="535"/>
      <c r="D179" s="1617">
        <v>2</v>
      </c>
      <c r="E179" s="1618"/>
      <c r="F179" s="535"/>
      <c r="G179" s="1616"/>
      <c r="H179" s="1616"/>
      <c r="I179" s="1616"/>
      <c r="J179" s="1616"/>
      <c r="K179" s="1616"/>
      <c r="L179" s="1616"/>
      <c r="M179" s="1616"/>
      <c r="N179" s="1616"/>
      <c r="O179" s="1616"/>
      <c r="P179" s="1616"/>
      <c r="Q179" s="535"/>
      <c r="R179" s="1616"/>
      <c r="S179" s="1616"/>
      <c r="T179" s="1616"/>
      <c r="U179" s="1616"/>
      <c r="V179" s="1616"/>
      <c r="W179" s="1616"/>
      <c r="X179" s="1616"/>
      <c r="Y179" s="1616"/>
      <c r="Z179" s="1616"/>
      <c r="AA179" s="1616"/>
      <c r="AB179" s="535"/>
      <c r="AC179" s="1615" t="s">
        <v>163</v>
      </c>
      <c r="AD179" s="1615"/>
      <c r="AE179" s="1615"/>
      <c r="AF179" s="1615"/>
      <c r="AG179" s="1615"/>
      <c r="AH179" s="1615"/>
      <c r="AI179" s="1615"/>
      <c r="AJ179" s="1615"/>
      <c r="AK179" s="1615"/>
      <c r="AL179" s="1615"/>
      <c r="AM179" s="535"/>
      <c r="AN179" s="1619">
        <v>0</v>
      </c>
      <c r="AO179" s="1619"/>
      <c r="AP179" s="1619"/>
      <c r="AQ179" s="1619"/>
      <c r="AR179" s="1619"/>
      <c r="AS179" s="1620">
        <v>0</v>
      </c>
      <c r="AT179" s="1620"/>
      <c r="AU179" s="1620"/>
      <c r="AV179" s="1620"/>
      <c r="AW179" s="1620"/>
      <c r="AX179" s="535"/>
      <c r="AY179" s="1616"/>
      <c r="AZ179" s="1616"/>
      <c r="BA179" s="1616"/>
      <c r="BB179" s="1616"/>
      <c r="BC179" s="1616"/>
      <c r="BD179" s="1616"/>
      <c r="BE179" s="1616"/>
      <c r="BF179" s="1616"/>
      <c r="BG179" s="311"/>
      <c r="BI179" s="965" t="s">
        <v>126</v>
      </c>
      <c r="BJ179" s="966"/>
      <c r="BK179" s="1644" t="str">
        <f>+""</f>
        <v/>
      </c>
      <c r="BL179" s="1644"/>
      <c r="BM179" s="1644"/>
      <c r="BN179" s="1644"/>
      <c r="BO179" s="1644"/>
      <c r="BP179" s="1644"/>
      <c r="BQ179" s="1644"/>
      <c r="BR179" s="1644"/>
      <c r="BS179" s="1644"/>
      <c r="BT179" s="1644"/>
      <c r="BU179" s="1644"/>
      <c r="BV179" s="1644"/>
      <c r="BW179" s="252"/>
      <c r="BX179" s="1657" t="s">
        <v>703</v>
      </c>
      <c r="BY179" s="1657"/>
      <c r="BZ179" s="1657"/>
      <c r="CA179" s="1657"/>
      <c r="CB179" s="1657"/>
      <c r="CC179" s="1657"/>
      <c r="CD179" s="1657"/>
      <c r="CE179" s="1657"/>
      <c r="CF179" s="1657"/>
      <c r="CG179" s="1657"/>
      <c r="CH179" s="1657"/>
      <c r="CI179" s="1657"/>
      <c r="CJ179" s="252"/>
      <c r="CK179" s="1644" t="str">
        <f>+""</f>
        <v/>
      </c>
      <c r="CL179" s="1644"/>
      <c r="CM179" s="1644"/>
      <c r="CN179" s="1644"/>
      <c r="CO179" s="1644"/>
      <c r="CP179" s="1644"/>
      <c r="CQ179" s="1644"/>
      <c r="CR179" s="1644"/>
      <c r="CS179" s="1644"/>
      <c r="CT179" s="1644"/>
      <c r="CU179" s="1644"/>
      <c r="CV179" s="1644"/>
      <c r="CW179" s="252"/>
      <c r="CX179" s="1646" t="str">
        <f>+""</f>
        <v/>
      </c>
      <c r="CY179" s="1646"/>
      <c r="CZ179" s="1646"/>
      <c r="DA179" s="1646"/>
      <c r="DB179" s="1646"/>
      <c r="DC179" s="1646"/>
      <c r="DD179" s="1646"/>
      <c r="DE179" s="1646"/>
      <c r="DF179" s="1646"/>
      <c r="DG179" s="1646"/>
      <c r="DH179" s="1646"/>
      <c r="DI179" s="1646"/>
      <c r="DJ179" s="252"/>
      <c r="DK179" s="1646" t="str">
        <f>+""</f>
        <v/>
      </c>
      <c r="DL179" s="1646"/>
      <c r="DM179" s="1646"/>
      <c r="DN179" s="1646"/>
      <c r="DO179" s="1646"/>
      <c r="DP179" s="1646"/>
      <c r="DQ179" s="1646"/>
      <c r="DR179" s="1646"/>
      <c r="DS179" s="1646"/>
      <c r="DT179" s="1646"/>
      <c r="DU179" s="1646"/>
      <c r="DV179" s="1653"/>
    </row>
    <row r="180" spans="2:126" x14ac:dyDescent="0.15">
      <c r="B180" s="312"/>
      <c r="C180" s="535"/>
      <c r="D180" s="535"/>
      <c r="E180" s="535"/>
      <c r="F180" s="535"/>
      <c r="G180" s="535"/>
      <c r="H180" s="535"/>
      <c r="I180" s="535"/>
      <c r="J180" s="535"/>
      <c r="K180" s="535"/>
      <c r="L180" s="535"/>
      <c r="M180" s="535"/>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5"/>
      <c r="AL180" s="535"/>
      <c r="AM180" s="535"/>
      <c r="AN180" s="535"/>
      <c r="AO180" s="535"/>
      <c r="AP180" s="535"/>
      <c r="AQ180" s="535"/>
      <c r="AR180" s="535"/>
      <c r="AS180" s="535"/>
      <c r="AT180" s="535"/>
      <c r="AU180" s="535"/>
      <c r="AV180" s="535"/>
      <c r="AW180" s="535"/>
      <c r="AX180" s="535"/>
      <c r="AY180" s="535"/>
      <c r="AZ180" s="535"/>
      <c r="BA180" s="535"/>
      <c r="BB180" s="535"/>
      <c r="BC180" s="535"/>
      <c r="BD180" s="535"/>
      <c r="BE180" s="535"/>
      <c r="BF180" s="535"/>
      <c r="BG180" s="311"/>
      <c r="BI180" s="489" t="s">
        <v>114</v>
      </c>
      <c r="BJ180" s="493"/>
      <c r="BK180" s="1644" t="str">
        <f>+""</f>
        <v/>
      </c>
      <c r="BL180" s="1644"/>
      <c r="BM180" s="1644"/>
      <c r="BN180" s="1644"/>
      <c r="BO180" s="1644"/>
      <c r="BP180" s="1644"/>
      <c r="BQ180" s="1644"/>
      <c r="BR180" s="1644"/>
      <c r="BS180" s="1644"/>
      <c r="BT180" s="1644"/>
      <c r="BU180" s="1644"/>
      <c r="BV180" s="1644"/>
      <c r="BW180" s="252"/>
      <c r="BX180" s="1656" t="s">
        <v>705</v>
      </c>
      <c r="BY180" s="1656"/>
      <c r="BZ180" s="1656"/>
      <c r="CA180" s="1656"/>
      <c r="CB180" s="1656"/>
      <c r="CC180" s="1656"/>
      <c r="CD180" s="1656"/>
      <c r="CE180" s="1656"/>
      <c r="CF180" s="1656"/>
      <c r="CG180" s="1656"/>
      <c r="CH180" s="1656"/>
      <c r="CI180" s="1656"/>
      <c r="CJ180" s="252"/>
      <c r="CK180" s="1644" t="str">
        <f>+""</f>
        <v/>
      </c>
      <c r="CL180" s="1644"/>
      <c r="CM180" s="1644"/>
      <c r="CN180" s="1644"/>
      <c r="CO180" s="1644"/>
      <c r="CP180" s="1644"/>
      <c r="CQ180" s="1644"/>
      <c r="CR180" s="1644"/>
      <c r="CS180" s="1644"/>
      <c r="CT180" s="1644"/>
      <c r="CU180" s="1644"/>
      <c r="CV180" s="1644"/>
      <c r="CW180" s="252"/>
      <c r="CX180" s="1646" t="str">
        <f>+""</f>
        <v/>
      </c>
      <c r="CY180" s="1646"/>
      <c r="CZ180" s="1646"/>
      <c r="DA180" s="1646"/>
      <c r="DB180" s="1646"/>
      <c r="DC180" s="1646"/>
      <c r="DD180" s="1646"/>
      <c r="DE180" s="1646"/>
      <c r="DF180" s="1646"/>
      <c r="DG180" s="1646"/>
      <c r="DH180" s="1646"/>
      <c r="DI180" s="1646"/>
      <c r="DJ180" s="252"/>
      <c r="DK180" s="1646" t="str">
        <f>+""</f>
        <v/>
      </c>
      <c r="DL180" s="1646"/>
      <c r="DM180" s="1646"/>
      <c r="DN180" s="1646"/>
      <c r="DO180" s="1646"/>
      <c r="DP180" s="1646"/>
      <c r="DQ180" s="1646"/>
      <c r="DR180" s="1646"/>
      <c r="DS180" s="1646"/>
      <c r="DT180" s="1646"/>
      <c r="DU180" s="1646"/>
      <c r="DV180" s="1653"/>
    </row>
    <row r="181" spans="2:126" x14ac:dyDescent="0.15">
      <c r="B181" s="312"/>
      <c r="C181" s="535"/>
      <c r="D181" s="1617">
        <v>3</v>
      </c>
      <c r="E181" s="1618"/>
      <c r="F181" s="535"/>
      <c r="G181" s="1616"/>
      <c r="H181" s="1616"/>
      <c r="I181" s="1616"/>
      <c r="J181" s="1616"/>
      <c r="K181" s="1616"/>
      <c r="L181" s="1616"/>
      <c r="M181" s="1616"/>
      <c r="N181" s="1616"/>
      <c r="O181" s="1616"/>
      <c r="P181" s="1616"/>
      <c r="Q181" s="535"/>
      <c r="R181" s="1616"/>
      <c r="S181" s="1616"/>
      <c r="T181" s="1616"/>
      <c r="U181" s="1616"/>
      <c r="V181" s="1616"/>
      <c r="W181" s="1616"/>
      <c r="X181" s="1616"/>
      <c r="Y181" s="1616"/>
      <c r="Z181" s="1616"/>
      <c r="AA181" s="1616"/>
      <c r="AB181" s="535"/>
      <c r="AC181" s="1615" t="s">
        <v>163</v>
      </c>
      <c r="AD181" s="1615"/>
      <c r="AE181" s="1615"/>
      <c r="AF181" s="1615"/>
      <c r="AG181" s="1615"/>
      <c r="AH181" s="1615"/>
      <c r="AI181" s="1615"/>
      <c r="AJ181" s="1615"/>
      <c r="AK181" s="1615"/>
      <c r="AL181" s="1615"/>
      <c r="AM181" s="535"/>
      <c r="AN181" s="1619">
        <v>0</v>
      </c>
      <c r="AO181" s="1619"/>
      <c r="AP181" s="1619"/>
      <c r="AQ181" s="1619"/>
      <c r="AR181" s="1619"/>
      <c r="AS181" s="1620">
        <v>0</v>
      </c>
      <c r="AT181" s="1620"/>
      <c r="AU181" s="1620"/>
      <c r="AV181" s="1620"/>
      <c r="AW181" s="1620"/>
      <c r="AX181" s="535"/>
      <c r="AY181" s="1616"/>
      <c r="AZ181" s="1616"/>
      <c r="BA181" s="1616"/>
      <c r="BB181" s="1616"/>
      <c r="BC181" s="1616"/>
      <c r="BD181" s="1616"/>
      <c r="BE181" s="1616"/>
      <c r="BF181" s="1616"/>
      <c r="BG181" s="311"/>
      <c r="BI181" s="489" t="s">
        <v>228</v>
      </c>
      <c r="BJ181" s="493"/>
      <c r="BK181" s="1644" t="str">
        <f>+""</f>
        <v/>
      </c>
      <c r="BL181" s="1644"/>
      <c r="BM181" s="1644"/>
      <c r="BN181" s="1644"/>
      <c r="BO181" s="1644"/>
      <c r="BP181" s="1644"/>
      <c r="BQ181" s="1644"/>
      <c r="BR181" s="1644"/>
      <c r="BS181" s="1644"/>
      <c r="BT181" s="1644"/>
      <c r="BU181" s="1644"/>
      <c r="BV181" s="1644"/>
      <c r="BW181" s="252"/>
      <c r="BX181" s="1657" t="s">
        <v>706</v>
      </c>
      <c r="BY181" s="1657"/>
      <c r="BZ181" s="1657"/>
      <c r="CA181" s="1657"/>
      <c r="CB181" s="1657"/>
      <c r="CC181" s="1657"/>
      <c r="CD181" s="1657"/>
      <c r="CE181" s="1657"/>
      <c r="CF181" s="1657"/>
      <c r="CG181" s="1657"/>
      <c r="CH181" s="1657"/>
      <c r="CI181" s="1657"/>
      <c r="CJ181" s="252"/>
      <c r="CK181" s="1644" t="str">
        <f>+""</f>
        <v/>
      </c>
      <c r="CL181" s="1644"/>
      <c r="CM181" s="1644"/>
      <c r="CN181" s="1644"/>
      <c r="CO181" s="1644"/>
      <c r="CP181" s="1644"/>
      <c r="CQ181" s="1644"/>
      <c r="CR181" s="1644"/>
      <c r="CS181" s="1644"/>
      <c r="CT181" s="1644"/>
      <c r="CU181" s="1644"/>
      <c r="CV181" s="1644"/>
      <c r="CW181" s="252"/>
      <c r="CX181" s="1646" t="str">
        <f>+""</f>
        <v/>
      </c>
      <c r="CY181" s="1646"/>
      <c r="CZ181" s="1646"/>
      <c r="DA181" s="1646"/>
      <c r="DB181" s="1646"/>
      <c r="DC181" s="1646"/>
      <c r="DD181" s="1646"/>
      <c r="DE181" s="1646"/>
      <c r="DF181" s="1646"/>
      <c r="DG181" s="1646"/>
      <c r="DH181" s="1646"/>
      <c r="DI181" s="1646"/>
      <c r="DJ181" s="252"/>
      <c r="DK181" s="1646" t="str">
        <f>+""</f>
        <v/>
      </c>
      <c r="DL181" s="1646"/>
      <c r="DM181" s="1646"/>
      <c r="DN181" s="1646"/>
      <c r="DO181" s="1646"/>
      <c r="DP181" s="1646"/>
      <c r="DQ181" s="1646"/>
      <c r="DR181" s="1646"/>
      <c r="DS181" s="1646"/>
      <c r="DT181" s="1646"/>
      <c r="DU181" s="1646"/>
      <c r="DV181" s="1653"/>
    </row>
    <row r="182" spans="2:126" x14ac:dyDescent="0.15">
      <c r="B182" s="312"/>
      <c r="C182" s="514"/>
      <c r="D182" s="514"/>
      <c r="E182" s="514"/>
      <c r="F182" s="514"/>
      <c r="G182" s="514"/>
      <c r="H182" s="514"/>
      <c r="I182" s="514"/>
      <c r="J182" s="514"/>
      <c r="K182" s="514"/>
      <c r="L182" s="514"/>
      <c r="M182" s="514"/>
      <c r="N182" s="514"/>
      <c r="O182" s="514"/>
      <c r="P182" s="514"/>
      <c r="Q182" s="514"/>
      <c r="R182" s="514"/>
      <c r="S182" s="514"/>
      <c r="T182" s="514"/>
      <c r="U182" s="514"/>
      <c r="V182" s="514"/>
      <c r="W182" s="514"/>
      <c r="X182" s="514"/>
      <c r="Y182" s="514"/>
      <c r="Z182" s="514"/>
      <c r="AA182" s="514"/>
      <c r="AB182" s="514"/>
      <c r="AC182" s="514"/>
      <c r="AD182" s="514"/>
      <c r="AE182" s="514"/>
      <c r="AF182" s="514"/>
      <c r="AG182" s="514"/>
      <c r="AH182" s="514"/>
      <c r="AI182" s="514"/>
      <c r="AJ182" s="514"/>
      <c r="AK182" s="514"/>
      <c r="AL182" s="514"/>
      <c r="AM182" s="514"/>
      <c r="AN182" s="514"/>
      <c r="AO182" s="514"/>
      <c r="AP182" s="514"/>
      <c r="AQ182" s="514"/>
      <c r="AR182" s="514"/>
      <c r="AS182" s="514"/>
      <c r="AT182" s="514"/>
      <c r="AU182" s="514"/>
      <c r="AV182" s="514"/>
      <c r="AW182" s="514"/>
      <c r="AX182" s="514"/>
      <c r="AY182" s="514"/>
      <c r="AZ182" s="514"/>
      <c r="BA182" s="514"/>
      <c r="BB182" s="514"/>
      <c r="BC182" s="514"/>
      <c r="BD182" s="514"/>
      <c r="BE182" s="514"/>
      <c r="BF182" s="514"/>
      <c r="BG182" s="311"/>
      <c r="BI182" s="489" t="s">
        <v>1095</v>
      </c>
      <c r="BJ182" s="493"/>
      <c r="BK182" s="1644" t="str">
        <f>+""</f>
        <v/>
      </c>
      <c r="BL182" s="1644"/>
      <c r="BM182" s="1644"/>
      <c r="BN182" s="1644"/>
      <c r="BO182" s="1644"/>
      <c r="BP182" s="1644"/>
      <c r="BQ182" s="1644"/>
      <c r="BR182" s="1644"/>
      <c r="BS182" s="1644"/>
      <c r="BT182" s="1644"/>
      <c r="BU182" s="1644"/>
      <c r="BV182" s="1644"/>
      <c r="BW182" s="252"/>
      <c r="BX182" s="1657" t="s">
        <v>707</v>
      </c>
      <c r="BY182" s="1657"/>
      <c r="BZ182" s="1657"/>
      <c r="CA182" s="1657"/>
      <c r="CB182" s="1657"/>
      <c r="CC182" s="1657"/>
      <c r="CD182" s="1657"/>
      <c r="CE182" s="1657"/>
      <c r="CF182" s="1657"/>
      <c r="CG182" s="1657"/>
      <c r="CH182" s="1657"/>
      <c r="CI182" s="1657"/>
      <c r="CJ182" s="252"/>
      <c r="CK182" s="1644" t="str">
        <f>+""</f>
        <v/>
      </c>
      <c r="CL182" s="1644"/>
      <c r="CM182" s="1644"/>
      <c r="CN182" s="1644"/>
      <c r="CO182" s="1644"/>
      <c r="CP182" s="1644"/>
      <c r="CQ182" s="1644"/>
      <c r="CR182" s="1644"/>
      <c r="CS182" s="1644"/>
      <c r="CT182" s="1644"/>
      <c r="CU182" s="1644"/>
      <c r="CV182" s="1644"/>
      <c r="CW182" s="252"/>
      <c r="CX182" s="1646" t="str">
        <f>+""</f>
        <v/>
      </c>
      <c r="CY182" s="1646"/>
      <c r="CZ182" s="1646"/>
      <c r="DA182" s="1646"/>
      <c r="DB182" s="1646"/>
      <c r="DC182" s="1646"/>
      <c r="DD182" s="1646"/>
      <c r="DE182" s="1646"/>
      <c r="DF182" s="1646"/>
      <c r="DG182" s="1646"/>
      <c r="DH182" s="1646"/>
      <c r="DI182" s="1646"/>
      <c r="DJ182" s="252"/>
      <c r="DK182" s="1646" t="str">
        <f>+""</f>
        <v/>
      </c>
      <c r="DL182" s="1646"/>
      <c r="DM182" s="1646"/>
      <c r="DN182" s="1646"/>
      <c r="DO182" s="1646"/>
      <c r="DP182" s="1646"/>
      <c r="DQ182" s="1646"/>
      <c r="DR182" s="1646"/>
      <c r="DS182" s="1646"/>
      <c r="DT182" s="1646"/>
      <c r="DU182" s="1646"/>
      <c r="DV182" s="1653"/>
    </row>
    <row r="183" spans="2:126" x14ac:dyDescent="0.15">
      <c r="B183" s="312"/>
      <c r="C183" s="1623" t="s">
        <v>775</v>
      </c>
      <c r="D183" s="1623"/>
      <c r="E183" s="1623"/>
      <c r="F183" s="1623"/>
      <c r="G183" s="1623"/>
      <c r="H183" s="1623"/>
      <c r="I183" s="1623"/>
      <c r="J183" s="1623"/>
      <c r="K183" s="1623"/>
      <c r="L183" s="1623"/>
      <c r="M183" s="1623"/>
      <c r="N183" s="1623"/>
      <c r="O183" s="1623"/>
      <c r="P183" s="1623"/>
      <c r="Q183" s="1623"/>
      <c r="R183" s="1623"/>
      <c r="S183" s="1623"/>
      <c r="T183" s="1623"/>
      <c r="U183" s="1623"/>
      <c r="V183" s="1623"/>
      <c r="W183" s="1623"/>
      <c r="X183" s="1623"/>
      <c r="Y183" s="1623"/>
      <c r="Z183" s="1623"/>
      <c r="AA183" s="1623"/>
      <c r="AB183" s="1623"/>
      <c r="AC183" s="1623"/>
      <c r="AD183" s="1623"/>
      <c r="AE183" s="1623"/>
      <c r="AF183" s="1623"/>
      <c r="AG183" s="1623"/>
      <c r="AH183" s="1623"/>
      <c r="AI183" s="1623"/>
      <c r="AJ183" s="1623"/>
      <c r="AK183" s="1623"/>
      <c r="AL183" s="1623"/>
      <c r="AM183" s="1623"/>
      <c r="AN183" s="1623"/>
      <c r="AO183" s="1623"/>
      <c r="AP183" s="1623"/>
      <c r="AQ183" s="1623"/>
      <c r="AR183" s="1623"/>
      <c r="AS183" s="1623"/>
      <c r="AT183" s="1623"/>
      <c r="AU183" s="1623"/>
      <c r="AV183" s="1623"/>
      <c r="AW183" s="1623"/>
      <c r="AX183" s="1623"/>
      <c r="AY183" s="1623"/>
      <c r="AZ183" s="1623"/>
      <c r="BA183" s="1623"/>
      <c r="BB183" s="1623"/>
      <c r="BC183" s="1623"/>
      <c r="BD183" s="1623"/>
      <c r="BE183" s="1623"/>
      <c r="BF183" s="1623"/>
      <c r="BG183" s="311"/>
      <c r="BI183" s="489" t="s">
        <v>1096</v>
      </c>
      <c r="BJ183" s="493"/>
      <c r="BK183" s="1644" t="str">
        <f>+""</f>
        <v/>
      </c>
      <c r="BL183" s="1644"/>
      <c r="BM183" s="1644"/>
      <c r="BN183" s="1644"/>
      <c r="BO183" s="1644"/>
      <c r="BP183" s="1644"/>
      <c r="BQ183" s="1644"/>
      <c r="BR183" s="1644"/>
      <c r="BS183" s="1644"/>
      <c r="BT183" s="1644"/>
      <c r="BU183" s="1644"/>
      <c r="BV183" s="1644"/>
      <c r="BW183" s="252"/>
      <c r="BX183" s="1654" t="s">
        <v>708</v>
      </c>
      <c r="BY183" s="1654"/>
      <c r="BZ183" s="1654"/>
      <c r="CA183" s="1654"/>
      <c r="CB183" s="1654"/>
      <c r="CC183" s="1654"/>
      <c r="CD183" s="1654"/>
      <c r="CE183" s="1654"/>
      <c r="CF183" s="1654"/>
      <c r="CG183" s="1654"/>
      <c r="CH183" s="1654"/>
      <c r="CI183" s="1654"/>
      <c r="CJ183" s="252"/>
      <c r="CK183" s="1644" t="str">
        <f>+""</f>
        <v/>
      </c>
      <c r="CL183" s="1644"/>
      <c r="CM183" s="1644"/>
      <c r="CN183" s="1644"/>
      <c r="CO183" s="1644"/>
      <c r="CP183" s="1644"/>
      <c r="CQ183" s="1644"/>
      <c r="CR183" s="1644"/>
      <c r="CS183" s="1644"/>
      <c r="CT183" s="1644"/>
      <c r="CU183" s="1644"/>
      <c r="CV183" s="1644"/>
      <c r="CW183" s="252"/>
      <c r="CX183" s="1646" t="str">
        <f>+""</f>
        <v/>
      </c>
      <c r="CY183" s="1646"/>
      <c r="CZ183" s="1646"/>
      <c r="DA183" s="1646"/>
      <c r="DB183" s="1646"/>
      <c r="DC183" s="1646"/>
      <c r="DD183" s="1646"/>
      <c r="DE183" s="1646"/>
      <c r="DF183" s="1646"/>
      <c r="DG183" s="1646"/>
      <c r="DH183" s="1646"/>
      <c r="DI183" s="1646"/>
      <c r="DJ183" s="252"/>
      <c r="DK183" s="1646" t="str">
        <f>+""</f>
        <v/>
      </c>
      <c r="DL183" s="1646"/>
      <c r="DM183" s="1646"/>
      <c r="DN183" s="1646"/>
      <c r="DO183" s="1646"/>
      <c r="DP183" s="1646"/>
      <c r="DQ183" s="1646"/>
      <c r="DR183" s="1646"/>
      <c r="DS183" s="1646"/>
      <c r="DT183" s="1646"/>
      <c r="DU183" s="1646"/>
      <c r="DV183" s="1653"/>
    </row>
    <row r="184" spans="2:126" ht="30" customHeight="1" x14ac:dyDescent="0.15">
      <c r="B184" s="312"/>
      <c r="C184" s="1623" t="s">
        <v>776</v>
      </c>
      <c r="D184" s="1623"/>
      <c r="E184" s="1623"/>
      <c r="F184" s="1623"/>
      <c r="G184" s="1623"/>
      <c r="H184" s="1623"/>
      <c r="I184" s="1623"/>
      <c r="J184" s="1623"/>
      <c r="K184" s="1623"/>
      <c r="L184" s="1623"/>
      <c r="M184" s="1623"/>
      <c r="N184" s="1623"/>
      <c r="O184" s="1623"/>
      <c r="P184" s="1623"/>
      <c r="Q184" s="1623"/>
      <c r="R184" s="1623"/>
      <c r="S184" s="1623"/>
      <c r="T184" s="1623"/>
      <c r="U184" s="1623"/>
      <c r="V184" s="1623"/>
      <c r="W184" s="1623"/>
      <c r="X184" s="1623"/>
      <c r="Y184" s="1623"/>
      <c r="Z184" s="1623"/>
      <c r="AA184" s="1623"/>
      <c r="AB184" s="1623"/>
      <c r="AC184" s="1623"/>
      <c r="AD184" s="1623"/>
      <c r="AE184" s="1623"/>
      <c r="AF184" s="1623"/>
      <c r="AG184" s="1623"/>
      <c r="AH184" s="1623"/>
      <c r="AI184" s="1623"/>
      <c r="AJ184" s="1623"/>
      <c r="AK184" s="1623"/>
      <c r="AL184" s="1623"/>
      <c r="AM184" s="1623"/>
      <c r="AN184" s="1623"/>
      <c r="AO184" s="1623"/>
      <c r="AP184" s="1623"/>
      <c r="AQ184" s="1623"/>
      <c r="AR184" s="1623"/>
      <c r="AS184" s="1623"/>
      <c r="AT184" s="1623"/>
      <c r="AU184" s="1623"/>
      <c r="AV184" s="1623"/>
      <c r="AW184" s="1623"/>
      <c r="AX184" s="1623"/>
      <c r="AY184" s="1623"/>
      <c r="AZ184" s="1623"/>
      <c r="BA184" s="1623"/>
      <c r="BB184" s="1623"/>
      <c r="BC184" s="1623"/>
      <c r="BD184" s="1623"/>
      <c r="BE184" s="1623"/>
      <c r="BF184" s="1623"/>
      <c r="BG184" s="311"/>
      <c r="BI184" s="487"/>
      <c r="BJ184" s="252"/>
      <c r="BK184" s="1644" t="str">
        <f>+""</f>
        <v/>
      </c>
      <c r="BL184" s="1644"/>
      <c r="BM184" s="1644"/>
      <c r="BN184" s="1644"/>
      <c r="BO184" s="1644"/>
      <c r="BP184" s="1644"/>
      <c r="BQ184" s="1644"/>
      <c r="BR184" s="1644"/>
      <c r="BS184" s="1644"/>
      <c r="BT184" s="1644"/>
      <c r="BU184" s="1644"/>
      <c r="BV184" s="1644"/>
      <c r="BW184" s="252"/>
      <c r="BX184" s="1644" t="s">
        <v>709</v>
      </c>
      <c r="BY184" s="1644"/>
      <c r="BZ184" s="1644"/>
      <c r="CA184" s="1644"/>
      <c r="CB184" s="1644"/>
      <c r="CC184" s="1644"/>
      <c r="CD184" s="1644"/>
      <c r="CE184" s="1644"/>
      <c r="CF184" s="1644"/>
      <c r="CG184" s="1644"/>
      <c r="CH184" s="1644"/>
      <c r="CI184" s="1644"/>
      <c r="CJ184" s="252"/>
      <c r="CK184" s="1644" t="str">
        <f>+""</f>
        <v/>
      </c>
      <c r="CL184" s="1644"/>
      <c r="CM184" s="1644"/>
      <c r="CN184" s="1644"/>
      <c r="CO184" s="1644"/>
      <c r="CP184" s="1644"/>
      <c r="CQ184" s="1644"/>
      <c r="CR184" s="1644"/>
      <c r="CS184" s="1644"/>
      <c r="CT184" s="1644"/>
      <c r="CU184" s="1644"/>
      <c r="CV184" s="1644"/>
      <c r="CW184" s="252"/>
      <c r="CX184" s="1646" t="str">
        <f>+""</f>
        <v/>
      </c>
      <c r="CY184" s="1646"/>
      <c r="CZ184" s="1646"/>
      <c r="DA184" s="1646"/>
      <c r="DB184" s="1646"/>
      <c r="DC184" s="1646"/>
      <c r="DD184" s="1646"/>
      <c r="DE184" s="1646"/>
      <c r="DF184" s="1646"/>
      <c r="DG184" s="1646"/>
      <c r="DH184" s="1646"/>
      <c r="DI184" s="1646"/>
      <c r="DJ184" s="252"/>
      <c r="DK184" s="1646" t="str">
        <f>+""</f>
        <v/>
      </c>
      <c r="DL184" s="1646"/>
      <c r="DM184" s="1646"/>
      <c r="DN184" s="1646"/>
      <c r="DO184" s="1646"/>
      <c r="DP184" s="1646"/>
      <c r="DQ184" s="1646"/>
      <c r="DR184" s="1646"/>
      <c r="DS184" s="1646"/>
      <c r="DT184" s="1646"/>
      <c r="DU184" s="1646"/>
      <c r="DV184" s="1653"/>
    </row>
    <row r="185" spans="2:126" x14ac:dyDescent="0.15">
      <c r="B185" s="315"/>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320"/>
      <c r="AE185" s="320"/>
      <c r="AF185" s="320"/>
      <c r="AG185" s="320"/>
      <c r="AH185" s="320"/>
      <c r="AI185" s="320"/>
      <c r="AJ185" s="320"/>
      <c r="AK185" s="320"/>
      <c r="AL185" s="320"/>
      <c r="AM185" s="320"/>
      <c r="AN185" s="320"/>
      <c r="AO185" s="320"/>
      <c r="AP185" s="320"/>
      <c r="AQ185" s="320"/>
      <c r="AR185" s="320"/>
      <c r="AS185" s="320"/>
      <c r="AT185" s="320"/>
      <c r="AU185" s="320"/>
      <c r="AV185" s="320"/>
      <c r="AW185" s="320"/>
      <c r="AX185" s="320"/>
      <c r="AY185" s="320"/>
      <c r="AZ185" s="320"/>
      <c r="BA185" s="320"/>
      <c r="BB185" s="320"/>
      <c r="BC185" s="320"/>
      <c r="BD185" s="320"/>
      <c r="BE185" s="320"/>
      <c r="BF185" s="320"/>
      <c r="BG185" s="321"/>
      <c r="BI185" s="487"/>
      <c r="BJ185" s="252"/>
      <c r="BK185" s="1644" t="str">
        <f>+""</f>
        <v/>
      </c>
      <c r="BL185" s="1644"/>
      <c r="BM185" s="1644"/>
      <c r="BN185" s="1644"/>
      <c r="BO185" s="1644"/>
      <c r="BP185" s="1644"/>
      <c r="BQ185" s="1644"/>
      <c r="BR185" s="1644"/>
      <c r="BS185" s="1644"/>
      <c r="BT185" s="1644"/>
      <c r="BU185" s="1644"/>
      <c r="BV185" s="1644"/>
      <c r="BW185" s="252"/>
      <c r="BX185" s="1655" t="s">
        <v>710</v>
      </c>
      <c r="BY185" s="1644"/>
      <c r="BZ185" s="1644"/>
      <c r="CA185" s="1644"/>
      <c r="CB185" s="1644"/>
      <c r="CC185" s="1644"/>
      <c r="CD185" s="1644"/>
      <c r="CE185" s="1644"/>
      <c r="CF185" s="1644"/>
      <c r="CG185" s="1644"/>
      <c r="CH185" s="1644"/>
      <c r="CI185" s="1644"/>
      <c r="CJ185" s="252"/>
      <c r="CK185" s="1644" t="str">
        <f>+""</f>
        <v/>
      </c>
      <c r="CL185" s="1644"/>
      <c r="CM185" s="1644"/>
      <c r="CN185" s="1644"/>
      <c r="CO185" s="1644"/>
      <c r="CP185" s="1644"/>
      <c r="CQ185" s="1644"/>
      <c r="CR185" s="1644"/>
      <c r="CS185" s="1644"/>
      <c r="CT185" s="1644"/>
      <c r="CU185" s="1644"/>
      <c r="CV185" s="1644"/>
      <c r="CW185" s="252"/>
      <c r="CX185" s="1646" t="str">
        <f>+""</f>
        <v/>
      </c>
      <c r="CY185" s="1646"/>
      <c r="CZ185" s="1646"/>
      <c r="DA185" s="1646"/>
      <c r="DB185" s="1646"/>
      <c r="DC185" s="1646"/>
      <c r="DD185" s="1646"/>
      <c r="DE185" s="1646"/>
      <c r="DF185" s="1646"/>
      <c r="DG185" s="1646"/>
      <c r="DH185" s="1646"/>
      <c r="DI185" s="1646"/>
      <c r="DJ185" s="252"/>
      <c r="DK185" s="1646" t="str">
        <f>+""</f>
        <v/>
      </c>
      <c r="DL185" s="1646"/>
      <c r="DM185" s="1646"/>
      <c r="DN185" s="1646"/>
      <c r="DO185" s="1646"/>
      <c r="DP185" s="1646"/>
      <c r="DQ185" s="1646"/>
      <c r="DR185" s="1646"/>
      <c r="DS185" s="1646"/>
      <c r="DT185" s="1646"/>
      <c r="DU185" s="1646"/>
      <c r="DV185" s="1653"/>
    </row>
    <row r="186" spans="2:126" x14ac:dyDescent="0.15">
      <c r="B186" s="1635" t="s">
        <v>846</v>
      </c>
      <c r="C186" s="1636"/>
      <c r="D186" s="1636"/>
      <c r="E186" s="1636"/>
      <c r="F186" s="1636"/>
      <c r="G186" s="1636"/>
      <c r="H186" s="1636"/>
      <c r="I186" s="1636"/>
      <c r="J186" s="1636"/>
      <c r="K186" s="1636"/>
      <c r="L186" s="1636"/>
      <c r="M186" s="1636"/>
      <c r="N186" s="1636"/>
      <c r="O186" s="1636"/>
      <c r="P186" s="1636"/>
      <c r="Q186" s="1636"/>
      <c r="R186" s="1636"/>
      <c r="S186" s="1636"/>
      <c r="T186" s="1636"/>
      <c r="U186" s="1636"/>
      <c r="V186" s="1636"/>
      <c r="W186" s="1636"/>
      <c r="X186" s="1636"/>
      <c r="Y186" s="1636"/>
      <c r="Z186" s="1636"/>
      <c r="AA186" s="1636"/>
      <c r="AB186" s="1636"/>
      <c r="AC186" s="1636"/>
      <c r="AD186" s="1636"/>
      <c r="AE186" s="1636"/>
      <c r="AF186" s="1636"/>
      <c r="AG186" s="1636"/>
      <c r="AH186" s="1636"/>
      <c r="AI186" s="1636"/>
      <c r="AJ186" s="1636"/>
      <c r="AK186" s="1636"/>
      <c r="AL186" s="1636"/>
      <c r="AM186" s="1636"/>
      <c r="AN186" s="1636"/>
      <c r="AO186" s="1636"/>
      <c r="AP186" s="1636"/>
      <c r="AQ186" s="1636"/>
      <c r="AR186" s="1636"/>
      <c r="AS186" s="1636"/>
      <c r="AT186" s="1636"/>
      <c r="AU186" s="1636"/>
      <c r="AV186" s="1636"/>
      <c r="AW186" s="1636"/>
      <c r="AX186" s="1636"/>
      <c r="AY186" s="1636"/>
      <c r="AZ186" s="1636"/>
      <c r="BA186" s="1636"/>
      <c r="BB186" s="1636"/>
      <c r="BC186" s="1636"/>
      <c r="BD186" s="1636"/>
      <c r="BE186" s="1636"/>
      <c r="BF186" s="1636"/>
      <c r="BG186" s="1637"/>
      <c r="BI186" s="487"/>
      <c r="BJ186" s="252"/>
      <c r="BK186" s="1644" t="str">
        <f>+""</f>
        <v/>
      </c>
      <c r="BL186" s="1644"/>
      <c r="BM186" s="1644"/>
      <c r="BN186" s="1644"/>
      <c r="BO186" s="1644"/>
      <c r="BP186" s="1644"/>
      <c r="BQ186" s="1644"/>
      <c r="BR186" s="1644"/>
      <c r="BS186" s="1644"/>
      <c r="BT186" s="1644"/>
      <c r="BU186" s="1644"/>
      <c r="BV186" s="1644"/>
      <c r="BW186" s="252"/>
      <c r="BX186" s="1655" t="s">
        <v>711</v>
      </c>
      <c r="BY186" s="1644"/>
      <c r="BZ186" s="1644"/>
      <c r="CA186" s="1644"/>
      <c r="CB186" s="1644"/>
      <c r="CC186" s="1644"/>
      <c r="CD186" s="1644"/>
      <c r="CE186" s="1644"/>
      <c r="CF186" s="1644"/>
      <c r="CG186" s="1644"/>
      <c r="CH186" s="1644"/>
      <c r="CI186" s="1644"/>
      <c r="CJ186" s="252"/>
      <c r="CK186" s="1644" t="str">
        <f>+""</f>
        <v/>
      </c>
      <c r="CL186" s="1644"/>
      <c r="CM186" s="1644"/>
      <c r="CN186" s="1644"/>
      <c r="CO186" s="1644"/>
      <c r="CP186" s="1644"/>
      <c r="CQ186" s="1644"/>
      <c r="CR186" s="1644"/>
      <c r="CS186" s="1644"/>
      <c r="CT186" s="1644"/>
      <c r="CU186" s="1644"/>
      <c r="CV186" s="1644"/>
      <c r="CW186" s="252"/>
      <c r="CX186" s="1646" t="str">
        <f>+""</f>
        <v/>
      </c>
      <c r="CY186" s="1646"/>
      <c r="CZ186" s="1646"/>
      <c r="DA186" s="1646"/>
      <c r="DB186" s="1646"/>
      <c r="DC186" s="1646"/>
      <c r="DD186" s="1646"/>
      <c r="DE186" s="1646"/>
      <c r="DF186" s="1646"/>
      <c r="DG186" s="1646"/>
      <c r="DH186" s="1646"/>
      <c r="DI186" s="1646"/>
      <c r="DJ186" s="252"/>
      <c r="DK186" s="1646" t="str">
        <f>+""</f>
        <v/>
      </c>
      <c r="DL186" s="1646"/>
      <c r="DM186" s="1646"/>
      <c r="DN186" s="1646"/>
      <c r="DO186" s="1646"/>
      <c r="DP186" s="1646"/>
      <c r="DQ186" s="1646"/>
      <c r="DR186" s="1646"/>
      <c r="DS186" s="1646"/>
      <c r="DT186" s="1646"/>
      <c r="DU186" s="1646"/>
      <c r="DV186" s="1653"/>
    </row>
    <row r="187" spans="2:126" x14ac:dyDescent="0.15">
      <c r="B187" s="317"/>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c r="AJ187" s="308"/>
      <c r="AK187" s="308"/>
      <c r="AL187" s="308"/>
      <c r="AM187" s="308"/>
      <c r="AN187" s="308"/>
      <c r="AO187" s="308"/>
      <c r="AP187" s="308"/>
      <c r="AQ187" s="308"/>
      <c r="AR187" s="308"/>
      <c r="AS187" s="308"/>
      <c r="AT187" s="308"/>
      <c r="AU187" s="308"/>
      <c r="AV187" s="308"/>
      <c r="AW187" s="308"/>
      <c r="AX187" s="308"/>
      <c r="AY187" s="308"/>
      <c r="AZ187" s="308"/>
      <c r="BA187" s="308"/>
      <c r="BB187" s="308"/>
      <c r="BC187" s="308"/>
      <c r="BD187" s="308"/>
      <c r="BE187" s="308"/>
      <c r="BF187" s="308"/>
      <c r="BG187" s="309"/>
      <c r="BI187" s="487"/>
      <c r="BJ187" s="252"/>
      <c r="BK187" s="1644" t="str">
        <f>+""</f>
        <v/>
      </c>
      <c r="BL187" s="1644"/>
      <c r="BM187" s="1644"/>
      <c r="BN187" s="1644"/>
      <c r="BO187" s="1644"/>
      <c r="BP187" s="1644"/>
      <c r="BQ187" s="1644"/>
      <c r="BR187" s="1644"/>
      <c r="BS187" s="1644"/>
      <c r="BT187" s="1644"/>
      <c r="BU187" s="1644"/>
      <c r="BV187" s="1644"/>
      <c r="BW187" s="252"/>
      <c r="BX187" s="1662" t="s">
        <v>712</v>
      </c>
      <c r="BY187" s="1654"/>
      <c r="BZ187" s="1654"/>
      <c r="CA187" s="1654"/>
      <c r="CB187" s="1654"/>
      <c r="CC187" s="1654"/>
      <c r="CD187" s="1654"/>
      <c r="CE187" s="1654"/>
      <c r="CF187" s="1654"/>
      <c r="CG187" s="1654"/>
      <c r="CH187" s="1654"/>
      <c r="CI187" s="1654"/>
      <c r="CJ187" s="252"/>
      <c r="CK187" s="1644" t="str">
        <f>+""</f>
        <v/>
      </c>
      <c r="CL187" s="1644"/>
      <c r="CM187" s="1644"/>
      <c r="CN187" s="1644"/>
      <c r="CO187" s="1644"/>
      <c r="CP187" s="1644"/>
      <c r="CQ187" s="1644"/>
      <c r="CR187" s="1644"/>
      <c r="CS187" s="1644"/>
      <c r="CT187" s="1644"/>
      <c r="CU187" s="1644"/>
      <c r="CV187" s="1644"/>
      <c r="CW187" s="252"/>
      <c r="CX187" s="1646" t="str">
        <f>+""</f>
        <v/>
      </c>
      <c r="CY187" s="1646"/>
      <c r="CZ187" s="1646"/>
      <c r="DA187" s="1646"/>
      <c r="DB187" s="1646"/>
      <c r="DC187" s="1646"/>
      <c r="DD187" s="1646"/>
      <c r="DE187" s="1646"/>
      <c r="DF187" s="1646"/>
      <c r="DG187" s="1646"/>
      <c r="DH187" s="1646"/>
      <c r="DI187" s="1646"/>
      <c r="DJ187" s="252"/>
      <c r="DK187" s="1646" t="str">
        <f>+""</f>
        <v/>
      </c>
      <c r="DL187" s="1646"/>
      <c r="DM187" s="1646"/>
      <c r="DN187" s="1646"/>
      <c r="DO187" s="1646"/>
      <c r="DP187" s="1646"/>
      <c r="DQ187" s="1646"/>
      <c r="DR187" s="1646"/>
      <c r="DS187" s="1646"/>
      <c r="DT187" s="1646"/>
      <c r="DU187" s="1646"/>
      <c r="DV187" s="1653"/>
    </row>
    <row r="188" spans="2:126" x14ac:dyDescent="0.15">
      <c r="B188" s="312"/>
      <c r="C188" s="1632" t="s">
        <v>783</v>
      </c>
      <c r="D188" s="1633"/>
      <c r="E188" s="1633"/>
      <c r="F188" s="1633"/>
      <c r="G188" s="1633"/>
      <c r="H188" s="1633"/>
      <c r="I188" s="1633"/>
      <c r="J188" s="1633"/>
      <c r="K188" s="1633"/>
      <c r="L188" s="1633"/>
      <c r="M188" s="1633"/>
      <c r="N188" s="1633"/>
      <c r="O188" s="1633"/>
      <c r="P188" s="1633"/>
      <c r="Q188" s="1633"/>
      <c r="R188" s="1633"/>
      <c r="S188" s="1633"/>
      <c r="T188" s="1633"/>
      <c r="U188" s="1633"/>
      <c r="V188" s="1633"/>
      <c r="W188" s="1633"/>
      <c r="X188" s="1633"/>
      <c r="Y188" s="1633"/>
      <c r="Z188" s="1633"/>
      <c r="AA188" s="1633"/>
      <c r="AB188" s="1633"/>
      <c r="AC188" s="1633"/>
      <c r="AD188" s="1633"/>
      <c r="AE188" s="1633"/>
      <c r="AF188" s="1633"/>
      <c r="AG188" s="1633"/>
      <c r="AH188" s="1633"/>
      <c r="AI188" s="1633"/>
      <c r="AJ188" s="1633"/>
      <c r="AK188" s="1633"/>
      <c r="AL188" s="1633"/>
      <c r="AM188" s="1633"/>
      <c r="AN188" s="1633"/>
      <c r="AO188" s="1633"/>
      <c r="AP188" s="1633"/>
      <c r="AQ188" s="1633"/>
      <c r="AR188" s="1633"/>
      <c r="AS188" s="1633"/>
      <c r="AT188" s="1633"/>
      <c r="AU188" s="1633"/>
      <c r="AV188" s="1633"/>
      <c r="AW188" s="1633"/>
      <c r="AX188" s="1633"/>
      <c r="AY188" s="1633"/>
      <c r="AZ188" s="1633"/>
      <c r="BA188" s="1633"/>
      <c r="BB188" s="1633"/>
      <c r="BC188" s="1633"/>
      <c r="BD188" s="1633"/>
      <c r="BE188" s="1633"/>
      <c r="BF188" s="1633"/>
      <c r="BG188" s="311"/>
      <c r="BI188" s="487"/>
      <c r="BJ188" s="252"/>
      <c r="BK188" s="1644" t="str">
        <f>+""</f>
        <v/>
      </c>
      <c r="BL188" s="1644"/>
      <c r="BM188" s="1644"/>
      <c r="BN188" s="1644"/>
      <c r="BO188" s="1644"/>
      <c r="BP188" s="1644"/>
      <c r="BQ188" s="1644"/>
      <c r="BR188" s="1644"/>
      <c r="BS188" s="1644"/>
      <c r="BT188" s="1644"/>
      <c r="BU188" s="1644"/>
      <c r="BV188" s="1644"/>
      <c r="BW188" s="252"/>
      <c r="BX188" s="1644" t="s">
        <v>713</v>
      </c>
      <c r="BY188" s="1644"/>
      <c r="BZ188" s="1644"/>
      <c r="CA188" s="1644"/>
      <c r="CB188" s="1644"/>
      <c r="CC188" s="1644"/>
      <c r="CD188" s="1644"/>
      <c r="CE188" s="1644"/>
      <c r="CF188" s="1644"/>
      <c r="CG188" s="1644"/>
      <c r="CH188" s="1644"/>
      <c r="CI188" s="1644"/>
      <c r="CJ188" s="252"/>
      <c r="CK188" s="1644" t="str">
        <f>+""</f>
        <v/>
      </c>
      <c r="CL188" s="1644"/>
      <c r="CM188" s="1644"/>
      <c r="CN188" s="1644"/>
      <c r="CO188" s="1644"/>
      <c r="CP188" s="1644"/>
      <c r="CQ188" s="1644"/>
      <c r="CR188" s="1644"/>
      <c r="CS188" s="1644"/>
      <c r="CT188" s="1644"/>
      <c r="CU188" s="1644"/>
      <c r="CV188" s="1644"/>
      <c r="CW188" s="252"/>
      <c r="CX188" s="1646" t="str">
        <f>+""</f>
        <v/>
      </c>
      <c r="CY188" s="1646"/>
      <c r="CZ188" s="1646"/>
      <c r="DA188" s="1646"/>
      <c r="DB188" s="1646"/>
      <c r="DC188" s="1646"/>
      <c r="DD188" s="1646"/>
      <c r="DE188" s="1646"/>
      <c r="DF188" s="1646"/>
      <c r="DG188" s="1646"/>
      <c r="DH188" s="1646"/>
      <c r="DI188" s="1646"/>
      <c r="DJ188" s="252"/>
      <c r="DK188" s="1646" t="str">
        <f>+""</f>
        <v/>
      </c>
      <c r="DL188" s="1646"/>
      <c r="DM188" s="1646"/>
      <c r="DN188" s="1646"/>
      <c r="DO188" s="1646"/>
      <c r="DP188" s="1646"/>
      <c r="DQ188" s="1646"/>
      <c r="DR188" s="1646"/>
      <c r="DS188" s="1646"/>
      <c r="DT188" s="1646"/>
      <c r="DU188" s="1646"/>
      <c r="DV188" s="1653"/>
    </row>
    <row r="189" spans="2:126" ht="14.25" customHeight="1" x14ac:dyDescent="0.15">
      <c r="B189" s="312"/>
      <c r="C189" s="1630" t="s">
        <v>784</v>
      </c>
      <c r="D189" s="1630"/>
      <c r="E189" s="1630"/>
      <c r="F189" s="1630"/>
      <c r="G189" s="1630"/>
      <c r="H189" s="1630"/>
      <c r="I189" s="1630"/>
      <c r="J189" s="1630"/>
      <c r="K189" s="1630"/>
      <c r="L189" s="1630"/>
      <c r="M189" s="1630"/>
      <c r="N189" s="1630"/>
      <c r="O189" s="1630"/>
      <c r="P189" s="1630"/>
      <c r="Q189" s="1630"/>
      <c r="R189" s="1630"/>
      <c r="S189" s="1630"/>
      <c r="T189" s="1630"/>
      <c r="U189" s="1630"/>
      <c r="V189" s="1630"/>
      <c r="W189" s="1630"/>
      <c r="X189" s="1630"/>
      <c r="Y189" s="1630"/>
      <c r="Z189" s="1630"/>
      <c r="AA189" s="1630"/>
      <c r="AB189" s="1630"/>
      <c r="AC189" s="1630"/>
      <c r="AD189" s="1630"/>
      <c r="AE189" s="1630"/>
      <c r="AF189" s="1630"/>
      <c r="AG189" s="1630"/>
      <c r="AH189" s="1630"/>
      <c r="AI189" s="1630"/>
      <c r="AJ189" s="1630"/>
      <c r="AK189" s="1630"/>
      <c r="AL189" s="1630"/>
      <c r="AM189" s="1630"/>
      <c r="AN189" s="1630"/>
      <c r="AO189" s="1630"/>
      <c r="AP189" s="1630"/>
      <c r="AQ189" s="1630"/>
      <c r="AR189" s="1630"/>
      <c r="AS189" s="1630"/>
      <c r="AT189" s="1630"/>
      <c r="AU189" s="1630"/>
      <c r="AV189" s="1630"/>
      <c r="AW189" s="1630"/>
      <c r="AX189" s="1630"/>
      <c r="AY189" s="1630"/>
      <c r="AZ189" s="1630"/>
      <c r="BA189" s="1630"/>
      <c r="BB189" s="1630"/>
      <c r="BC189" s="1630"/>
      <c r="BD189" s="1630"/>
      <c r="BE189" s="1630"/>
      <c r="BF189" s="1630"/>
      <c r="BG189" s="311"/>
      <c r="BI189" s="487"/>
      <c r="BJ189" s="252"/>
      <c r="BK189" s="1644" t="str">
        <f>+""</f>
        <v/>
      </c>
      <c r="BL189" s="1644"/>
      <c r="BM189" s="1644"/>
      <c r="BN189" s="1644"/>
      <c r="BO189" s="1644"/>
      <c r="BP189" s="1644"/>
      <c r="BQ189" s="1644"/>
      <c r="BR189" s="1644"/>
      <c r="BS189" s="1644"/>
      <c r="BT189" s="1644"/>
      <c r="BU189" s="1644"/>
      <c r="BV189" s="1644"/>
      <c r="BW189" s="252"/>
      <c r="BX189" s="1644" t="s">
        <v>714</v>
      </c>
      <c r="BY189" s="1644"/>
      <c r="BZ189" s="1644"/>
      <c r="CA189" s="1644"/>
      <c r="CB189" s="1644"/>
      <c r="CC189" s="1644"/>
      <c r="CD189" s="1644"/>
      <c r="CE189" s="1644"/>
      <c r="CF189" s="1644"/>
      <c r="CG189" s="1644"/>
      <c r="CH189" s="1644"/>
      <c r="CI189" s="1644"/>
      <c r="CJ189" s="252"/>
      <c r="CK189" s="1644" t="str">
        <f>+""</f>
        <v/>
      </c>
      <c r="CL189" s="1644"/>
      <c r="CM189" s="1644"/>
      <c r="CN189" s="1644"/>
      <c r="CO189" s="1644"/>
      <c r="CP189" s="1644"/>
      <c r="CQ189" s="1644"/>
      <c r="CR189" s="1644"/>
      <c r="CS189" s="1644"/>
      <c r="CT189" s="1644"/>
      <c r="CU189" s="1644"/>
      <c r="CV189" s="1644"/>
      <c r="CW189" s="252"/>
      <c r="CX189" s="1646" t="str">
        <f>+""</f>
        <v/>
      </c>
      <c r="CY189" s="1646"/>
      <c r="CZ189" s="1646"/>
      <c r="DA189" s="1646"/>
      <c r="DB189" s="1646"/>
      <c r="DC189" s="1646"/>
      <c r="DD189" s="1646"/>
      <c r="DE189" s="1646"/>
      <c r="DF189" s="1646"/>
      <c r="DG189" s="1646"/>
      <c r="DH189" s="1646"/>
      <c r="DI189" s="1646"/>
      <c r="DJ189" s="252"/>
      <c r="DK189" s="1646" t="str">
        <f>+""</f>
        <v/>
      </c>
      <c r="DL189" s="1646"/>
      <c r="DM189" s="1646"/>
      <c r="DN189" s="1646"/>
      <c r="DO189" s="1646"/>
      <c r="DP189" s="1646"/>
      <c r="DQ189" s="1646"/>
      <c r="DR189" s="1646"/>
      <c r="DS189" s="1646"/>
      <c r="DT189" s="1646"/>
      <c r="DU189" s="1646"/>
      <c r="DV189" s="1653"/>
    </row>
    <row r="190" spans="2:126" x14ac:dyDescent="0.15">
      <c r="B190" s="312"/>
      <c r="C190" s="1630"/>
      <c r="D190" s="1630"/>
      <c r="E190" s="1630"/>
      <c r="F190" s="1630"/>
      <c r="G190" s="1630"/>
      <c r="H190" s="1630"/>
      <c r="I190" s="1630"/>
      <c r="J190" s="1630"/>
      <c r="K190" s="1630"/>
      <c r="L190" s="1630"/>
      <c r="M190" s="1630"/>
      <c r="N190" s="1630"/>
      <c r="O190" s="1630"/>
      <c r="P190" s="1630"/>
      <c r="Q190" s="1630"/>
      <c r="R190" s="1630"/>
      <c r="S190" s="1630"/>
      <c r="T190" s="1630"/>
      <c r="U190" s="1630"/>
      <c r="V190" s="1630"/>
      <c r="W190" s="1630"/>
      <c r="X190" s="1630"/>
      <c r="Y190" s="1630"/>
      <c r="Z190" s="1630"/>
      <c r="AA190" s="1630"/>
      <c r="AB190" s="1630"/>
      <c r="AC190" s="1630"/>
      <c r="AD190" s="1630"/>
      <c r="AE190" s="1630"/>
      <c r="AF190" s="1630"/>
      <c r="AG190" s="1630"/>
      <c r="AH190" s="1630"/>
      <c r="AI190" s="1630"/>
      <c r="AJ190" s="1630"/>
      <c r="AK190" s="1630"/>
      <c r="AL190" s="1630"/>
      <c r="AM190" s="1630"/>
      <c r="AN190" s="1630"/>
      <c r="AO190" s="1630"/>
      <c r="AP190" s="1630"/>
      <c r="AQ190" s="1630"/>
      <c r="AR190" s="1630"/>
      <c r="AS190" s="1630"/>
      <c r="AT190" s="1630"/>
      <c r="AU190" s="1630"/>
      <c r="AV190" s="1630"/>
      <c r="AW190" s="1630"/>
      <c r="AX190" s="1630"/>
      <c r="AY190" s="1630"/>
      <c r="AZ190" s="1630"/>
      <c r="BA190" s="1630"/>
      <c r="BB190" s="1630"/>
      <c r="BC190" s="1630"/>
      <c r="BD190" s="1630"/>
      <c r="BE190" s="1630"/>
      <c r="BF190" s="1630"/>
      <c r="BG190" s="311"/>
      <c r="BI190" s="487"/>
      <c r="BJ190" s="252"/>
      <c r="BK190" s="1644" t="str">
        <f>+""</f>
        <v/>
      </c>
      <c r="BL190" s="1644"/>
      <c r="BM190" s="1644"/>
      <c r="BN190" s="1644"/>
      <c r="BO190" s="1644"/>
      <c r="BP190" s="1644"/>
      <c r="BQ190" s="1644"/>
      <c r="BR190" s="1644"/>
      <c r="BS190" s="1644"/>
      <c r="BT190" s="1644"/>
      <c r="BU190" s="1644"/>
      <c r="BV190" s="1644"/>
      <c r="BW190" s="252"/>
      <c r="BX190" s="1644" t="s">
        <v>715</v>
      </c>
      <c r="BY190" s="1644"/>
      <c r="BZ190" s="1644"/>
      <c r="CA190" s="1644"/>
      <c r="CB190" s="1644"/>
      <c r="CC190" s="1644"/>
      <c r="CD190" s="1644"/>
      <c r="CE190" s="1644"/>
      <c r="CF190" s="1644"/>
      <c r="CG190" s="1644"/>
      <c r="CH190" s="1644"/>
      <c r="CI190" s="1644"/>
      <c r="CJ190" s="252"/>
      <c r="CK190" s="1644" t="str">
        <f>+""</f>
        <v/>
      </c>
      <c r="CL190" s="1644"/>
      <c r="CM190" s="1644"/>
      <c r="CN190" s="1644"/>
      <c r="CO190" s="1644"/>
      <c r="CP190" s="1644"/>
      <c r="CQ190" s="1644"/>
      <c r="CR190" s="1644"/>
      <c r="CS190" s="1644"/>
      <c r="CT190" s="1644"/>
      <c r="CU190" s="1644"/>
      <c r="CV190" s="1644"/>
      <c r="CW190" s="252"/>
      <c r="CX190" s="1646" t="str">
        <f>+""</f>
        <v/>
      </c>
      <c r="CY190" s="1646"/>
      <c r="CZ190" s="1646"/>
      <c r="DA190" s="1646"/>
      <c r="DB190" s="1646"/>
      <c r="DC190" s="1646"/>
      <c r="DD190" s="1646"/>
      <c r="DE190" s="1646"/>
      <c r="DF190" s="1646"/>
      <c r="DG190" s="1646"/>
      <c r="DH190" s="1646"/>
      <c r="DI190" s="1646"/>
      <c r="DJ190" s="252"/>
      <c r="DK190" s="1646" t="str">
        <f>+""</f>
        <v/>
      </c>
      <c r="DL190" s="1646"/>
      <c r="DM190" s="1646"/>
      <c r="DN190" s="1646"/>
      <c r="DO190" s="1646"/>
      <c r="DP190" s="1646"/>
      <c r="DQ190" s="1646"/>
      <c r="DR190" s="1646"/>
      <c r="DS190" s="1646"/>
      <c r="DT190" s="1646"/>
      <c r="DU190" s="1646"/>
      <c r="DV190" s="1653"/>
    </row>
    <row r="191" spans="2:126" x14ac:dyDescent="0.15">
      <c r="B191" s="312"/>
      <c r="C191" s="1630"/>
      <c r="D191" s="1630"/>
      <c r="E191" s="1630"/>
      <c r="F191" s="1630"/>
      <c r="G191" s="1630"/>
      <c r="H191" s="1630"/>
      <c r="I191" s="1630"/>
      <c r="J191" s="1630"/>
      <c r="K191" s="1630"/>
      <c r="L191" s="1630"/>
      <c r="M191" s="1630"/>
      <c r="N191" s="1630"/>
      <c r="O191" s="1630"/>
      <c r="P191" s="1630"/>
      <c r="Q191" s="1630"/>
      <c r="R191" s="1630"/>
      <c r="S191" s="1630"/>
      <c r="T191" s="1630"/>
      <c r="U191" s="1630"/>
      <c r="V191" s="1630"/>
      <c r="W191" s="1630"/>
      <c r="X191" s="1630"/>
      <c r="Y191" s="1630"/>
      <c r="Z191" s="1630"/>
      <c r="AA191" s="1630"/>
      <c r="AB191" s="1630"/>
      <c r="AC191" s="1630"/>
      <c r="AD191" s="1630"/>
      <c r="AE191" s="1630"/>
      <c r="AF191" s="1630"/>
      <c r="AG191" s="1630"/>
      <c r="AH191" s="1630"/>
      <c r="AI191" s="1630"/>
      <c r="AJ191" s="1630"/>
      <c r="AK191" s="1630"/>
      <c r="AL191" s="1630"/>
      <c r="AM191" s="1630"/>
      <c r="AN191" s="1630"/>
      <c r="AO191" s="1630"/>
      <c r="AP191" s="1630"/>
      <c r="AQ191" s="1630"/>
      <c r="AR191" s="1630"/>
      <c r="AS191" s="1630"/>
      <c r="AT191" s="1630"/>
      <c r="AU191" s="1630"/>
      <c r="AV191" s="1630"/>
      <c r="AW191" s="1630"/>
      <c r="AX191" s="1630"/>
      <c r="AY191" s="1630"/>
      <c r="AZ191" s="1630"/>
      <c r="BA191" s="1630"/>
      <c r="BB191" s="1630"/>
      <c r="BC191" s="1630"/>
      <c r="BD191" s="1630"/>
      <c r="BE191" s="1630"/>
      <c r="BF191" s="1630"/>
      <c r="BG191" s="311"/>
      <c r="BI191" s="487"/>
      <c r="BJ191" s="252"/>
      <c r="BK191" s="1644" t="str">
        <f>+""</f>
        <v/>
      </c>
      <c r="BL191" s="1644"/>
      <c r="BM191" s="1644"/>
      <c r="BN191" s="1644"/>
      <c r="BO191" s="1644"/>
      <c r="BP191" s="1644"/>
      <c r="BQ191" s="1644"/>
      <c r="BR191" s="1644"/>
      <c r="BS191" s="1644"/>
      <c r="BT191" s="1644"/>
      <c r="BU191" s="1644"/>
      <c r="BV191" s="1644"/>
      <c r="BW191" s="252"/>
      <c r="BX191" s="1644" t="s">
        <v>716</v>
      </c>
      <c r="BY191" s="1644"/>
      <c r="BZ191" s="1644"/>
      <c r="CA191" s="1644"/>
      <c r="CB191" s="1644"/>
      <c r="CC191" s="1644"/>
      <c r="CD191" s="1644"/>
      <c r="CE191" s="1644"/>
      <c r="CF191" s="1644"/>
      <c r="CG191" s="1644"/>
      <c r="CH191" s="1644"/>
      <c r="CI191" s="1644"/>
      <c r="CJ191" s="252"/>
      <c r="CK191" s="1644" t="str">
        <f>+""</f>
        <v/>
      </c>
      <c r="CL191" s="1644"/>
      <c r="CM191" s="1644"/>
      <c r="CN191" s="1644"/>
      <c r="CO191" s="1644"/>
      <c r="CP191" s="1644"/>
      <c r="CQ191" s="1644"/>
      <c r="CR191" s="1644"/>
      <c r="CS191" s="1644"/>
      <c r="CT191" s="1644"/>
      <c r="CU191" s="1644"/>
      <c r="CV191" s="1644"/>
      <c r="CW191" s="252"/>
      <c r="CX191" s="1646" t="str">
        <f>+""</f>
        <v/>
      </c>
      <c r="CY191" s="1646"/>
      <c r="CZ191" s="1646"/>
      <c r="DA191" s="1646"/>
      <c r="DB191" s="1646"/>
      <c r="DC191" s="1646"/>
      <c r="DD191" s="1646"/>
      <c r="DE191" s="1646"/>
      <c r="DF191" s="1646"/>
      <c r="DG191" s="1646"/>
      <c r="DH191" s="1646"/>
      <c r="DI191" s="1646"/>
      <c r="DJ191" s="252"/>
      <c r="DK191" s="1646" t="str">
        <f>+""</f>
        <v/>
      </c>
      <c r="DL191" s="1646"/>
      <c r="DM191" s="1646"/>
      <c r="DN191" s="1646"/>
      <c r="DO191" s="1646"/>
      <c r="DP191" s="1646"/>
      <c r="DQ191" s="1646"/>
      <c r="DR191" s="1646"/>
      <c r="DS191" s="1646"/>
      <c r="DT191" s="1646"/>
      <c r="DU191" s="1646"/>
      <c r="DV191" s="1653"/>
    </row>
    <row r="192" spans="2:126" x14ac:dyDescent="0.15">
      <c r="B192" s="312"/>
      <c r="C192" s="1630"/>
      <c r="D192" s="1630"/>
      <c r="E192" s="1630"/>
      <c r="F192" s="1630"/>
      <c r="G192" s="1630"/>
      <c r="H192" s="1630"/>
      <c r="I192" s="1630"/>
      <c r="J192" s="1630"/>
      <c r="K192" s="1630"/>
      <c r="L192" s="1630"/>
      <c r="M192" s="1630"/>
      <c r="N192" s="1630"/>
      <c r="O192" s="1630"/>
      <c r="P192" s="1630"/>
      <c r="Q192" s="1630"/>
      <c r="R192" s="1630"/>
      <c r="S192" s="1630"/>
      <c r="T192" s="1630"/>
      <c r="U192" s="1630"/>
      <c r="V192" s="1630"/>
      <c r="W192" s="1630"/>
      <c r="X192" s="1630"/>
      <c r="Y192" s="1630"/>
      <c r="Z192" s="1630"/>
      <c r="AA192" s="1630"/>
      <c r="AB192" s="1630"/>
      <c r="AC192" s="1630"/>
      <c r="AD192" s="1630"/>
      <c r="AE192" s="1630"/>
      <c r="AF192" s="1630"/>
      <c r="AG192" s="1630"/>
      <c r="AH192" s="1630"/>
      <c r="AI192" s="1630"/>
      <c r="AJ192" s="1630"/>
      <c r="AK192" s="1630"/>
      <c r="AL192" s="1630"/>
      <c r="AM192" s="1630"/>
      <c r="AN192" s="1630"/>
      <c r="AO192" s="1630"/>
      <c r="AP192" s="1630"/>
      <c r="AQ192" s="1630"/>
      <c r="AR192" s="1630"/>
      <c r="AS192" s="1630"/>
      <c r="AT192" s="1630"/>
      <c r="AU192" s="1630"/>
      <c r="AV192" s="1630"/>
      <c r="AW192" s="1630"/>
      <c r="AX192" s="1630"/>
      <c r="AY192" s="1630"/>
      <c r="AZ192" s="1630"/>
      <c r="BA192" s="1630"/>
      <c r="BB192" s="1630"/>
      <c r="BC192" s="1630"/>
      <c r="BD192" s="1630"/>
      <c r="BE192" s="1630"/>
      <c r="BF192" s="1630"/>
      <c r="BG192" s="311"/>
      <c r="BI192" s="487"/>
      <c r="BJ192" s="252"/>
      <c r="BK192" s="1644" t="str">
        <f>+""</f>
        <v/>
      </c>
      <c r="BL192" s="1644"/>
      <c r="BM192" s="1644"/>
      <c r="BN192" s="1644"/>
      <c r="BO192" s="1644"/>
      <c r="BP192" s="1644"/>
      <c r="BQ192" s="1644"/>
      <c r="BR192" s="1644"/>
      <c r="BS192" s="1644"/>
      <c r="BT192" s="1644"/>
      <c r="BU192" s="1644"/>
      <c r="BV192" s="1644"/>
      <c r="BW192" s="252"/>
      <c r="BX192" s="1654" t="s">
        <v>717</v>
      </c>
      <c r="BY192" s="1654"/>
      <c r="BZ192" s="1654"/>
      <c r="CA192" s="1654"/>
      <c r="CB192" s="1654"/>
      <c r="CC192" s="1654"/>
      <c r="CD192" s="1654"/>
      <c r="CE192" s="1654"/>
      <c r="CF192" s="1654"/>
      <c r="CG192" s="1654"/>
      <c r="CH192" s="1654"/>
      <c r="CI192" s="1654"/>
      <c r="CJ192" s="252"/>
      <c r="CK192" s="1644" t="str">
        <f>+""</f>
        <v/>
      </c>
      <c r="CL192" s="1644"/>
      <c r="CM192" s="1644"/>
      <c r="CN192" s="1644"/>
      <c r="CO192" s="1644"/>
      <c r="CP192" s="1644"/>
      <c r="CQ192" s="1644"/>
      <c r="CR192" s="1644"/>
      <c r="CS192" s="1644"/>
      <c r="CT192" s="1644"/>
      <c r="CU192" s="1644"/>
      <c r="CV192" s="1644"/>
      <c r="CW192" s="252"/>
      <c r="CX192" s="1646" t="str">
        <f>+""</f>
        <v/>
      </c>
      <c r="CY192" s="1646"/>
      <c r="CZ192" s="1646"/>
      <c r="DA192" s="1646"/>
      <c r="DB192" s="1646"/>
      <c r="DC192" s="1646"/>
      <c r="DD192" s="1646"/>
      <c r="DE192" s="1646"/>
      <c r="DF192" s="1646"/>
      <c r="DG192" s="1646"/>
      <c r="DH192" s="1646"/>
      <c r="DI192" s="1646"/>
      <c r="DJ192" s="252"/>
      <c r="DK192" s="1646" t="str">
        <f>+""</f>
        <v/>
      </c>
      <c r="DL192" s="1646"/>
      <c r="DM192" s="1646"/>
      <c r="DN192" s="1646"/>
      <c r="DO192" s="1646"/>
      <c r="DP192" s="1646"/>
      <c r="DQ192" s="1646"/>
      <c r="DR192" s="1646"/>
      <c r="DS192" s="1646"/>
      <c r="DT192" s="1646"/>
      <c r="DU192" s="1646"/>
      <c r="DV192" s="1653"/>
    </row>
    <row r="193" spans="2:126" x14ac:dyDescent="0.15">
      <c r="B193" s="312"/>
      <c r="C193" s="1630"/>
      <c r="D193" s="1630"/>
      <c r="E193" s="1630"/>
      <c r="F193" s="1630"/>
      <c r="G193" s="1630"/>
      <c r="H193" s="1630"/>
      <c r="I193" s="1630"/>
      <c r="J193" s="1630"/>
      <c r="K193" s="1630"/>
      <c r="L193" s="1630"/>
      <c r="M193" s="1630"/>
      <c r="N193" s="1630"/>
      <c r="O193" s="1630"/>
      <c r="P193" s="1630"/>
      <c r="Q193" s="1630"/>
      <c r="R193" s="1630"/>
      <c r="S193" s="1630"/>
      <c r="T193" s="1630"/>
      <c r="U193" s="1630"/>
      <c r="V193" s="1630"/>
      <c r="W193" s="1630"/>
      <c r="X193" s="1630"/>
      <c r="Y193" s="1630"/>
      <c r="Z193" s="1630"/>
      <c r="AA193" s="1630"/>
      <c r="AB193" s="1630"/>
      <c r="AC193" s="1630"/>
      <c r="AD193" s="1630"/>
      <c r="AE193" s="1630"/>
      <c r="AF193" s="1630"/>
      <c r="AG193" s="1630"/>
      <c r="AH193" s="1630"/>
      <c r="AI193" s="1630"/>
      <c r="AJ193" s="1630"/>
      <c r="AK193" s="1630"/>
      <c r="AL193" s="1630"/>
      <c r="AM193" s="1630"/>
      <c r="AN193" s="1630"/>
      <c r="AO193" s="1630"/>
      <c r="AP193" s="1630"/>
      <c r="AQ193" s="1630"/>
      <c r="AR193" s="1630"/>
      <c r="AS193" s="1630"/>
      <c r="AT193" s="1630"/>
      <c r="AU193" s="1630"/>
      <c r="AV193" s="1630"/>
      <c r="AW193" s="1630"/>
      <c r="AX193" s="1630"/>
      <c r="AY193" s="1630"/>
      <c r="AZ193" s="1630"/>
      <c r="BA193" s="1630"/>
      <c r="BB193" s="1630"/>
      <c r="BC193" s="1630"/>
      <c r="BD193" s="1630"/>
      <c r="BE193" s="1630"/>
      <c r="BF193" s="1630"/>
      <c r="BG193" s="311"/>
      <c r="BI193" s="487"/>
      <c r="BJ193" s="252"/>
      <c r="BK193" s="1644" t="str">
        <f>+""</f>
        <v/>
      </c>
      <c r="BL193" s="1644"/>
      <c r="BM193" s="1644"/>
      <c r="BN193" s="1644"/>
      <c r="BO193" s="1644"/>
      <c r="BP193" s="1644"/>
      <c r="BQ193" s="1644"/>
      <c r="BR193" s="1644"/>
      <c r="BS193" s="1644"/>
      <c r="BT193" s="1644"/>
      <c r="BU193" s="1644"/>
      <c r="BV193" s="1644"/>
      <c r="BW193" s="252"/>
      <c r="BX193" s="1644" t="s">
        <v>718</v>
      </c>
      <c r="BY193" s="1644"/>
      <c r="BZ193" s="1644"/>
      <c r="CA193" s="1644"/>
      <c r="CB193" s="1644"/>
      <c r="CC193" s="1644"/>
      <c r="CD193" s="1644"/>
      <c r="CE193" s="1644"/>
      <c r="CF193" s="1644"/>
      <c r="CG193" s="1644"/>
      <c r="CH193" s="1644"/>
      <c r="CI193" s="1644"/>
      <c r="CJ193" s="252"/>
      <c r="CK193" s="1644" t="str">
        <f>+""</f>
        <v/>
      </c>
      <c r="CL193" s="1644"/>
      <c r="CM193" s="1644"/>
      <c r="CN193" s="1644"/>
      <c r="CO193" s="1644"/>
      <c r="CP193" s="1644"/>
      <c r="CQ193" s="1644"/>
      <c r="CR193" s="1644"/>
      <c r="CS193" s="1644"/>
      <c r="CT193" s="1644"/>
      <c r="CU193" s="1644"/>
      <c r="CV193" s="1644"/>
      <c r="CW193" s="252"/>
      <c r="CX193" s="1646" t="str">
        <f>+""</f>
        <v/>
      </c>
      <c r="CY193" s="1646"/>
      <c r="CZ193" s="1646"/>
      <c r="DA193" s="1646"/>
      <c r="DB193" s="1646"/>
      <c r="DC193" s="1646"/>
      <c r="DD193" s="1646"/>
      <c r="DE193" s="1646"/>
      <c r="DF193" s="1646"/>
      <c r="DG193" s="1646"/>
      <c r="DH193" s="1646"/>
      <c r="DI193" s="1646"/>
      <c r="DJ193" s="252"/>
      <c r="DK193" s="1646" t="str">
        <f>+""</f>
        <v/>
      </c>
      <c r="DL193" s="1646"/>
      <c r="DM193" s="1646"/>
      <c r="DN193" s="1646"/>
      <c r="DO193" s="1646"/>
      <c r="DP193" s="1646"/>
      <c r="DQ193" s="1646"/>
      <c r="DR193" s="1646"/>
      <c r="DS193" s="1646"/>
      <c r="DT193" s="1646"/>
      <c r="DU193" s="1646"/>
      <c r="DV193" s="1653"/>
    </row>
    <row r="194" spans="2:126" x14ac:dyDescent="0.15">
      <c r="B194" s="312"/>
      <c r="C194" s="1630"/>
      <c r="D194" s="1630"/>
      <c r="E194" s="1630"/>
      <c r="F194" s="1630"/>
      <c r="G194" s="1630"/>
      <c r="H194" s="1630"/>
      <c r="I194" s="1630"/>
      <c r="J194" s="1630"/>
      <c r="K194" s="1630"/>
      <c r="L194" s="1630"/>
      <c r="M194" s="1630"/>
      <c r="N194" s="1630"/>
      <c r="O194" s="1630"/>
      <c r="P194" s="1630"/>
      <c r="Q194" s="1630"/>
      <c r="R194" s="1630"/>
      <c r="S194" s="1630"/>
      <c r="T194" s="1630"/>
      <c r="U194" s="1630"/>
      <c r="V194" s="1630"/>
      <c r="W194" s="1630"/>
      <c r="X194" s="1630"/>
      <c r="Y194" s="1630"/>
      <c r="Z194" s="1630"/>
      <c r="AA194" s="1630"/>
      <c r="AB194" s="1630"/>
      <c r="AC194" s="1630"/>
      <c r="AD194" s="1630"/>
      <c r="AE194" s="1630"/>
      <c r="AF194" s="1630"/>
      <c r="AG194" s="1630"/>
      <c r="AH194" s="1630"/>
      <c r="AI194" s="1630"/>
      <c r="AJ194" s="1630"/>
      <c r="AK194" s="1630"/>
      <c r="AL194" s="1630"/>
      <c r="AM194" s="1630"/>
      <c r="AN194" s="1630"/>
      <c r="AO194" s="1630"/>
      <c r="AP194" s="1630"/>
      <c r="AQ194" s="1630"/>
      <c r="AR194" s="1630"/>
      <c r="AS194" s="1630"/>
      <c r="AT194" s="1630"/>
      <c r="AU194" s="1630"/>
      <c r="AV194" s="1630"/>
      <c r="AW194" s="1630"/>
      <c r="AX194" s="1630"/>
      <c r="AY194" s="1630"/>
      <c r="AZ194" s="1630"/>
      <c r="BA194" s="1630"/>
      <c r="BB194" s="1630"/>
      <c r="BC194" s="1630"/>
      <c r="BD194" s="1630"/>
      <c r="BE194" s="1630"/>
      <c r="BF194" s="1630"/>
      <c r="BG194" s="311"/>
      <c r="BI194" s="487"/>
      <c r="BJ194" s="252"/>
      <c r="BK194" s="1644" t="str">
        <f>+""</f>
        <v/>
      </c>
      <c r="BL194" s="1644"/>
      <c r="BM194" s="1644"/>
      <c r="BN194" s="1644"/>
      <c r="BO194" s="1644"/>
      <c r="BP194" s="1644"/>
      <c r="BQ194" s="1644"/>
      <c r="BR194" s="1644"/>
      <c r="BS194" s="1644"/>
      <c r="BT194" s="1644"/>
      <c r="BU194" s="1644"/>
      <c r="BV194" s="1644"/>
      <c r="BW194" s="252"/>
      <c r="BX194" s="1644" t="s">
        <v>719</v>
      </c>
      <c r="BY194" s="1644"/>
      <c r="BZ194" s="1644"/>
      <c r="CA194" s="1644"/>
      <c r="CB194" s="1644"/>
      <c r="CC194" s="1644"/>
      <c r="CD194" s="1644"/>
      <c r="CE194" s="1644"/>
      <c r="CF194" s="1644"/>
      <c r="CG194" s="1644"/>
      <c r="CH194" s="1644"/>
      <c r="CI194" s="1644"/>
      <c r="CJ194" s="252"/>
      <c r="CK194" s="1644" t="str">
        <f>+""</f>
        <v/>
      </c>
      <c r="CL194" s="1644"/>
      <c r="CM194" s="1644"/>
      <c r="CN194" s="1644"/>
      <c r="CO194" s="1644"/>
      <c r="CP194" s="1644"/>
      <c r="CQ194" s="1644"/>
      <c r="CR194" s="1644"/>
      <c r="CS194" s="1644"/>
      <c r="CT194" s="1644"/>
      <c r="CU194" s="1644"/>
      <c r="CV194" s="1644"/>
      <c r="CW194" s="252"/>
      <c r="CX194" s="1646" t="str">
        <f>+""</f>
        <v/>
      </c>
      <c r="CY194" s="1646"/>
      <c r="CZ194" s="1646"/>
      <c r="DA194" s="1646"/>
      <c r="DB194" s="1646"/>
      <c r="DC194" s="1646"/>
      <c r="DD194" s="1646"/>
      <c r="DE194" s="1646"/>
      <c r="DF194" s="1646"/>
      <c r="DG194" s="1646"/>
      <c r="DH194" s="1646"/>
      <c r="DI194" s="1646"/>
      <c r="DJ194" s="252"/>
      <c r="DK194" s="1646" t="str">
        <f>+""</f>
        <v/>
      </c>
      <c r="DL194" s="1646"/>
      <c r="DM194" s="1646"/>
      <c r="DN194" s="1646"/>
      <c r="DO194" s="1646"/>
      <c r="DP194" s="1646"/>
      <c r="DQ194" s="1646"/>
      <c r="DR194" s="1646"/>
      <c r="DS194" s="1646"/>
      <c r="DT194" s="1646"/>
      <c r="DU194" s="1646"/>
      <c r="DV194" s="1653"/>
    </row>
    <row r="195" spans="2:126" x14ac:dyDescent="0.15">
      <c r="B195" s="312"/>
      <c r="C195" s="1630"/>
      <c r="D195" s="1630"/>
      <c r="E195" s="1630"/>
      <c r="F195" s="1630"/>
      <c r="G195" s="1630"/>
      <c r="H195" s="1630"/>
      <c r="I195" s="1630"/>
      <c r="J195" s="1630"/>
      <c r="K195" s="1630"/>
      <c r="L195" s="1630"/>
      <c r="M195" s="1630"/>
      <c r="N195" s="1630"/>
      <c r="O195" s="1630"/>
      <c r="P195" s="1630"/>
      <c r="Q195" s="1630"/>
      <c r="R195" s="1630"/>
      <c r="S195" s="1630"/>
      <c r="T195" s="1630"/>
      <c r="U195" s="1630"/>
      <c r="V195" s="1630"/>
      <c r="W195" s="1630"/>
      <c r="X195" s="1630"/>
      <c r="Y195" s="1630"/>
      <c r="Z195" s="1630"/>
      <c r="AA195" s="1630"/>
      <c r="AB195" s="1630"/>
      <c r="AC195" s="1630"/>
      <c r="AD195" s="1630"/>
      <c r="AE195" s="1630"/>
      <c r="AF195" s="1630"/>
      <c r="AG195" s="1630"/>
      <c r="AH195" s="1630"/>
      <c r="AI195" s="1630"/>
      <c r="AJ195" s="1630"/>
      <c r="AK195" s="1630"/>
      <c r="AL195" s="1630"/>
      <c r="AM195" s="1630"/>
      <c r="AN195" s="1630"/>
      <c r="AO195" s="1630"/>
      <c r="AP195" s="1630"/>
      <c r="AQ195" s="1630"/>
      <c r="AR195" s="1630"/>
      <c r="AS195" s="1630"/>
      <c r="AT195" s="1630"/>
      <c r="AU195" s="1630"/>
      <c r="AV195" s="1630"/>
      <c r="AW195" s="1630"/>
      <c r="AX195" s="1630"/>
      <c r="AY195" s="1630"/>
      <c r="AZ195" s="1630"/>
      <c r="BA195" s="1630"/>
      <c r="BB195" s="1630"/>
      <c r="BC195" s="1630"/>
      <c r="BD195" s="1630"/>
      <c r="BE195" s="1630"/>
      <c r="BF195" s="1630"/>
      <c r="BG195" s="311"/>
      <c r="BI195" s="487"/>
      <c r="BJ195" s="252"/>
      <c r="BK195" s="1644" t="str">
        <f>+""</f>
        <v/>
      </c>
      <c r="BL195" s="1644"/>
      <c r="BM195" s="1644"/>
      <c r="BN195" s="1644"/>
      <c r="BO195" s="1644"/>
      <c r="BP195" s="1644"/>
      <c r="BQ195" s="1644"/>
      <c r="BR195" s="1644"/>
      <c r="BS195" s="1644"/>
      <c r="BT195" s="1644"/>
      <c r="BU195" s="1644"/>
      <c r="BV195" s="1644"/>
      <c r="BW195" s="252"/>
      <c r="BX195" s="1644" t="s">
        <v>720</v>
      </c>
      <c r="BY195" s="1644"/>
      <c r="BZ195" s="1644"/>
      <c r="CA195" s="1644"/>
      <c r="CB195" s="1644"/>
      <c r="CC195" s="1644"/>
      <c r="CD195" s="1644"/>
      <c r="CE195" s="1644"/>
      <c r="CF195" s="1644"/>
      <c r="CG195" s="1644"/>
      <c r="CH195" s="1644"/>
      <c r="CI195" s="1644"/>
      <c r="CJ195" s="252"/>
      <c r="CK195" s="1644" t="str">
        <f>+""</f>
        <v/>
      </c>
      <c r="CL195" s="1644"/>
      <c r="CM195" s="1644"/>
      <c r="CN195" s="1644"/>
      <c r="CO195" s="1644"/>
      <c r="CP195" s="1644"/>
      <c r="CQ195" s="1644"/>
      <c r="CR195" s="1644"/>
      <c r="CS195" s="1644"/>
      <c r="CT195" s="1644"/>
      <c r="CU195" s="1644"/>
      <c r="CV195" s="1644"/>
      <c r="CW195" s="252"/>
      <c r="CX195" s="1646" t="str">
        <f>+""</f>
        <v/>
      </c>
      <c r="CY195" s="1646"/>
      <c r="CZ195" s="1646"/>
      <c r="DA195" s="1646"/>
      <c r="DB195" s="1646"/>
      <c r="DC195" s="1646"/>
      <c r="DD195" s="1646"/>
      <c r="DE195" s="1646"/>
      <c r="DF195" s="1646"/>
      <c r="DG195" s="1646"/>
      <c r="DH195" s="1646"/>
      <c r="DI195" s="1646"/>
      <c r="DJ195" s="252"/>
      <c r="DK195" s="1646" t="str">
        <f>+""</f>
        <v/>
      </c>
      <c r="DL195" s="1646"/>
      <c r="DM195" s="1646"/>
      <c r="DN195" s="1646"/>
      <c r="DO195" s="1646"/>
      <c r="DP195" s="1646"/>
      <c r="DQ195" s="1646"/>
      <c r="DR195" s="1646"/>
      <c r="DS195" s="1646"/>
      <c r="DT195" s="1646"/>
      <c r="DU195" s="1646"/>
      <c r="DV195" s="1653"/>
    </row>
    <row r="196" spans="2:126" x14ac:dyDescent="0.15">
      <c r="B196" s="312"/>
      <c r="C196" s="1630"/>
      <c r="D196" s="1630"/>
      <c r="E196" s="1630"/>
      <c r="F196" s="1630"/>
      <c r="G196" s="1630"/>
      <c r="H196" s="1630"/>
      <c r="I196" s="1630"/>
      <c r="J196" s="1630"/>
      <c r="K196" s="1630"/>
      <c r="L196" s="1630"/>
      <c r="M196" s="1630"/>
      <c r="N196" s="1630"/>
      <c r="O196" s="1630"/>
      <c r="P196" s="1630"/>
      <c r="Q196" s="1630"/>
      <c r="R196" s="1630"/>
      <c r="S196" s="1630"/>
      <c r="T196" s="1630"/>
      <c r="U196" s="1630"/>
      <c r="V196" s="1630"/>
      <c r="W196" s="1630"/>
      <c r="X196" s="1630"/>
      <c r="Y196" s="1630"/>
      <c r="Z196" s="1630"/>
      <c r="AA196" s="1630"/>
      <c r="AB196" s="1630"/>
      <c r="AC196" s="1630"/>
      <c r="AD196" s="1630"/>
      <c r="AE196" s="1630"/>
      <c r="AF196" s="1630"/>
      <c r="AG196" s="1630"/>
      <c r="AH196" s="1630"/>
      <c r="AI196" s="1630"/>
      <c r="AJ196" s="1630"/>
      <c r="AK196" s="1630"/>
      <c r="AL196" s="1630"/>
      <c r="AM196" s="1630"/>
      <c r="AN196" s="1630"/>
      <c r="AO196" s="1630"/>
      <c r="AP196" s="1630"/>
      <c r="AQ196" s="1630"/>
      <c r="AR196" s="1630"/>
      <c r="AS196" s="1630"/>
      <c r="AT196" s="1630"/>
      <c r="AU196" s="1630"/>
      <c r="AV196" s="1630"/>
      <c r="AW196" s="1630"/>
      <c r="AX196" s="1630"/>
      <c r="AY196" s="1630"/>
      <c r="AZ196" s="1630"/>
      <c r="BA196" s="1630"/>
      <c r="BB196" s="1630"/>
      <c r="BC196" s="1630"/>
      <c r="BD196" s="1630"/>
      <c r="BE196" s="1630"/>
      <c r="BF196" s="1630"/>
      <c r="BG196" s="311"/>
      <c r="BI196" s="487"/>
      <c r="BJ196" s="252"/>
      <c r="BK196" s="1644" t="str">
        <f>+""</f>
        <v/>
      </c>
      <c r="BL196" s="1644"/>
      <c r="BM196" s="1644"/>
      <c r="BN196" s="1644"/>
      <c r="BO196" s="1644"/>
      <c r="BP196" s="1644"/>
      <c r="BQ196" s="1644"/>
      <c r="BR196" s="1644"/>
      <c r="BS196" s="1644"/>
      <c r="BT196" s="1644"/>
      <c r="BU196" s="1644"/>
      <c r="BV196" s="1644"/>
      <c r="BW196" s="252"/>
      <c r="BX196" s="1644" t="s">
        <v>721</v>
      </c>
      <c r="BY196" s="1644"/>
      <c r="BZ196" s="1644"/>
      <c r="CA196" s="1644"/>
      <c r="CB196" s="1644"/>
      <c r="CC196" s="1644"/>
      <c r="CD196" s="1644"/>
      <c r="CE196" s="1644"/>
      <c r="CF196" s="1644"/>
      <c r="CG196" s="1644"/>
      <c r="CH196" s="1644"/>
      <c r="CI196" s="1644"/>
      <c r="CJ196" s="252"/>
      <c r="CK196" s="1644" t="str">
        <f>+""</f>
        <v/>
      </c>
      <c r="CL196" s="1644"/>
      <c r="CM196" s="1644"/>
      <c r="CN196" s="1644"/>
      <c r="CO196" s="1644"/>
      <c r="CP196" s="1644"/>
      <c r="CQ196" s="1644"/>
      <c r="CR196" s="1644"/>
      <c r="CS196" s="1644"/>
      <c r="CT196" s="1644"/>
      <c r="CU196" s="1644"/>
      <c r="CV196" s="1644"/>
      <c r="CW196" s="252"/>
      <c r="CX196" s="1646" t="str">
        <f>+""</f>
        <v/>
      </c>
      <c r="CY196" s="1646"/>
      <c r="CZ196" s="1646"/>
      <c r="DA196" s="1646"/>
      <c r="DB196" s="1646"/>
      <c r="DC196" s="1646"/>
      <c r="DD196" s="1646"/>
      <c r="DE196" s="1646"/>
      <c r="DF196" s="1646"/>
      <c r="DG196" s="1646"/>
      <c r="DH196" s="1646"/>
      <c r="DI196" s="1646"/>
      <c r="DJ196" s="252"/>
      <c r="DK196" s="1646" t="str">
        <f>+""</f>
        <v/>
      </c>
      <c r="DL196" s="1646"/>
      <c r="DM196" s="1646"/>
      <c r="DN196" s="1646"/>
      <c r="DO196" s="1646"/>
      <c r="DP196" s="1646"/>
      <c r="DQ196" s="1646"/>
      <c r="DR196" s="1646"/>
      <c r="DS196" s="1646"/>
      <c r="DT196" s="1646"/>
      <c r="DU196" s="1646"/>
      <c r="DV196" s="1653"/>
    </row>
    <row r="197" spans="2:126" x14ac:dyDescent="0.15">
      <c r="B197" s="312"/>
      <c r="C197" s="1630"/>
      <c r="D197" s="1630"/>
      <c r="E197" s="1630"/>
      <c r="F197" s="1630"/>
      <c r="G197" s="1630"/>
      <c r="H197" s="1630"/>
      <c r="I197" s="1630"/>
      <c r="J197" s="1630"/>
      <c r="K197" s="1630"/>
      <c r="L197" s="1630"/>
      <c r="M197" s="1630"/>
      <c r="N197" s="1630"/>
      <c r="O197" s="1630"/>
      <c r="P197" s="1630"/>
      <c r="Q197" s="1630"/>
      <c r="R197" s="1630"/>
      <c r="S197" s="1630"/>
      <c r="T197" s="1630"/>
      <c r="U197" s="1630"/>
      <c r="V197" s="1630"/>
      <c r="W197" s="1630"/>
      <c r="X197" s="1630"/>
      <c r="Y197" s="1630"/>
      <c r="Z197" s="1630"/>
      <c r="AA197" s="1630"/>
      <c r="AB197" s="1630"/>
      <c r="AC197" s="1630"/>
      <c r="AD197" s="1630"/>
      <c r="AE197" s="1630"/>
      <c r="AF197" s="1630"/>
      <c r="AG197" s="1630"/>
      <c r="AH197" s="1630"/>
      <c r="AI197" s="1630"/>
      <c r="AJ197" s="1630"/>
      <c r="AK197" s="1630"/>
      <c r="AL197" s="1630"/>
      <c r="AM197" s="1630"/>
      <c r="AN197" s="1630"/>
      <c r="AO197" s="1630"/>
      <c r="AP197" s="1630"/>
      <c r="AQ197" s="1630"/>
      <c r="AR197" s="1630"/>
      <c r="AS197" s="1630"/>
      <c r="AT197" s="1630"/>
      <c r="AU197" s="1630"/>
      <c r="AV197" s="1630"/>
      <c r="AW197" s="1630"/>
      <c r="AX197" s="1630"/>
      <c r="AY197" s="1630"/>
      <c r="AZ197" s="1630"/>
      <c r="BA197" s="1630"/>
      <c r="BB197" s="1630"/>
      <c r="BC197" s="1630"/>
      <c r="BD197" s="1630"/>
      <c r="BE197" s="1630"/>
      <c r="BF197" s="1630"/>
      <c r="BG197" s="311"/>
      <c r="BI197" s="487"/>
      <c r="BJ197" s="252"/>
      <c r="BK197" s="1644" t="str">
        <f>+""</f>
        <v/>
      </c>
      <c r="BL197" s="1644"/>
      <c r="BM197" s="1644"/>
      <c r="BN197" s="1644"/>
      <c r="BO197" s="1644"/>
      <c r="BP197" s="1644"/>
      <c r="BQ197" s="1644"/>
      <c r="BR197" s="1644"/>
      <c r="BS197" s="1644"/>
      <c r="BT197" s="1644"/>
      <c r="BU197" s="1644"/>
      <c r="BV197" s="1644"/>
      <c r="BW197" s="252"/>
      <c r="BX197" s="1644" t="s">
        <v>722</v>
      </c>
      <c r="BY197" s="1644"/>
      <c r="BZ197" s="1644"/>
      <c r="CA197" s="1644"/>
      <c r="CB197" s="1644"/>
      <c r="CC197" s="1644"/>
      <c r="CD197" s="1644"/>
      <c r="CE197" s="1644"/>
      <c r="CF197" s="1644"/>
      <c r="CG197" s="1644"/>
      <c r="CH197" s="1644"/>
      <c r="CI197" s="1644"/>
      <c r="CJ197" s="252"/>
      <c r="CK197" s="1644" t="str">
        <f>+""</f>
        <v/>
      </c>
      <c r="CL197" s="1644"/>
      <c r="CM197" s="1644"/>
      <c r="CN197" s="1644"/>
      <c r="CO197" s="1644"/>
      <c r="CP197" s="1644"/>
      <c r="CQ197" s="1644"/>
      <c r="CR197" s="1644"/>
      <c r="CS197" s="1644"/>
      <c r="CT197" s="1644"/>
      <c r="CU197" s="1644"/>
      <c r="CV197" s="1644"/>
      <c r="CW197" s="252"/>
      <c r="CX197" s="1646" t="str">
        <f>+""</f>
        <v/>
      </c>
      <c r="CY197" s="1646"/>
      <c r="CZ197" s="1646"/>
      <c r="DA197" s="1646"/>
      <c r="DB197" s="1646"/>
      <c r="DC197" s="1646"/>
      <c r="DD197" s="1646"/>
      <c r="DE197" s="1646"/>
      <c r="DF197" s="1646"/>
      <c r="DG197" s="1646"/>
      <c r="DH197" s="1646"/>
      <c r="DI197" s="1646"/>
      <c r="DJ197" s="252"/>
      <c r="DK197" s="1646" t="str">
        <f>+""</f>
        <v/>
      </c>
      <c r="DL197" s="1646"/>
      <c r="DM197" s="1646"/>
      <c r="DN197" s="1646"/>
      <c r="DO197" s="1646"/>
      <c r="DP197" s="1646"/>
      <c r="DQ197" s="1646"/>
      <c r="DR197" s="1646"/>
      <c r="DS197" s="1646"/>
      <c r="DT197" s="1646"/>
      <c r="DU197" s="1646"/>
      <c r="DV197" s="1653"/>
    </row>
    <row r="198" spans="2:126" x14ac:dyDescent="0.15">
      <c r="B198" s="312"/>
      <c r="C198" s="1630"/>
      <c r="D198" s="1630"/>
      <c r="E198" s="1630"/>
      <c r="F198" s="1630"/>
      <c r="G198" s="1630"/>
      <c r="H198" s="1630"/>
      <c r="I198" s="1630"/>
      <c r="J198" s="1630"/>
      <c r="K198" s="1630"/>
      <c r="L198" s="1630"/>
      <c r="M198" s="1630"/>
      <c r="N198" s="1630"/>
      <c r="O198" s="1630"/>
      <c r="P198" s="1630"/>
      <c r="Q198" s="1630"/>
      <c r="R198" s="1630"/>
      <c r="S198" s="1630"/>
      <c r="T198" s="1630"/>
      <c r="U198" s="1630"/>
      <c r="V198" s="1630"/>
      <c r="W198" s="1630"/>
      <c r="X198" s="1630"/>
      <c r="Y198" s="1630"/>
      <c r="Z198" s="1630"/>
      <c r="AA198" s="1630"/>
      <c r="AB198" s="1630"/>
      <c r="AC198" s="1630"/>
      <c r="AD198" s="1630"/>
      <c r="AE198" s="1630"/>
      <c r="AF198" s="1630"/>
      <c r="AG198" s="1630"/>
      <c r="AH198" s="1630"/>
      <c r="AI198" s="1630"/>
      <c r="AJ198" s="1630"/>
      <c r="AK198" s="1630"/>
      <c r="AL198" s="1630"/>
      <c r="AM198" s="1630"/>
      <c r="AN198" s="1630"/>
      <c r="AO198" s="1630"/>
      <c r="AP198" s="1630"/>
      <c r="AQ198" s="1630"/>
      <c r="AR198" s="1630"/>
      <c r="AS198" s="1630"/>
      <c r="AT198" s="1630"/>
      <c r="AU198" s="1630"/>
      <c r="AV198" s="1630"/>
      <c r="AW198" s="1630"/>
      <c r="AX198" s="1630"/>
      <c r="AY198" s="1630"/>
      <c r="AZ198" s="1630"/>
      <c r="BA198" s="1630"/>
      <c r="BB198" s="1630"/>
      <c r="BC198" s="1630"/>
      <c r="BD198" s="1630"/>
      <c r="BE198" s="1630"/>
      <c r="BF198" s="1630"/>
      <c r="BG198" s="311"/>
      <c r="BI198" s="487"/>
      <c r="BJ198" s="252"/>
      <c r="BK198" s="1644" t="str">
        <f>+""</f>
        <v/>
      </c>
      <c r="BL198" s="1644"/>
      <c r="BM198" s="1644"/>
      <c r="BN198" s="1644"/>
      <c r="BO198" s="1644"/>
      <c r="BP198" s="1644"/>
      <c r="BQ198" s="1644"/>
      <c r="BR198" s="1644"/>
      <c r="BS198" s="1644"/>
      <c r="BT198" s="1644"/>
      <c r="BU198" s="1644"/>
      <c r="BV198" s="1644"/>
      <c r="BW198" s="252"/>
      <c r="BX198" s="1644" t="s">
        <v>723</v>
      </c>
      <c r="BY198" s="1644"/>
      <c r="BZ198" s="1644"/>
      <c r="CA198" s="1644"/>
      <c r="CB198" s="1644"/>
      <c r="CC198" s="1644"/>
      <c r="CD198" s="1644"/>
      <c r="CE198" s="1644"/>
      <c r="CF198" s="1644"/>
      <c r="CG198" s="1644"/>
      <c r="CH198" s="1644"/>
      <c r="CI198" s="1644"/>
      <c r="CJ198" s="252"/>
      <c r="CK198" s="1644" t="str">
        <f>+""</f>
        <v/>
      </c>
      <c r="CL198" s="1644"/>
      <c r="CM198" s="1644"/>
      <c r="CN198" s="1644"/>
      <c r="CO198" s="1644"/>
      <c r="CP198" s="1644"/>
      <c r="CQ198" s="1644"/>
      <c r="CR198" s="1644"/>
      <c r="CS198" s="1644"/>
      <c r="CT198" s="1644"/>
      <c r="CU198" s="1644"/>
      <c r="CV198" s="1644"/>
      <c r="CW198" s="252"/>
      <c r="CX198" s="1646" t="str">
        <f>+""</f>
        <v/>
      </c>
      <c r="CY198" s="1646"/>
      <c r="CZ198" s="1646"/>
      <c r="DA198" s="1646"/>
      <c r="DB198" s="1646"/>
      <c r="DC198" s="1646"/>
      <c r="DD198" s="1646"/>
      <c r="DE198" s="1646"/>
      <c r="DF198" s="1646"/>
      <c r="DG198" s="1646"/>
      <c r="DH198" s="1646"/>
      <c r="DI198" s="1646"/>
      <c r="DJ198" s="252"/>
      <c r="DK198" s="1646" t="str">
        <f>+""</f>
        <v/>
      </c>
      <c r="DL198" s="1646"/>
      <c r="DM198" s="1646"/>
      <c r="DN198" s="1646"/>
      <c r="DO198" s="1646"/>
      <c r="DP198" s="1646"/>
      <c r="DQ198" s="1646"/>
      <c r="DR198" s="1646"/>
      <c r="DS198" s="1646"/>
      <c r="DT198" s="1646"/>
      <c r="DU198" s="1646"/>
      <c r="DV198" s="1653"/>
    </row>
    <row r="199" spans="2:126" x14ac:dyDescent="0.15">
      <c r="B199" s="312"/>
      <c r="C199" s="1630"/>
      <c r="D199" s="1630"/>
      <c r="E199" s="1630"/>
      <c r="F199" s="1630"/>
      <c r="G199" s="1630"/>
      <c r="H199" s="1630"/>
      <c r="I199" s="1630"/>
      <c r="J199" s="1630"/>
      <c r="K199" s="1630"/>
      <c r="L199" s="1630"/>
      <c r="M199" s="1630"/>
      <c r="N199" s="1630"/>
      <c r="O199" s="1630"/>
      <c r="P199" s="1630"/>
      <c r="Q199" s="1630"/>
      <c r="R199" s="1630"/>
      <c r="S199" s="1630"/>
      <c r="T199" s="1630"/>
      <c r="U199" s="1630"/>
      <c r="V199" s="1630"/>
      <c r="W199" s="1630"/>
      <c r="X199" s="1630"/>
      <c r="Y199" s="1630"/>
      <c r="Z199" s="1630"/>
      <c r="AA199" s="1630"/>
      <c r="AB199" s="1630"/>
      <c r="AC199" s="1630"/>
      <c r="AD199" s="1630"/>
      <c r="AE199" s="1630"/>
      <c r="AF199" s="1630"/>
      <c r="AG199" s="1630"/>
      <c r="AH199" s="1630"/>
      <c r="AI199" s="1630"/>
      <c r="AJ199" s="1630"/>
      <c r="AK199" s="1630"/>
      <c r="AL199" s="1630"/>
      <c r="AM199" s="1630"/>
      <c r="AN199" s="1630"/>
      <c r="AO199" s="1630"/>
      <c r="AP199" s="1630"/>
      <c r="AQ199" s="1630"/>
      <c r="AR199" s="1630"/>
      <c r="AS199" s="1630"/>
      <c r="AT199" s="1630"/>
      <c r="AU199" s="1630"/>
      <c r="AV199" s="1630"/>
      <c r="AW199" s="1630"/>
      <c r="AX199" s="1630"/>
      <c r="AY199" s="1630"/>
      <c r="AZ199" s="1630"/>
      <c r="BA199" s="1630"/>
      <c r="BB199" s="1630"/>
      <c r="BC199" s="1630"/>
      <c r="BD199" s="1630"/>
      <c r="BE199" s="1630"/>
      <c r="BF199" s="1630"/>
      <c r="BG199" s="311"/>
      <c r="BI199" s="487"/>
      <c r="BJ199" s="252"/>
      <c r="BK199" s="1644" t="str">
        <f>+""</f>
        <v/>
      </c>
      <c r="BL199" s="1644"/>
      <c r="BM199" s="1644"/>
      <c r="BN199" s="1644"/>
      <c r="BO199" s="1644"/>
      <c r="BP199" s="1644"/>
      <c r="BQ199" s="1644"/>
      <c r="BR199" s="1644"/>
      <c r="BS199" s="1644"/>
      <c r="BT199" s="1644"/>
      <c r="BU199" s="1644"/>
      <c r="BV199" s="1644"/>
      <c r="BW199" s="252"/>
      <c r="BX199" s="1644" t="s">
        <v>724</v>
      </c>
      <c r="BY199" s="1644"/>
      <c r="BZ199" s="1644"/>
      <c r="CA199" s="1644"/>
      <c r="CB199" s="1644"/>
      <c r="CC199" s="1644"/>
      <c r="CD199" s="1644"/>
      <c r="CE199" s="1644"/>
      <c r="CF199" s="1644"/>
      <c r="CG199" s="1644"/>
      <c r="CH199" s="1644"/>
      <c r="CI199" s="1644"/>
      <c r="CJ199" s="252"/>
      <c r="CK199" s="1644" t="str">
        <f>+""</f>
        <v/>
      </c>
      <c r="CL199" s="1644"/>
      <c r="CM199" s="1644"/>
      <c r="CN199" s="1644"/>
      <c r="CO199" s="1644"/>
      <c r="CP199" s="1644"/>
      <c r="CQ199" s="1644"/>
      <c r="CR199" s="1644"/>
      <c r="CS199" s="1644"/>
      <c r="CT199" s="1644"/>
      <c r="CU199" s="1644"/>
      <c r="CV199" s="1644"/>
      <c r="CW199" s="252"/>
      <c r="CX199" s="1646" t="str">
        <f>+""</f>
        <v/>
      </c>
      <c r="CY199" s="1646"/>
      <c r="CZ199" s="1646"/>
      <c r="DA199" s="1646"/>
      <c r="DB199" s="1646"/>
      <c r="DC199" s="1646"/>
      <c r="DD199" s="1646"/>
      <c r="DE199" s="1646"/>
      <c r="DF199" s="1646"/>
      <c r="DG199" s="1646"/>
      <c r="DH199" s="1646"/>
      <c r="DI199" s="1646"/>
      <c r="DJ199" s="252"/>
      <c r="DK199" s="1646" t="str">
        <f>+""</f>
        <v/>
      </c>
      <c r="DL199" s="1646"/>
      <c r="DM199" s="1646"/>
      <c r="DN199" s="1646"/>
      <c r="DO199" s="1646"/>
      <c r="DP199" s="1646"/>
      <c r="DQ199" s="1646"/>
      <c r="DR199" s="1646"/>
      <c r="DS199" s="1646"/>
      <c r="DT199" s="1646"/>
      <c r="DU199" s="1646"/>
      <c r="DV199" s="1653"/>
    </row>
    <row r="200" spans="2:126" x14ac:dyDescent="0.15">
      <c r="B200" s="312"/>
      <c r="C200" s="1630"/>
      <c r="D200" s="1630"/>
      <c r="E200" s="1630"/>
      <c r="F200" s="1630"/>
      <c r="G200" s="1630"/>
      <c r="H200" s="1630"/>
      <c r="I200" s="1630"/>
      <c r="J200" s="1630"/>
      <c r="K200" s="1630"/>
      <c r="L200" s="1630"/>
      <c r="M200" s="1630"/>
      <c r="N200" s="1630"/>
      <c r="O200" s="1630"/>
      <c r="P200" s="1630"/>
      <c r="Q200" s="1630"/>
      <c r="R200" s="1630"/>
      <c r="S200" s="1630"/>
      <c r="T200" s="1630"/>
      <c r="U200" s="1630"/>
      <c r="V200" s="1630"/>
      <c r="W200" s="1630"/>
      <c r="X200" s="1630"/>
      <c r="Y200" s="1630"/>
      <c r="Z200" s="1630"/>
      <c r="AA200" s="1630"/>
      <c r="AB200" s="1630"/>
      <c r="AC200" s="1630"/>
      <c r="AD200" s="1630"/>
      <c r="AE200" s="1630"/>
      <c r="AF200" s="1630"/>
      <c r="AG200" s="1630"/>
      <c r="AH200" s="1630"/>
      <c r="AI200" s="1630"/>
      <c r="AJ200" s="1630"/>
      <c r="AK200" s="1630"/>
      <c r="AL200" s="1630"/>
      <c r="AM200" s="1630"/>
      <c r="AN200" s="1630"/>
      <c r="AO200" s="1630"/>
      <c r="AP200" s="1630"/>
      <c r="AQ200" s="1630"/>
      <c r="AR200" s="1630"/>
      <c r="AS200" s="1630"/>
      <c r="AT200" s="1630"/>
      <c r="AU200" s="1630"/>
      <c r="AV200" s="1630"/>
      <c r="AW200" s="1630"/>
      <c r="AX200" s="1630"/>
      <c r="AY200" s="1630"/>
      <c r="AZ200" s="1630"/>
      <c r="BA200" s="1630"/>
      <c r="BB200" s="1630"/>
      <c r="BC200" s="1630"/>
      <c r="BD200" s="1630"/>
      <c r="BE200" s="1630"/>
      <c r="BF200" s="1630"/>
      <c r="BG200" s="311"/>
      <c r="BI200" s="487"/>
      <c r="BJ200" s="252"/>
      <c r="BK200" s="1644" t="str">
        <f>+""</f>
        <v/>
      </c>
      <c r="BL200" s="1644"/>
      <c r="BM200" s="1644"/>
      <c r="BN200" s="1644"/>
      <c r="BO200" s="1644"/>
      <c r="BP200" s="1644"/>
      <c r="BQ200" s="1644"/>
      <c r="BR200" s="1644"/>
      <c r="BS200" s="1644"/>
      <c r="BT200" s="1644"/>
      <c r="BU200" s="1644"/>
      <c r="BV200" s="1644"/>
      <c r="BW200" s="252"/>
      <c r="BX200" s="1644" t="s">
        <v>725</v>
      </c>
      <c r="BY200" s="1644"/>
      <c r="BZ200" s="1644"/>
      <c r="CA200" s="1644"/>
      <c r="CB200" s="1644"/>
      <c r="CC200" s="1644"/>
      <c r="CD200" s="1644"/>
      <c r="CE200" s="1644"/>
      <c r="CF200" s="1644"/>
      <c r="CG200" s="1644"/>
      <c r="CH200" s="1644"/>
      <c r="CI200" s="1644"/>
      <c r="CJ200" s="252"/>
      <c r="CK200" s="1644" t="str">
        <f>+""</f>
        <v/>
      </c>
      <c r="CL200" s="1644"/>
      <c r="CM200" s="1644"/>
      <c r="CN200" s="1644"/>
      <c r="CO200" s="1644"/>
      <c r="CP200" s="1644"/>
      <c r="CQ200" s="1644"/>
      <c r="CR200" s="1644"/>
      <c r="CS200" s="1644"/>
      <c r="CT200" s="1644"/>
      <c r="CU200" s="1644"/>
      <c r="CV200" s="1644"/>
      <c r="CW200" s="252"/>
      <c r="CX200" s="1646" t="str">
        <f>+""</f>
        <v/>
      </c>
      <c r="CY200" s="1646"/>
      <c r="CZ200" s="1646"/>
      <c r="DA200" s="1646"/>
      <c r="DB200" s="1646"/>
      <c r="DC200" s="1646"/>
      <c r="DD200" s="1646"/>
      <c r="DE200" s="1646"/>
      <c r="DF200" s="1646"/>
      <c r="DG200" s="1646"/>
      <c r="DH200" s="1646"/>
      <c r="DI200" s="1646"/>
      <c r="DJ200" s="252"/>
      <c r="DK200" s="1646" t="str">
        <f>+""</f>
        <v/>
      </c>
      <c r="DL200" s="1646"/>
      <c r="DM200" s="1646"/>
      <c r="DN200" s="1646"/>
      <c r="DO200" s="1646"/>
      <c r="DP200" s="1646"/>
      <c r="DQ200" s="1646"/>
      <c r="DR200" s="1646"/>
      <c r="DS200" s="1646"/>
      <c r="DT200" s="1646"/>
      <c r="DU200" s="1646"/>
      <c r="DV200" s="1653"/>
    </row>
    <row r="201" spans="2:126" x14ac:dyDescent="0.15">
      <c r="B201" s="312"/>
      <c r="C201" s="1630"/>
      <c r="D201" s="1630"/>
      <c r="E201" s="1630"/>
      <c r="F201" s="1630"/>
      <c r="G201" s="1630"/>
      <c r="H201" s="1630"/>
      <c r="I201" s="1630"/>
      <c r="J201" s="1630"/>
      <c r="K201" s="1630"/>
      <c r="L201" s="1630"/>
      <c r="M201" s="1630"/>
      <c r="N201" s="1630"/>
      <c r="O201" s="1630"/>
      <c r="P201" s="1630"/>
      <c r="Q201" s="1630"/>
      <c r="R201" s="1630"/>
      <c r="S201" s="1630"/>
      <c r="T201" s="1630"/>
      <c r="U201" s="1630"/>
      <c r="V201" s="1630"/>
      <c r="W201" s="1630"/>
      <c r="X201" s="1630"/>
      <c r="Y201" s="1630"/>
      <c r="Z201" s="1630"/>
      <c r="AA201" s="1630"/>
      <c r="AB201" s="1630"/>
      <c r="AC201" s="1630"/>
      <c r="AD201" s="1630"/>
      <c r="AE201" s="1630"/>
      <c r="AF201" s="1630"/>
      <c r="AG201" s="1630"/>
      <c r="AH201" s="1630"/>
      <c r="AI201" s="1630"/>
      <c r="AJ201" s="1630"/>
      <c r="AK201" s="1630"/>
      <c r="AL201" s="1630"/>
      <c r="AM201" s="1630"/>
      <c r="AN201" s="1630"/>
      <c r="AO201" s="1630"/>
      <c r="AP201" s="1630"/>
      <c r="AQ201" s="1630"/>
      <c r="AR201" s="1630"/>
      <c r="AS201" s="1630"/>
      <c r="AT201" s="1630"/>
      <c r="AU201" s="1630"/>
      <c r="AV201" s="1630"/>
      <c r="AW201" s="1630"/>
      <c r="AX201" s="1630"/>
      <c r="AY201" s="1630"/>
      <c r="AZ201" s="1630"/>
      <c r="BA201" s="1630"/>
      <c r="BB201" s="1630"/>
      <c r="BC201" s="1630"/>
      <c r="BD201" s="1630"/>
      <c r="BE201" s="1630"/>
      <c r="BF201" s="1630"/>
      <c r="BG201" s="311"/>
      <c r="BI201" s="487"/>
      <c r="BJ201" s="252"/>
      <c r="BK201" s="1644" t="str">
        <f>+""</f>
        <v/>
      </c>
      <c r="BL201" s="1644"/>
      <c r="BM201" s="1644"/>
      <c r="BN201" s="1644"/>
      <c r="BO201" s="1644"/>
      <c r="BP201" s="1644"/>
      <c r="BQ201" s="1644"/>
      <c r="BR201" s="1644"/>
      <c r="BS201" s="1644"/>
      <c r="BT201" s="1644"/>
      <c r="BU201" s="1644"/>
      <c r="BV201" s="1644"/>
      <c r="BW201" s="252"/>
      <c r="BX201" s="1644" t="s">
        <v>726</v>
      </c>
      <c r="BY201" s="1644"/>
      <c r="BZ201" s="1644"/>
      <c r="CA201" s="1644"/>
      <c r="CB201" s="1644"/>
      <c r="CC201" s="1644"/>
      <c r="CD201" s="1644"/>
      <c r="CE201" s="1644"/>
      <c r="CF201" s="1644"/>
      <c r="CG201" s="1644"/>
      <c r="CH201" s="1644"/>
      <c r="CI201" s="1644"/>
      <c r="CJ201" s="252"/>
      <c r="CK201" s="1644" t="str">
        <f>+""</f>
        <v/>
      </c>
      <c r="CL201" s="1644"/>
      <c r="CM201" s="1644"/>
      <c r="CN201" s="1644"/>
      <c r="CO201" s="1644"/>
      <c r="CP201" s="1644"/>
      <c r="CQ201" s="1644"/>
      <c r="CR201" s="1644"/>
      <c r="CS201" s="1644"/>
      <c r="CT201" s="1644"/>
      <c r="CU201" s="1644"/>
      <c r="CV201" s="1644"/>
      <c r="CW201" s="252"/>
      <c r="CX201" s="1646" t="str">
        <f>+""</f>
        <v/>
      </c>
      <c r="CY201" s="1646"/>
      <c r="CZ201" s="1646"/>
      <c r="DA201" s="1646"/>
      <c r="DB201" s="1646"/>
      <c r="DC201" s="1646"/>
      <c r="DD201" s="1646"/>
      <c r="DE201" s="1646"/>
      <c r="DF201" s="1646"/>
      <c r="DG201" s="1646"/>
      <c r="DH201" s="1646"/>
      <c r="DI201" s="1646"/>
      <c r="DJ201" s="252"/>
      <c r="DK201" s="1646" t="str">
        <f>+""</f>
        <v/>
      </c>
      <c r="DL201" s="1646"/>
      <c r="DM201" s="1646"/>
      <c r="DN201" s="1646"/>
      <c r="DO201" s="1646"/>
      <c r="DP201" s="1646"/>
      <c r="DQ201" s="1646"/>
      <c r="DR201" s="1646"/>
      <c r="DS201" s="1646"/>
      <c r="DT201" s="1646"/>
      <c r="DU201" s="1646"/>
      <c r="DV201" s="1653"/>
    </row>
    <row r="202" spans="2:126" ht="28.5" customHeight="1" x14ac:dyDescent="0.15">
      <c r="B202" s="312"/>
      <c r="C202" s="1623" t="s">
        <v>785</v>
      </c>
      <c r="D202" s="1623"/>
      <c r="E202" s="1623"/>
      <c r="F202" s="1623"/>
      <c r="G202" s="1623"/>
      <c r="H202" s="1623"/>
      <c r="I202" s="1623"/>
      <c r="J202" s="1623"/>
      <c r="K202" s="1623"/>
      <c r="L202" s="1623"/>
      <c r="M202" s="1623"/>
      <c r="N202" s="1623"/>
      <c r="O202" s="1623"/>
      <c r="P202" s="1623"/>
      <c r="Q202" s="1623"/>
      <c r="R202" s="1623"/>
      <c r="S202" s="1623"/>
      <c r="T202" s="1623"/>
      <c r="U202" s="1623"/>
      <c r="V202" s="1623"/>
      <c r="W202" s="1623"/>
      <c r="X202" s="1623"/>
      <c r="Y202" s="1623"/>
      <c r="Z202" s="1623"/>
      <c r="AA202" s="1623"/>
      <c r="AB202" s="1623"/>
      <c r="AC202" s="1623"/>
      <c r="AD202" s="1623"/>
      <c r="AE202" s="1623"/>
      <c r="AF202" s="1623"/>
      <c r="AG202" s="1623"/>
      <c r="AH202" s="1623"/>
      <c r="AI202" s="1623"/>
      <c r="AJ202" s="1623"/>
      <c r="AK202" s="1623"/>
      <c r="AL202" s="1623"/>
      <c r="AM202" s="1623"/>
      <c r="AN202" s="1623"/>
      <c r="AO202" s="1623"/>
      <c r="AP202" s="1623"/>
      <c r="AQ202" s="1623"/>
      <c r="AR202" s="1623"/>
      <c r="AS202" s="1623"/>
      <c r="AT202" s="1623"/>
      <c r="AU202" s="1623"/>
      <c r="AV202" s="1623"/>
      <c r="AW202" s="1623"/>
      <c r="AX202" s="1623"/>
      <c r="AY202" s="1623"/>
      <c r="AZ202" s="1623"/>
      <c r="BA202" s="1623"/>
      <c r="BB202" s="1623"/>
      <c r="BC202" s="1623"/>
      <c r="BD202" s="1623"/>
      <c r="BE202" s="1623"/>
      <c r="BF202" s="1623"/>
      <c r="BG202" s="311"/>
      <c r="BI202" s="487"/>
      <c r="BJ202" s="252"/>
      <c r="BK202" s="252"/>
      <c r="BL202" s="252"/>
      <c r="BM202" s="252"/>
      <c r="BN202" s="252"/>
      <c r="BO202" s="252"/>
      <c r="BP202" s="252"/>
      <c r="BQ202" s="252"/>
      <c r="BR202" s="252"/>
      <c r="BS202" s="252"/>
      <c r="BT202" s="252"/>
      <c r="BU202" s="252"/>
      <c r="BV202" s="252"/>
      <c r="BW202" s="252"/>
      <c r="BX202" s="1163"/>
      <c r="BY202" s="1163"/>
      <c r="BZ202" s="1163"/>
      <c r="CA202" s="1163"/>
      <c r="CB202" s="1163"/>
      <c r="CC202" s="1163"/>
      <c r="CD202" s="1163"/>
      <c r="CE202" s="1163"/>
      <c r="CF202" s="1163"/>
      <c r="CG202" s="1163"/>
      <c r="CH202" s="1163"/>
      <c r="CI202" s="1163"/>
      <c r="CJ202" s="252"/>
      <c r="CK202" s="252"/>
      <c r="CL202" s="252"/>
      <c r="CM202" s="252"/>
      <c r="CN202" s="252"/>
      <c r="CO202" s="252"/>
      <c r="CP202" s="252"/>
      <c r="CQ202" s="252"/>
      <c r="CR202" s="252"/>
      <c r="CS202" s="252"/>
      <c r="CT202" s="252"/>
      <c r="CU202" s="252"/>
      <c r="CV202" s="252"/>
      <c r="CW202" s="252"/>
      <c r="CX202" s="252"/>
      <c r="CY202" s="252"/>
      <c r="CZ202" s="252"/>
      <c r="DA202" s="252"/>
      <c r="DB202" s="252"/>
      <c r="DC202" s="252"/>
      <c r="DD202" s="252"/>
      <c r="DE202" s="252"/>
      <c r="DF202" s="252"/>
      <c r="DG202" s="252"/>
      <c r="DH202" s="252"/>
      <c r="DI202" s="252"/>
      <c r="DJ202" s="252"/>
      <c r="DK202" s="252"/>
      <c r="DL202" s="252"/>
      <c r="DM202" s="252"/>
      <c r="DN202" s="252"/>
      <c r="DO202" s="252"/>
      <c r="DP202" s="252"/>
      <c r="DQ202" s="252"/>
      <c r="DR202" s="252"/>
      <c r="DS202" s="252"/>
      <c r="DT202" s="252"/>
      <c r="DU202" s="252"/>
      <c r="DV202" s="488"/>
    </row>
    <row r="203" spans="2:126" x14ac:dyDescent="0.15">
      <c r="B203" s="312"/>
      <c r="C203" s="1634"/>
      <c r="D203" s="1634"/>
      <c r="E203" s="1634"/>
      <c r="F203" s="1634"/>
      <c r="G203" s="1634"/>
      <c r="H203" s="1634"/>
      <c r="I203" s="1634"/>
      <c r="J203" s="1634"/>
      <c r="K203" s="1634"/>
      <c r="L203" s="1634"/>
      <c r="M203" s="1634"/>
      <c r="N203" s="1634"/>
      <c r="O203" s="1634"/>
      <c r="P203" s="1634"/>
      <c r="Q203" s="1634"/>
      <c r="R203" s="1634"/>
      <c r="S203" s="1634"/>
      <c r="T203" s="1634"/>
      <c r="U203" s="1634"/>
      <c r="V203" s="1634"/>
      <c r="W203" s="1634"/>
      <c r="X203" s="1634"/>
      <c r="Y203" s="1634"/>
      <c r="Z203" s="1634"/>
      <c r="AA203" s="1634"/>
      <c r="AB203" s="1634"/>
      <c r="AC203" s="1634"/>
      <c r="AD203" s="1634"/>
      <c r="AE203" s="1634"/>
      <c r="AF203" s="1634"/>
      <c r="AG203" s="1634"/>
      <c r="AH203" s="1634"/>
      <c r="AI203" s="1634"/>
      <c r="AJ203" s="1634"/>
      <c r="AK203" s="1634"/>
      <c r="AL203" s="1634"/>
      <c r="AM203" s="1634"/>
      <c r="AN203" s="1634"/>
      <c r="AO203" s="1634"/>
      <c r="AP203" s="1634"/>
      <c r="AQ203" s="1634"/>
      <c r="AR203" s="1634"/>
      <c r="AS203" s="1634"/>
      <c r="AT203" s="1634"/>
      <c r="AU203" s="1634"/>
      <c r="AV203" s="1634"/>
      <c r="AW203" s="1634"/>
      <c r="AX203" s="1634"/>
      <c r="AY203" s="1634"/>
      <c r="AZ203" s="1634"/>
      <c r="BA203" s="1634"/>
      <c r="BB203" s="1634"/>
      <c r="BC203" s="1634"/>
      <c r="BD203" s="1634"/>
      <c r="BE203" s="1634"/>
      <c r="BF203" s="1634"/>
      <c r="BG203" s="311"/>
      <c r="BI203" s="487"/>
      <c r="BJ203" s="252"/>
      <c r="BK203" s="252"/>
      <c r="BL203" s="252"/>
      <c r="BM203" s="252"/>
      <c r="BN203" s="252"/>
      <c r="BO203" s="252"/>
      <c r="BP203" s="252"/>
      <c r="BQ203" s="252"/>
      <c r="BR203" s="252"/>
      <c r="BS203" s="252"/>
      <c r="BT203" s="252"/>
      <c r="BU203" s="252"/>
      <c r="BV203" s="252"/>
      <c r="BW203" s="252"/>
      <c r="BX203" s="1163"/>
      <c r="BY203" s="1163"/>
      <c r="BZ203" s="1163"/>
      <c r="CA203" s="1163"/>
      <c r="CB203" s="1163"/>
      <c r="CC203" s="1163"/>
      <c r="CD203" s="1163"/>
      <c r="CE203" s="1163"/>
      <c r="CF203" s="1163"/>
      <c r="CG203" s="1163"/>
      <c r="CH203" s="1163"/>
      <c r="CI203" s="1163"/>
      <c r="CJ203" s="252"/>
      <c r="CK203" s="252"/>
      <c r="CL203" s="252"/>
      <c r="CM203" s="252"/>
      <c r="CN203" s="252"/>
      <c r="CO203" s="252"/>
      <c r="CP203" s="252"/>
      <c r="CQ203" s="252"/>
      <c r="CR203" s="252"/>
      <c r="CS203" s="252"/>
      <c r="CT203" s="252"/>
      <c r="CU203" s="252"/>
      <c r="CV203" s="252"/>
      <c r="CW203" s="252"/>
      <c r="CX203" s="252"/>
      <c r="CY203" s="252"/>
      <c r="CZ203" s="252"/>
      <c r="DA203" s="252"/>
      <c r="DB203" s="252"/>
      <c r="DC203" s="252"/>
      <c r="DD203" s="252"/>
      <c r="DE203" s="252"/>
      <c r="DF203" s="252"/>
      <c r="DG203" s="252"/>
      <c r="DH203" s="252"/>
      <c r="DI203" s="252"/>
      <c r="DJ203" s="252"/>
      <c r="DK203" s="252"/>
      <c r="DL203" s="252"/>
      <c r="DM203" s="252"/>
      <c r="DN203" s="252"/>
      <c r="DO203" s="252"/>
      <c r="DP203" s="252"/>
      <c r="DQ203" s="252"/>
      <c r="DR203" s="252"/>
      <c r="DS203" s="252"/>
      <c r="DT203" s="252"/>
      <c r="DU203" s="252"/>
      <c r="DV203" s="488"/>
    </row>
    <row r="204" spans="2:126" x14ac:dyDescent="0.15">
      <c r="B204" s="312"/>
      <c r="C204" s="1633" t="s">
        <v>786</v>
      </c>
      <c r="D204" s="1633"/>
      <c r="E204" s="1633"/>
      <c r="F204" s="1633"/>
      <c r="G204" s="1633"/>
      <c r="H204" s="1633"/>
      <c r="I204" s="1633"/>
      <c r="J204" s="1633"/>
      <c r="K204" s="1633"/>
      <c r="L204" s="1633"/>
      <c r="M204" s="1633"/>
      <c r="N204" s="1633"/>
      <c r="O204" s="1633"/>
      <c r="P204" s="1633"/>
      <c r="Q204" s="1633"/>
      <c r="R204" s="1633"/>
      <c r="S204" s="1633"/>
      <c r="T204" s="1633"/>
      <c r="U204" s="1633"/>
      <c r="V204" s="1633"/>
      <c r="W204" s="1633"/>
      <c r="X204" s="1633"/>
      <c r="Y204" s="1633"/>
      <c r="Z204" s="1633"/>
      <c r="AA204" s="1633"/>
      <c r="AB204" s="1633"/>
      <c r="AC204" s="1633"/>
      <c r="AD204" s="1633"/>
      <c r="AE204" s="1633"/>
      <c r="AF204" s="1633"/>
      <c r="AG204" s="1633"/>
      <c r="AH204" s="1633"/>
      <c r="AI204" s="1633"/>
      <c r="AJ204" s="1633"/>
      <c r="AK204" s="1633"/>
      <c r="AL204" s="1633"/>
      <c r="AM204" s="1633"/>
      <c r="AN204" s="1633"/>
      <c r="AO204" s="1633"/>
      <c r="AP204" s="1633"/>
      <c r="AQ204" s="1633"/>
      <c r="AR204" s="1633"/>
      <c r="AS204" s="1633"/>
      <c r="AT204" s="1633"/>
      <c r="AU204" s="1633"/>
      <c r="AV204" s="1633"/>
      <c r="AW204" s="1633"/>
      <c r="AX204" s="1633"/>
      <c r="AY204" s="1633"/>
      <c r="AZ204" s="1633"/>
      <c r="BA204" s="1633"/>
      <c r="BB204" s="1633"/>
      <c r="BC204" s="1633"/>
      <c r="BD204" s="1633"/>
      <c r="BE204" s="1633"/>
      <c r="BF204" s="1633"/>
      <c r="BG204" s="311"/>
      <c r="BI204" s="487"/>
      <c r="BJ204" s="252"/>
      <c r="BK204" s="252"/>
      <c r="BL204" s="252"/>
      <c r="BM204" s="252"/>
      <c r="BN204" s="252"/>
      <c r="BO204" s="252"/>
      <c r="BP204" s="252"/>
      <c r="BQ204" s="252"/>
      <c r="BR204" s="252"/>
      <c r="BS204" s="252"/>
      <c r="BT204" s="252"/>
      <c r="BU204" s="252"/>
      <c r="BV204" s="252"/>
      <c r="BW204" s="252"/>
      <c r="BX204" s="1163"/>
      <c r="BY204" s="1163"/>
      <c r="BZ204" s="1163"/>
      <c r="CA204" s="1163"/>
      <c r="CB204" s="1163"/>
      <c r="CC204" s="1163"/>
      <c r="CD204" s="1163"/>
      <c r="CE204" s="1163"/>
      <c r="CF204" s="1163"/>
      <c r="CG204" s="1163"/>
      <c r="CH204" s="1163"/>
      <c r="CI204" s="1163"/>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c r="DM204" s="252"/>
      <c r="DN204" s="252"/>
      <c r="DO204" s="252"/>
      <c r="DP204" s="252"/>
      <c r="DQ204" s="252"/>
      <c r="DR204" s="252"/>
      <c r="DS204" s="252"/>
      <c r="DT204" s="252"/>
      <c r="DU204" s="252"/>
      <c r="DV204" s="488"/>
    </row>
    <row r="205" spans="2:126" x14ac:dyDescent="0.15">
      <c r="B205" s="312"/>
      <c r="C205" s="1622" t="s">
        <v>870</v>
      </c>
      <c r="D205" s="1622"/>
      <c r="E205" s="1622"/>
      <c r="F205" s="1622"/>
      <c r="G205" s="1622"/>
      <c r="H205" s="1622"/>
      <c r="I205" s="1622"/>
      <c r="J205" s="1622"/>
      <c r="K205" s="1622"/>
      <c r="L205" s="1622"/>
      <c r="M205" s="1622"/>
      <c r="N205" s="1622"/>
      <c r="O205" s="1622"/>
      <c r="P205" s="1622"/>
      <c r="Q205" s="1622"/>
      <c r="R205" s="1622"/>
      <c r="S205" s="1622"/>
      <c r="T205" s="1622"/>
      <c r="U205" s="1622"/>
      <c r="V205" s="1622"/>
      <c r="W205" s="1622"/>
      <c r="X205" s="1622"/>
      <c r="Y205" s="1622"/>
      <c r="Z205" s="1622"/>
      <c r="AA205" s="1622"/>
      <c r="AB205" s="1622"/>
      <c r="AC205" s="1622"/>
      <c r="AD205" s="1622"/>
      <c r="AE205" s="1622"/>
      <c r="AF205" s="1622"/>
      <c r="AG205" s="1622"/>
      <c r="AH205" s="1622"/>
      <c r="AI205" s="1622"/>
      <c r="AJ205" s="1622"/>
      <c r="AK205" s="1622"/>
      <c r="AL205" s="1622"/>
      <c r="AM205" s="1622"/>
      <c r="AN205" s="1622"/>
      <c r="AO205" s="1622"/>
      <c r="AP205" s="1622"/>
      <c r="AQ205" s="1622"/>
      <c r="AR205" s="1622"/>
      <c r="AS205" s="1622"/>
      <c r="AT205" s="1622"/>
      <c r="AU205" s="1622"/>
      <c r="AV205" s="1622"/>
      <c r="AW205" s="1622"/>
      <c r="AX205" s="1622"/>
      <c r="AY205" s="1622"/>
      <c r="AZ205" s="1622"/>
      <c r="BA205" s="1622"/>
      <c r="BB205" s="1622"/>
      <c r="BC205" s="1622"/>
      <c r="BD205" s="1622"/>
      <c r="BE205" s="1622"/>
      <c r="BF205" s="1622"/>
      <c r="BG205" s="311"/>
      <c r="BI205" s="487"/>
      <c r="BJ205" s="252"/>
      <c r="BK205" s="252"/>
      <c r="BL205" s="252"/>
      <c r="BM205" s="252"/>
      <c r="BN205" s="252"/>
      <c r="BO205" s="252"/>
      <c r="BP205" s="252"/>
      <c r="BQ205" s="252"/>
      <c r="BR205" s="252"/>
      <c r="BS205" s="252"/>
      <c r="BT205" s="252"/>
      <c r="BU205" s="252"/>
      <c r="BV205" s="252"/>
      <c r="BW205" s="252"/>
      <c r="BX205" s="1163"/>
      <c r="BY205" s="1163"/>
      <c r="BZ205" s="1163"/>
      <c r="CA205" s="1163"/>
      <c r="CB205" s="1163"/>
      <c r="CC205" s="1163"/>
      <c r="CD205" s="1163"/>
      <c r="CE205" s="1163"/>
      <c r="CF205" s="1163"/>
      <c r="CG205" s="1163"/>
      <c r="CH205" s="1163"/>
      <c r="CI205" s="1163"/>
      <c r="CJ205" s="252"/>
      <c r="CK205" s="252"/>
      <c r="CL205" s="252"/>
      <c r="CM205" s="252"/>
      <c r="CN205" s="252"/>
      <c r="CO205" s="252"/>
      <c r="CP205" s="252"/>
      <c r="CQ205" s="252"/>
      <c r="CR205" s="252"/>
      <c r="CS205" s="252"/>
      <c r="CT205" s="252"/>
      <c r="CU205" s="252"/>
      <c r="CV205" s="252"/>
      <c r="CW205" s="252"/>
      <c r="CX205" s="252"/>
      <c r="CY205" s="252"/>
      <c r="CZ205" s="252"/>
      <c r="DA205" s="252"/>
      <c r="DB205" s="252"/>
      <c r="DC205" s="252"/>
      <c r="DD205" s="252"/>
      <c r="DE205" s="252"/>
      <c r="DF205" s="252"/>
      <c r="DG205" s="252"/>
      <c r="DH205" s="252"/>
      <c r="DI205" s="252"/>
      <c r="DJ205" s="252"/>
      <c r="DK205" s="252"/>
      <c r="DL205" s="252"/>
      <c r="DM205" s="252"/>
      <c r="DN205" s="252"/>
      <c r="DO205" s="252"/>
      <c r="DP205" s="252"/>
      <c r="DQ205" s="252"/>
      <c r="DR205" s="252"/>
      <c r="DS205" s="252"/>
      <c r="DT205" s="252"/>
      <c r="DU205" s="252"/>
      <c r="DV205" s="488"/>
    </row>
    <row r="206" spans="2:126" x14ac:dyDescent="0.15">
      <c r="B206" s="312"/>
      <c r="C206" s="1622" t="s">
        <v>788</v>
      </c>
      <c r="D206" s="1622"/>
      <c r="E206" s="1622"/>
      <c r="F206" s="1622"/>
      <c r="G206" s="1622"/>
      <c r="H206" s="1622"/>
      <c r="I206" s="1622"/>
      <c r="J206" s="1622"/>
      <c r="K206" s="1622"/>
      <c r="L206" s="1622"/>
      <c r="M206" s="1622"/>
      <c r="N206" s="1622"/>
      <c r="O206" s="1622"/>
      <c r="P206" s="1622"/>
      <c r="Q206" s="1622"/>
      <c r="R206" s="1622"/>
      <c r="S206" s="1622"/>
      <c r="T206" s="1622"/>
      <c r="U206" s="1622"/>
      <c r="V206" s="1622"/>
      <c r="W206" s="1622"/>
      <c r="X206" s="1622"/>
      <c r="Y206" s="1622"/>
      <c r="Z206" s="1622"/>
      <c r="AA206" s="1622"/>
      <c r="AB206" s="1622"/>
      <c r="AC206" s="1622"/>
      <c r="AD206" s="1622"/>
      <c r="AE206" s="1622"/>
      <c r="AF206" s="1622"/>
      <c r="AG206" s="1622"/>
      <c r="AH206" s="1622"/>
      <c r="AI206" s="1622"/>
      <c r="AJ206" s="1622"/>
      <c r="AK206" s="1622"/>
      <c r="AL206" s="1622"/>
      <c r="AM206" s="1622"/>
      <c r="AN206" s="1622"/>
      <c r="AO206" s="1622"/>
      <c r="AP206" s="1622"/>
      <c r="AQ206" s="1622"/>
      <c r="AR206" s="1622"/>
      <c r="AS206" s="1622"/>
      <c r="AT206" s="1622"/>
      <c r="AU206" s="1622"/>
      <c r="AV206" s="1622"/>
      <c r="AW206" s="1622"/>
      <c r="AX206" s="1622"/>
      <c r="AY206" s="1622"/>
      <c r="AZ206" s="1622"/>
      <c r="BA206" s="1622"/>
      <c r="BB206" s="1622"/>
      <c r="BC206" s="1622"/>
      <c r="BD206" s="1622"/>
      <c r="BE206" s="1622"/>
      <c r="BF206" s="1622"/>
      <c r="BG206" s="311"/>
      <c r="BI206" s="487"/>
      <c r="BJ206" s="252"/>
      <c r="BK206" s="252"/>
      <c r="BL206" s="252"/>
      <c r="BM206" s="252"/>
      <c r="BN206" s="252"/>
      <c r="BO206" s="252"/>
      <c r="BP206" s="252"/>
      <c r="BQ206" s="252"/>
      <c r="BR206" s="252"/>
      <c r="BS206" s="252"/>
      <c r="BT206" s="252"/>
      <c r="BU206" s="252"/>
      <c r="BV206" s="252"/>
      <c r="BW206" s="252"/>
      <c r="BX206" s="252"/>
      <c r="BY206" s="252"/>
      <c r="BZ206" s="252"/>
      <c r="CA206" s="252"/>
      <c r="CB206" s="252"/>
      <c r="CC206" s="252"/>
      <c r="CD206" s="252"/>
      <c r="CE206" s="252"/>
      <c r="CF206" s="252"/>
      <c r="CG206" s="252"/>
      <c r="CH206" s="252"/>
      <c r="CI206" s="252"/>
      <c r="CJ206" s="252"/>
      <c r="CK206" s="252"/>
      <c r="CL206" s="252"/>
      <c r="CM206" s="252"/>
      <c r="CN206" s="252"/>
      <c r="CO206" s="252"/>
      <c r="CP206" s="252"/>
      <c r="CQ206" s="252"/>
      <c r="CR206" s="252"/>
      <c r="CS206" s="252"/>
      <c r="CT206" s="252"/>
      <c r="CU206" s="252"/>
      <c r="CV206" s="252"/>
      <c r="CW206" s="252"/>
      <c r="CX206" s="252"/>
      <c r="CY206" s="252"/>
      <c r="CZ206" s="252"/>
      <c r="DA206" s="252"/>
      <c r="DB206" s="252"/>
      <c r="DC206" s="252"/>
      <c r="DD206" s="252"/>
      <c r="DE206" s="252"/>
      <c r="DF206" s="252"/>
      <c r="DG206" s="252"/>
      <c r="DH206" s="252"/>
      <c r="DI206" s="252"/>
      <c r="DJ206" s="252"/>
      <c r="DK206" s="252"/>
      <c r="DL206" s="252"/>
      <c r="DM206" s="252"/>
      <c r="DN206" s="252"/>
      <c r="DO206" s="252"/>
      <c r="DP206" s="252"/>
      <c r="DQ206" s="252"/>
      <c r="DR206" s="252"/>
      <c r="DS206" s="252"/>
      <c r="DT206" s="252"/>
      <c r="DU206" s="252"/>
      <c r="DV206" s="488"/>
    </row>
    <row r="207" spans="2:126" ht="27" customHeight="1" x14ac:dyDescent="0.15">
      <c r="B207" s="312"/>
      <c r="C207" s="1623" t="s">
        <v>789</v>
      </c>
      <c r="D207" s="1622"/>
      <c r="E207" s="1622"/>
      <c r="F207" s="1622"/>
      <c r="G207" s="1622"/>
      <c r="H207" s="1622"/>
      <c r="I207" s="1622"/>
      <c r="J207" s="1622"/>
      <c r="K207" s="1622"/>
      <c r="L207" s="1622"/>
      <c r="M207" s="1622"/>
      <c r="N207" s="1622"/>
      <c r="O207" s="1622"/>
      <c r="P207" s="1622"/>
      <c r="Q207" s="1622"/>
      <c r="R207" s="1622"/>
      <c r="S207" s="1622"/>
      <c r="T207" s="1622"/>
      <c r="U207" s="1622"/>
      <c r="V207" s="1622"/>
      <c r="W207" s="1622"/>
      <c r="X207" s="1622"/>
      <c r="Y207" s="1622"/>
      <c r="Z207" s="1622"/>
      <c r="AA207" s="1622"/>
      <c r="AB207" s="1622"/>
      <c r="AC207" s="1622"/>
      <c r="AD207" s="1622"/>
      <c r="AE207" s="1622"/>
      <c r="AF207" s="1622"/>
      <c r="AG207" s="1622"/>
      <c r="AH207" s="1622"/>
      <c r="AI207" s="1622"/>
      <c r="AJ207" s="1622"/>
      <c r="AK207" s="1622"/>
      <c r="AL207" s="1622"/>
      <c r="AM207" s="1622"/>
      <c r="AN207" s="1622"/>
      <c r="AO207" s="1622"/>
      <c r="AP207" s="1622"/>
      <c r="AQ207" s="1622"/>
      <c r="AR207" s="1622"/>
      <c r="AS207" s="1622"/>
      <c r="AT207" s="1622"/>
      <c r="AU207" s="1622"/>
      <c r="AV207" s="1622"/>
      <c r="AW207" s="1622"/>
      <c r="AX207" s="1622"/>
      <c r="AY207" s="1622"/>
      <c r="AZ207" s="1622"/>
      <c r="BA207" s="1622"/>
      <c r="BB207" s="1622"/>
      <c r="BC207" s="1622"/>
      <c r="BD207" s="1622"/>
      <c r="BE207" s="1622"/>
      <c r="BF207" s="1622"/>
      <c r="BG207" s="311"/>
      <c r="BI207" s="487"/>
      <c r="BJ207" s="252"/>
      <c r="BK207" s="252"/>
      <c r="BL207" s="252"/>
      <c r="BM207" s="252"/>
      <c r="BN207" s="252"/>
      <c r="BO207" s="252"/>
      <c r="BP207" s="252"/>
      <c r="BQ207" s="252"/>
      <c r="BR207" s="252"/>
      <c r="BS207" s="252"/>
      <c r="BT207" s="252"/>
      <c r="BU207" s="252"/>
      <c r="BV207" s="252"/>
      <c r="BW207" s="252"/>
      <c r="BX207" s="252"/>
      <c r="BY207" s="252"/>
      <c r="BZ207" s="252"/>
      <c r="CA207" s="252"/>
      <c r="CB207" s="252"/>
      <c r="CC207" s="252"/>
      <c r="CD207" s="252"/>
      <c r="CE207" s="252"/>
      <c r="CF207" s="252"/>
      <c r="CG207" s="252"/>
      <c r="CH207" s="252"/>
      <c r="CI207" s="252"/>
      <c r="CJ207" s="252"/>
      <c r="CK207" s="252"/>
      <c r="CL207" s="252"/>
      <c r="CM207" s="252"/>
      <c r="CN207" s="252"/>
      <c r="CO207" s="252"/>
      <c r="CP207" s="252"/>
      <c r="CQ207" s="252"/>
      <c r="CR207" s="252"/>
      <c r="CS207" s="252"/>
      <c r="CT207" s="252"/>
      <c r="CU207" s="252"/>
      <c r="CV207" s="252"/>
      <c r="CW207" s="252"/>
      <c r="CX207" s="252"/>
      <c r="CY207" s="252"/>
      <c r="CZ207" s="252"/>
      <c r="DA207" s="252"/>
      <c r="DB207" s="252"/>
      <c r="DC207" s="252"/>
      <c r="DD207" s="252"/>
      <c r="DE207" s="252"/>
      <c r="DF207" s="252"/>
      <c r="DG207" s="252"/>
      <c r="DH207" s="252"/>
      <c r="DI207" s="252"/>
      <c r="DJ207" s="252"/>
      <c r="DK207" s="252"/>
      <c r="DL207" s="252"/>
      <c r="DM207" s="252"/>
      <c r="DN207" s="252"/>
      <c r="DO207" s="252"/>
      <c r="DP207" s="252"/>
      <c r="DQ207" s="252"/>
      <c r="DR207" s="252"/>
      <c r="DS207" s="252"/>
      <c r="DT207" s="252"/>
      <c r="DU207" s="252"/>
      <c r="DV207" s="488"/>
    </row>
    <row r="208" spans="2:126" x14ac:dyDescent="0.15">
      <c r="B208" s="312"/>
      <c r="C208" s="1623" t="s">
        <v>1094</v>
      </c>
      <c r="D208" s="1622"/>
      <c r="E208" s="1622"/>
      <c r="F208" s="1622"/>
      <c r="G208" s="1622"/>
      <c r="H208" s="1622"/>
      <c r="I208" s="1622"/>
      <c r="J208" s="1622"/>
      <c r="K208" s="1622"/>
      <c r="L208" s="1622"/>
      <c r="M208" s="1622"/>
      <c r="N208" s="1622"/>
      <c r="O208" s="1622"/>
      <c r="P208" s="1622"/>
      <c r="Q208" s="1622"/>
      <c r="R208" s="1622"/>
      <c r="S208" s="1622"/>
      <c r="T208" s="1622"/>
      <c r="U208" s="1622"/>
      <c r="V208" s="1622"/>
      <c r="W208" s="1622"/>
      <c r="X208" s="1622"/>
      <c r="Y208" s="1622"/>
      <c r="Z208" s="1622"/>
      <c r="AA208" s="1622"/>
      <c r="AB208" s="1622"/>
      <c r="AC208" s="1622"/>
      <c r="AD208" s="1622"/>
      <c r="AE208" s="1622"/>
      <c r="AF208" s="1622"/>
      <c r="AG208" s="1622"/>
      <c r="AH208" s="1622"/>
      <c r="AI208" s="1622"/>
      <c r="AJ208" s="1622"/>
      <c r="AK208" s="1622"/>
      <c r="AL208" s="1622"/>
      <c r="AM208" s="1622"/>
      <c r="AN208" s="1622"/>
      <c r="AO208" s="1622"/>
      <c r="AP208" s="1622"/>
      <c r="AQ208" s="1622"/>
      <c r="AR208" s="1622"/>
      <c r="AS208" s="1622"/>
      <c r="AT208" s="1622"/>
      <c r="AU208" s="1622"/>
      <c r="AV208" s="1622"/>
      <c r="AW208" s="1622"/>
      <c r="AX208" s="1622"/>
      <c r="AY208" s="1622"/>
      <c r="AZ208" s="1622"/>
      <c r="BA208" s="1622"/>
      <c r="BB208" s="1622"/>
      <c r="BC208" s="1622"/>
      <c r="BD208" s="1622"/>
      <c r="BE208" s="1622"/>
      <c r="BF208" s="1622"/>
      <c r="BG208" s="311"/>
      <c r="BI208" s="487"/>
      <c r="BJ208" s="252"/>
      <c r="BK208" s="252"/>
      <c r="BL208" s="252"/>
      <c r="BM208" s="252"/>
      <c r="BN208" s="252"/>
      <c r="BO208" s="252"/>
      <c r="BP208" s="252"/>
      <c r="BQ208" s="252"/>
      <c r="BR208" s="252"/>
      <c r="BS208" s="252"/>
      <c r="BT208" s="252"/>
      <c r="BU208" s="252"/>
      <c r="BV208" s="252"/>
      <c r="BW208" s="252"/>
      <c r="BX208" s="252"/>
      <c r="BY208" s="252"/>
      <c r="BZ208" s="252"/>
      <c r="CA208" s="252"/>
      <c r="CB208" s="252"/>
      <c r="CC208" s="252"/>
      <c r="CD208" s="252"/>
      <c r="CE208" s="252"/>
      <c r="CF208" s="252"/>
      <c r="CG208" s="252"/>
      <c r="CH208" s="252"/>
      <c r="CI208" s="252"/>
      <c r="CJ208" s="252"/>
      <c r="CK208" s="252"/>
      <c r="CL208" s="252"/>
      <c r="CM208" s="252"/>
      <c r="CN208" s="252"/>
      <c r="CO208" s="252"/>
      <c r="CP208" s="252"/>
      <c r="CQ208" s="252"/>
      <c r="CR208" s="252"/>
      <c r="CS208" s="252"/>
      <c r="CT208" s="252"/>
      <c r="CU208" s="252"/>
      <c r="CV208" s="252"/>
      <c r="CW208" s="252"/>
      <c r="CX208" s="252"/>
      <c r="CY208" s="252"/>
      <c r="CZ208" s="252"/>
      <c r="DA208" s="252"/>
      <c r="DB208" s="252"/>
      <c r="DC208" s="252"/>
      <c r="DD208" s="252"/>
      <c r="DE208" s="252"/>
      <c r="DF208" s="252"/>
      <c r="DG208" s="252"/>
      <c r="DH208" s="252"/>
      <c r="DI208" s="252"/>
      <c r="DJ208" s="252"/>
      <c r="DK208" s="252"/>
      <c r="DL208" s="252"/>
      <c r="DM208" s="252"/>
      <c r="DN208" s="252"/>
      <c r="DO208" s="252"/>
      <c r="DP208" s="252"/>
      <c r="DQ208" s="252"/>
      <c r="DR208" s="252"/>
      <c r="DS208" s="252"/>
      <c r="DT208" s="252"/>
      <c r="DU208" s="252"/>
      <c r="DV208" s="488"/>
    </row>
    <row r="209" spans="2:126" x14ac:dyDescent="0.15">
      <c r="B209" s="312"/>
      <c r="C209" s="1622" t="s">
        <v>790</v>
      </c>
      <c r="D209" s="1622"/>
      <c r="E209" s="1622"/>
      <c r="F209" s="1622"/>
      <c r="G209" s="1622"/>
      <c r="H209" s="1622"/>
      <c r="I209" s="1622"/>
      <c r="J209" s="1622"/>
      <c r="K209" s="1622"/>
      <c r="L209" s="1622"/>
      <c r="M209" s="1622"/>
      <c r="N209" s="1622"/>
      <c r="O209" s="1622"/>
      <c r="P209" s="1622"/>
      <c r="Q209" s="1622"/>
      <c r="R209" s="1622"/>
      <c r="S209" s="1622"/>
      <c r="T209" s="1622"/>
      <c r="U209" s="1622"/>
      <c r="V209" s="1622"/>
      <c r="W209" s="1622"/>
      <c r="X209" s="1622"/>
      <c r="Y209" s="1622"/>
      <c r="Z209" s="1622"/>
      <c r="AA209" s="1622"/>
      <c r="AB209" s="1622"/>
      <c r="AC209" s="1622"/>
      <c r="AD209" s="1622"/>
      <c r="AE209" s="1622"/>
      <c r="AF209" s="1622"/>
      <c r="AG209" s="1622"/>
      <c r="AH209" s="1622"/>
      <c r="AI209" s="1622"/>
      <c r="AJ209" s="1622"/>
      <c r="AK209" s="1622"/>
      <c r="AL209" s="1622"/>
      <c r="AM209" s="1622"/>
      <c r="AN209" s="1622"/>
      <c r="AO209" s="1622"/>
      <c r="AP209" s="1622"/>
      <c r="AQ209" s="1622"/>
      <c r="AR209" s="1622"/>
      <c r="AS209" s="1622"/>
      <c r="AT209" s="1622"/>
      <c r="AU209" s="1622"/>
      <c r="AV209" s="1622"/>
      <c r="AW209" s="1622"/>
      <c r="AX209" s="1622"/>
      <c r="AY209" s="1622"/>
      <c r="AZ209" s="1622"/>
      <c r="BA209" s="1622"/>
      <c r="BB209" s="1622"/>
      <c r="BC209" s="1622"/>
      <c r="BD209" s="1622"/>
      <c r="BE209" s="1622"/>
      <c r="BF209" s="1622"/>
      <c r="BG209" s="311"/>
      <c r="BI209" s="487"/>
      <c r="BJ209" s="252"/>
      <c r="BK209" s="252"/>
      <c r="BL209" s="252"/>
      <c r="BM209" s="252"/>
      <c r="BN209" s="252"/>
      <c r="BO209" s="252"/>
      <c r="BP209" s="252"/>
      <c r="BQ209" s="252"/>
      <c r="BR209" s="252"/>
      <c r="BS209" s="252"/>
      <c r="BT209" s="252"/>
      <c r="BU209" s="252"/>
      <c r="BV209" s="252"/>
      <c r="BW209" s="252"/>
      <c r="BX209" s="252"/>
      <c r="BY209" s="252"/>
      <c r="BZ209" s="252"/>
      <c r="CA209" s="252"/>
      <c r="CB209" s="252"/>
      <c r="CC209" s="252"/>
      <c r="CD209" s="252"/>
      <c r="CE209" s="252"/>
      <c r="CF209" s="252"/>
      <c r="CG209" s="252"/>
      <c r="CH209" s="252"/>
      <c r="CI209" s="252"/>
      <c r="CJ209" s="252"/>
      <c r="CK209" s="252"/>
      <c r="CL209" s="252"/>
      <c r="CM209" s="252"/>
      <c r="CN209" s="252"/>
      <c r="CO209" s="252"/>
      <c r="CP209" s="252"/>
      <c r="CQ209" s="252"/>
      <c r="CR209" s="252"/>
      <c r="CS209" s="252"/>
      <c r="CT209" s="252"/>
      <c r="CU209" s="252"/>
      <c r="CV209" s="252"/>
      <c r="CW209" s="252"/>
      <c r="CX209" s="252"/>
      <c r="CY209" s="252"/>
      <c r="CZ209" s="252"/>
      <c r="DA209" s="252"/>
      <c r="DB209" s="252"/>
      <c r="DC209" s="252"/>
      <c r="DD209" s="252"/>
      <c r="DE209" s="252"/>
      <c r="DF209" s="252"/>
      <c r="DG209" s="252"/>
      <c r="DH209" s="252"/>
      <c r="DI209" s="252"/>
      <c r="DJ209" s="252"/>
      <c r="DK209" s="252"/>
      <c r="DL209" s="252"/>
      <c r="DM209" s="252"/>
      <c r="DN209" s="252"/>
      <c r="DO209" s="252"/>
      <c r="DP209" s="252"/>
      <c r="DQ209" s="252"/>
      <c r="DR209" s="252"/>
      <c r="DS209" s="252"/>
      <c r="DT209" s="252"/>
      <c r="DU209" s="252"/>
      <c r="DV209" s="488"/>
    </row>
    <row r="210" spans="2:126" x14ac:dyDescent="0.15">
      <c r="B210" s="312"/>
      <c r="C210" s="1622" t="s">
        <v>791</v>
      </c>
      <c r="D210" s="1622"/>
      <c r="E210" s="1622"/>
      <c r="F210" s="1622"/>
      <c r="G210" s="1622"/>
      <c r="H210" s="1622"/>
      <c r="I210" s="1622"/>
      <c r="J210" s="1622"/>
      <c r="K210" s="1622"/>
      <c r="L210" s="1622"/>
      <c r="M210" s="1622"/>
      <c r="N210" s="1622"/>
      <c r="O210" s="1622"/>
      <c r="P210" s="1622"/>
      <c r="Q210" s="1622"/>
      <c r="R210" s="1622"/>
      <c r="S210" s="1622"/>
      <c r="T210" s="1622"/>
      <c r="U210" s="1622"/>
      <c r="V210" s="1622"/>
      <c r="W210" s="1622"/>
      <c r="X210" s="1622"/>
      <c r="Y210" s="1622"/>
      <c r="Z210" s="1622"/>
      <c r="AA210" s="1622"/>
      <c r="AB210" s="1622"/>
      <c r="AC210" s="1622"/>
      <c r="AD210" s="1622"/>
      <c r="AE210" s="1622"/>
      <c r="AF210" s="1622"/>
      <c r="AG210" s="1622"/>
      <c r="AH210" s="1622"/>
      <c r="AI210" s="1622"/>
      <c r="AJ210" s="1622"/>
      <c r="AK210" s="1622"/>
      <c r="AL210" s="1622"/>
      <c r="AM210" s="1622"/>
      <c r="AN210" s="1622"/>
      <c r="AO210" s="1622"/>
      <c r="AP210" s="1622"/>
      <c r="AQ210" s="1622"/>
      <c r="AR210" s="1622"/>
      <c r="AS210" s="1622"/>
      <c r="AT210" s="1622"/>
      <c r="AU210" s="1622"/>
      <c r="AV210" s="1622"/>
      <c r="AW210" s="1622"/>
      <c r="AX210" s="1622"/>
      <c r="AY210" s="1622"/>
      <c r="AZ210" s="1622"/>
      <c r="BA210" s="1622"/>
      <c r="BB210" s="1622"/>
      <c r="BC210" s="1622"/>
      <c r="BD210" s="1622"/>
      <c r="BE210" s="1622"/>
      <c r="BF210" s="1622"/>
      <c r="BG210" s="311"/>
      <c r="BI210" s="487"/>
      <c r="BJ210" s="252"/>
      <c r="BK210" s="252"/>
      <c r="BL210" s="252"/>
      <c r="BM210" s="252"/>
      <c r="BN210" s="252"/>
      <c r="BO210" s="252"/>
      <c r="BP210" s="252"/>
      <c r="BQ210" s="252"/>
      <c r="BR210" s="252"/>
      <c r="BS210" s="252"/>
      <c r="BT210" s="252"/>
      <c r="BU210" s="252"/>
      <c r="BV210" s="252"/>
      <c r="BW210" s="252"/>
      <c r="BX210" s="252"/>
      <c r="BY210" s="252"/>
      <c r="BZ210" s="252"/>
      <c r="CA210" s="252"/>
      <c r="CB210" s="252"/>
      <c r="CC210" s="252"/>
      <c r="CD210" s="252"/>
      <c r="CE210" s="252"/>
      <c r="CF210" s="252"/>
      <c r="CG210" s="252"/>
      <c r="CH210" s="252"/>
      <c r="CI210" s="252"/>
      <c r="CJ210" s="252"/>
      <c r="CK210" s="252"/>
      <c r="CL210" s="252"/>
      <c r="CM210" s="252"/>
      <c r="CN210" s="252"/>
      <c r="CO210" s="252"/>
      <c r="CP210" s="252"/>
      <c r="CQ210" s="252"/>
      <c r="CR210" s="252"/>
      <c r="CS210" s="252"/>
      <c r="CT210" s="252"/>
      <c r="CU210" s="252"/>
      <c r="CV210" s="252"/>
      <c r="CW210" s="252"/>
      <c r="CX210" s="252"/>
      <c r="CY210" s="252"/>
      <c r="CZ210" s="252"/>
      <c r="DA210" s="252"/>
      <c r="DB210" s="252"/>
      <c r="DC210" s="252"/>
      <c r="DD210" s="252"/>
      <c r="DE210" s="252"/>
      <c r="DF210" s="252"/>
      <c r="DG210" s="252"/>
      <c r="DH210" s="252"/>
      <c r="DI210" s="252"/>
      <c r="DJ210" s="252"/>
      <c r="DK210" s="252"/>
      <c r="DL210" s="252"/>
      <c r="DM210" s="252"/>
      <c r="DN210" s="252"/>
      <c r="DO210" s="252"/>
      <c r="DP210" s="252"/>
      <c r="DQ210" s="252"/>
      <c r="DR210" s="252"/>
      <c r="DS210" s="252"/>
      <c r="DT210" s="252"/>
      <c r="DU210" s="252"/>
      <c r="DV210" s="488"/>
    </row>
    <row r="211" spans="2:126" x14ac:dyDescent="0.15">
      <c r="B211" s="312"/>
      <c r="C211" s="1622" t="s">
        <v>792</v>
      </c>
      <c r="D211" s="1622"/>
      <c r="E211" s="1622"/>
      <c r="F211" s="1622"/>
      <c r="G211" s="1622"/>
      <c r="H211" s="1622"/>
      <c r="I211" s="1622"/>
      <c r="J211" s="1622"/>
      <c r="K211" s="1622"/>
      <c r="L211" s="1622"/>
      <c r="M211" s="1622"/>
      <c r="N211" s="1622"/>
      <c r="O211" s="1622"/>
      <c r="P211" s="1622"/>
      <c r="Q211" s="1622"/>
      <c r="R211" s="1622"/>
      <c r="S211" s="1622"/>
      <c r="T211" s="1622"/>
      <c r="U211" s="1622"/>
      <c r="V211" s="1622"/>
      <c r="W211" s="1622"/>
      <c r="X211" s="1622"/>
      <c r="Y211" s="1622"/>
      <c r="Z211" s="1622"/>
      <c r="AA211" s="1622"/>
      <c r="AB211" s="1622"/>
      <c r="AC211" s="1622"/>
      <c r="AD211" s="1622"/>
      <c r="AE211" s="1622"/>
      <c r="AF211" s="1622"/>
      <c r="AG211" s="1622"/>
      <c r="AH211" s="1622"/>
      <c r="AI211" s="1622"/>
      <c r="AJ211" s="1622"/>
      <c r="AK211" s="1622"/>
      <c r="AL211" s="1622"/>
      <c r="AM211" s="1622"/>
      <c r="AN211" s="1622"/>
      <c r="AO211" s="1622"/>
      <c r="AP211" s="1622"/>
      <c r="AQ211" s="1622"/>
      <c r="AR211" s="1622"/>
      <c r="AS211" s="1622"/>
      <c r="AT211" s="1622"/>
      <c r="AU211" s="1622"/>
      <c r="AV211" s="1622"/>
      <c r="AW211" s="1622"/>
      <c r="AX211" s="1622"/>
      <c r="AY211" s="1622"/>
      <c r="AZ211" s="1622"/>
      <c r="BA211" s="1622"/>
      <c r="BB211" s="1622"/>
      <c r="BC211" s="1622"/>
      <c r="BD211" s="1622"/>
      <c r="BE211" s="1622"/>
      <c r="BF211" s="1622"/>
      <c r="BG211" s="311"/>
      <c r="BI211" s="487"/>
      <c r="BJ211" s="252"/>
      <c r="BK211" s="252"/>
      <c r="BL211" s="252"/>
      <c r="BM211" s="252"/>
      <c r="BN211" s="252"/>
      <c r="BO211" s="252"/>
      <c r="BP211" s="252"/>
      <c r="BQ211" s="252"/>
      <c r="BR211" s="252"/>
      <c r="BS211" s="252"/>
      <c r="BT211" s="252"/>
      <c r="BU211" s="252"/>
      <c r="BV211" s="252"/>
      <c r="BW211" s="252"/>
      <c r="BX211" s="252"/>
      <c r="BY211" s="252"/>
      <c r="BZ211" s="252"/>
      <c r="CA211" s="252"/>
      <c r="CB211" s="252"/>
      <c r="CC211" s="252"/>
      <c r="CD211" s="252"/>
      <c r="CE211" s="252"/>
      <c r="CF211" s="252"/>
      <c r="CG211" s="252"/>
      <c r="CH211" s="252"/>
      <c r="CI211" s="252"/>
      <c r="CJ211" s="252"/>
      <c r="CK211" s="252"/>
      <c r="CL211" s="252"/>
      <c r="CM211" s="252"/>
      <c r="CN211" s="252"/>
      <c r="CO211" s="252"/>
      <c r="CP211" s="252"/>
      <c r="CQ211" s="252"/>
      <c r="CR211" s="252"/>
      <c r="CS211" s="252"/>
      <c r="CT211" s="252"/>
      <c r="CU211" s="252"/>
      <c r="CV211" s="252"/>
      <c r="CW211" s="252"/>
      <c r="CX211" s="252"/>
      <c r="CY211" s="252"/>
      <c r="CZ211" s="252"/>
      <c r="DA211" s="252"/>
      <c r="DB211" s="252"/>
      <c r="DC211" s="252"/>
      <c r="DD211" s="252"/>
      <c r="DE211" s="252"/>
      <c r="DF211" s="252"/>
      <c r="DG211" s="252"/>
      <c r="DH211" s="252"/>
      <c r="DI211" s="252"/>
      <c r="DJ211" s="252"/>
      <c r="DK211" s="252"/>
      <c r="DL211" s="252"/>
      <c r="DM211" s="252"/>
      <c r="DN211" s="252"/>
      <c r="DO211" s="252"/>
      <c r="DP211" s="252"/>
      <c r="DQ211" s="252"/>
      <c r="DR211" s="252"/>
      <c r="DS211" s="252"/>
      <c r="DT211" s="252"/>
      <c r="DU211" s="252"/>
      <c r="DV211" s="488"/>
    </row>
    <row r="212" spans="2:126" x14ac:dyDescent="0.15">
      <c r="B212" s="312"/>
      <c r="C212" s="1622" t="s">
        <v>793</v>
      </c>
      <c r="D212" s="1622"/>
      <c r="E212" s="1622"/>
      <c r="F212" s="1622"/>
      <c r="G212" s="1622"/>
      <c r="H212" s="1622"/>
      <c r="I212" s="1622"/>
      <c r="J212" s="1622"/>
      <c r="K212" s="1622"/>
      <c r="L212" s="1622"/>
      <c r="M212" s="1622"/>
      <c r="N212" s="1622"/>
      <c r="O212" s="1622"/>
      <c r="P212" s="1622"/>
      <c r="Q212" s="1622"/>
      <c r="R212" s="1622"/>
      <c r="S212" s="1622"/>
      <c r="T212" s="1622"/>
      <c r="U212" s="1622"/>
      <c r="V212" s="1622"/>
      <c r="W212" s="1622"/>
      <c r="X212" s="1622"/>
      <c r="Y212" s="1622"/>
      <c r="Z212" s="1622"/>
      <c r="AA212" s="1622"/>
      <c r="AB212" s="1622"/>
      <c r="AC212" s="1622"/>
      <c r="AD212" s="1622"/>
      <c r="AE212" s="1622"/>
      <c r="AF212" s="1622"/>
      <c r="AG212" s="1622"/>
      <c r="AH212" s="1622"/>
      <c r="AI212" s="1622"/>
      <c r="AJ212" s="1622"/>
      <c r="AK212" s="1622"/>
      <c r="AL212" s="1622"/>
      <c r="AM212" s="1622"/>
      <c r="AN212" s="1622"/>
      <c r="AO212" s="1622"/>
      <c r="AP212" s="1622"/>
      <c r="AQ212" s="1622"/>
      <c r="AR212" s="1622"/>
      <c r="AS212" s="1622"/>
      <c r="AT212" s="1622"/>
      <c r="AU212" s="1622"/>
      <c r="AV212" s="1622"/>
      <c r="AW212" s="1622"/>
      <c r="AX212" s="1622"/>
      <c r="AY212" s="1622"/>
      <c r="AZ212" s="1622"/>
      <c r="BA212" s="1622"/>
      <c r="BB212" s="1622"/>
      <c r="BC212" s="1622"/>
      <c r="BD212" s="1622"/>
      <c r="BE212" s="1622"/>
      <c r="BF212" s="1622"/>
      <c r="BG212" s="311"/>
      <c r="BI212" s="487"/>
      <c r="BJ212" s="252"/>
      <c r="BK212" s="252"/>
      <c r="BL212" s="252"/>
      <c r="BM212" s="252"/>
      <c r="BN212" s="252"/>
      <c r="BO212" s="252"/>
      <c r="BP212" s="252"/>
      <c r="BQ212" s="252"/>
      <c r="BR212" s="252"/>
      <c r="BS212" s="252"/>
      <c r="BT212" s="252"/>
      <c r="BU212" s="252"/>
      <c r="BV212" s="252"/>
      <c r="BW212" s="252"/>
      <c r="BX212" s="252"/>
      <c r="BY212" s="252"/>
      <c r="BZ212" s="252"/>
      <c r="CA212" s="252"/>
      <c r="CB212" s="252"/>
      <c r="CC212" s="252"/>
      <c r="CD212" s="252"/>
      <c r="CE212" s="252"/>
      <c r="CF212" s="252"/>
      <c r="CG212" s="252"/>
      <c r="CH212" s="252"/>
      <c r="CI212" s="252"/>
      <c r="CJ212" s="252"/>
      <c r="CK212" s="252"/>
      <c r="CL212" s="252"/>
      <c r="CM212" s="252"/>
      <c r="CN212" s="252"/>
      <c r="CO212" s="252"/>
      <c r="CP212" s="252"/>
      <c r="CQ212" s="252"/>
      <c r="CR212" s="252"/>
      <c r="CS212" s="252"/>
      <c r="CT212" s="252"/>
      <c r="CU212" s="252"/>
      <c r="CV212" s="252"/>
      <c r="CW212" s="252"/>
      <c r="CX212" s="252"/>
      <c r="CY212" s="252"/>
      <c r="CZ212" s="252"/>
      <c r="DA212" s="252"/>
      <c r="DB212" s="252"/>
      <c r="DC212" s="252"/>
      <c r="DD212" s="252"/>
      <c r="DE212" s="252"/>
      <c r="DF212" s="252"/>
      <c r="DG212" s="252"/>
      <c r="DH212" s="252"/>
      <c r="DI212" s="252"/>
      <c r="DJ212" s="252"/>
      <c r="DK212" s="252"/>
      <c r="DL212" s="252"/>
      <c r="DM212" s="252"/>
      <c r="DN212" s="252"/>
      <c r="DO212" s="252"/>
      <c r="DP212" s="252"/>
      <c r="DQ212" s="252"/>
      <c r="DR212" s="252"/>
      <c r="DS212" s="252"/>
      <c r="DT212" s="252"/>
      <c r="DU212" s="252"/>
      <c r="DV212" s="488"/>
    </row>
    <row r="213" spans="2:126" ht="27.75" customHeight="1" x14ac:dyDescent="0.15">
      <c r="B213" s="312"/>
      <c r="C213" s="1623" t="s">
        <v>794</v>
      </c>
      <c r="D213" s="1622"/>
      <c r="E213" s="1622"/>
      <c r="F213" s="1622"/>
      <c r="G213" s="1622"/>
      <c r="H213" s="1622"/>
      <c r="I213" s="1622"/>
      <c r="J213" s="1622"/>
      <c r="K213" s="1622"/>
      <c r="L213" s="1622"/>
      <c r="M213" s="1622"/>
      <c r="N213" s="1622"/>
      <c r="O213" s="1622"/>
      <c r="P213" s="1622"/>
      <c r="Q213" s="1622"/>
      <c r="R213" s="1622"/>
      <c r="S213" s="1622"/>
      <c r="T213" s="1622"/>
      <c r="U213" s="1622"/>
      <c r="V213" s="1622"/>
      <c r="W213" s="1622"/>
      <c r="X213" s="1622"/>
      <c r="Y213" s="1622"/>
      <c r="Z213" s="1622"/>
      <c r="AA213" s="1622"/>
      <c r="AB213" s="1622"/>
      <c r="AC213" s="1622"/>
      <c r="AD213" s="1622"/>
      <c r="AE213" s="1622"/>
      <c r="AF213" s="1622"/>
      <c r="AG213" s="1622"/>
      <c r="AH213" s="1622"/>
      <c r="AI213" s="1622"/>
      <c r="AJ213" s="1622"/>
      <c r="AK213" s="1622"/>
      <c r="AL213" s="1622"/>
      <c r="AM213" s="1622"/>
      <c r="AN213" s="1622"/>
      <c r="AO213" s="1622"/>
      <c r="AP213" s="1622"/>
      <c r="AQ213" s="1622"/>
      <c r="AR213" s="1622"/>
      <c r="AS213" s="1622"/>
      <c r="AT213" s="1622"/>
      <c r="AU213" s="1622"/>
      <c r="AV213" s="1622"/>
      <c r="AW213" s="1622"/>
      <c r="AX213" s="1622"/>
      <c r="AY213" s="1622"/>
      <c r="AZ213" s="1622"/>
      <c r="BA213" s="1622"/>
      <c r="BB213" s="1622"/>
      <c r="BC213" s="1622"/>
      <c r="BD213" s="1622"/>
      <c r="BE213" s="1622"/>
      <c r="BF213" s="1622"/>
      <c r="BG213" s="311"/>
      <c r="BI213" s="487"/>
      <c r="BJ213" s="252"/>
      <c r="BK213" s="252"/>
      <c r="BL213" s="252"/>
      <c r="BM213" s="252"/>
      <c r="BN213" s="252"/>
      <c r="BO213" s="252"/>
      <c r="BP213" s="252"/>
      <c r="BQ213" s="252"/>
      <c r="BR213" s="252"/>
      <c r="BS213" s="252"/>
      <c r="BT213" s="252"/>
      <c r="BU213" s="252"/>
      <c r="BV213" s="252"/>
      <c r="BW213" s="252"/>
      <c r="BX213" s="252"/>
      <c r="BY213" s="252"/>
      <c r="BZ213" s="252"/>
      <c r="CA213" s="252"/>
      <c r="CB213" s="252"/>
      <c r="CC213" s="252"/>
      <c r="CD213" s="252"/>
      <c r="CE213" s="252"/>
      <c r="CF213" s="252"/>
      <c r="CG213" s="252"/>
      <c r="CH213" s="252"/>
      <c r="CI213" s="252"/>
      <c r="CJ213" s="252"/>
      <c r="CK213" s="252"/>
      <c r="CL213" s="252"/>
      <c r="CM213" s="252"/>
      <c r="CN213" s="252"/>
      <c r="CO213" s="252"/>
      <c r="CP213" s="252"/>
      <c r="CQ213" s="252"/>
      <c r="CR213" s="252"/>
      <c r="CS213" s="252"/>
      <c r="CT213" s="252"/>
      <c r="CU213" s="252"/>
      <c r="CV213" s="252"/>
      <c r="CW213" s="252"/>
      <c r="CX213" s="252"/>
      <c r="CY213" s="252"/>
      <c r="CZ213" s="252"/>
      <c r="DA213" s="252"/>
      <c r="DB213" s="252"/>
      <c r="DC213" s="252"/>
      <c r="DD213" s="252"/>
      <c r="DE213" s="252"/>
      <c r="DF213" s="252"/>
      <c r="DG213" s="252"/>
      <c r="DH213" s="252"/>
      <c r="DI213" s="252"/>
      <c r="DJ213" s="252"/>
      <c r="DK213" s="252"/>
      <c r="DL213" s="252"/>
      <c r="DM213" s="252"/>
      <c r="DN213" s="252"/>
      <c r="DO213" s="252"/>
      <c r="DP213" s="252"/>
      <c r="DQ213" s="252"/>
      <c r="DR213" s="252"/>
      <c r="DS213" s="252"/>
      <c r="DT213" s="252"/>
      <c r="DU213" s="252"/>
      <c r="DV213" s="488"/>
    </row>
    <row r="214" spans="2:126" x14ac:dyDescent="0.15">
      <c r="B214" s="312"/>
      <c r="C214" s="1622" t="s">
        <v>795</v>
      </c>
      <c r="D214" s="1622"/>
      <c r="E214" s="1622"/>
      <c r="F214" s="1622"/>
      <c r="G214" s="1622"/>
      <c r="H214" s="1622"/>
      <c r="I214" s="1622"/>
      <c r="J214" s="1622"/>
      <c r="K214" s="1622"/>
      <c r="L214" s="1622"/>
      <c r="M214" s="1622"/>
      <c r="N214" s="1622"/>
      <c r="O214" s="1622"/>
      <c r="P214" s="1622"/>
      <c r="Q214" s="1622"/>
      <c r="R214" s="1622"/>
      <c r="S214" s="1622"/>
      <c r="T214" s="1622"/>
      <c r="U214" s="1622"/>
      <c r="V214" s="1622"/>
      <c r="W214" s="1622"/>
      <c r="X214" s="1622"/>
      <c r="Y214" s="1622"/>
      <c r="Z214" s="1622"/>
      <c r="AA214" s="1622"/>
      <c r="AB214" s="1622"/>
      <c r="AC214" s="1622"/>
      <c r="AD214" s="1622"/>
      <c r="AE214" s="1622"/>
      <c r="AF214" s="1622"/>
      <c r="AG214" s="1622"/>
      <c r="AH214" s="1622"/>
      <c r="AI214" s="1622"/>
      <c r="AJ214" s="1622"/>
      <c r="AK214" s="1622"/>
      <c r="AL214" s="1622"/>
      <c r="AM214" s="1622"/>
      <c r="AN214" s="1622"/>
      <c r="AO214" s="1622"/>
      <c r="AP214" s="1622"/>
      <c r="AQ214" s="1622"/>
      <c r="AR214" s="1622"/>
      <c r="AS214" s="1622"/>
      <c r="AT214" s="1622"/>
      <c r="AU214" s="1622"/>
      <c r="AV214" s="1622"/>
      <c r="AW214" s="1622"/>
      <c r="AX214" s="1622"/>
      <c r="AY214" s="1622"/>
      <c r="AZ214" s="1622"/>
      <c r="BA214" s="1622"/>
      <c r="BB214" s="1622"/>
      <c r="BC214" s="1622"/>
      <c r="BD214" s="1622"/>
      <c r="BE214" s="1622"/>
      <c r="BF214" s="1622"/>
      <c r="BG214" s="311"/>
      <c r="BI214" s="487"/>
      <c r="BJ214" s="252"/>
      <c r="BK214" s="252"/>
      <c r="BL214" s="252"/>
      <c r="BM214" s="252"/>
      <c r="BN214" s="252"/>
      <c r="BO214" s="252"/>
      <c r="BP214" s="252"/>
      <c r="BQ214" s="252"/>
      <c r="BR214" s="252"/>
      <c r="BS214" s="252"/>
      <c r="BT214" s="252"/>
      <c r="BU214" s="252"/>
      <c r="BV214" s="252"/>
      <c r="BW214" s="252"/>
      <c r="BX214" s="252"/>
      <c r="BY214" s="252"/>
      <c r="BZ214" s="252"/>
      <c r="CA214" s="252"/>
      <c r="CB214" s="252"/>
      <c r="CC214" s="252"/>
      <c r="CD214" s="252"/>
      <c r="CE214" s="252"/>
      <c r="CF214" s="252"/>
      <c r="CG214" s="252"/>
      <c r="CH214" s="252"/>
      <c r="CI214" s="252"/>
      <c r="CJ214" s="252"/>
      <c r="CK214" s="252"/>
      <c r="CL214" s="252"/>
      <c r="CM214" s="252"/>
      <c r="CN214" s="252"/>
      <c r="CO214" s="252"/>
      <c r="CP214" s="252"/>
      <c r="CQ214" s="252"/>
      <c r="CR214" s="252"/>
      <c r="CS214" s="252"/>
      <c r="CT214" s="252"/>
      <c r="CU214" s="252"/>
      <c r="CV214" s="252"/>
      <c r="CW214" s="252"/>
      <c r="CX214" s="252"/>
      <c r="CY214" s="252"/>
      <c r="CZ214" s="252"/>
      <c r="DA214" s="252"/>
      <c r="DB214" s="252"/>
      <c r="DC214" s="252"/>
      <c r="DD214" s="252"/>
      <c r="DE214" s="252"/>
      <c r="DF214" s="252"/>
      <c r="DG214" s="252"/>
      <c r="DH214" s="252"/>
      <c r="DI214" s="252"/>
      <c r="DJ214" s="252"/>
      <c r="DK214" s="252"/>
      <c r="DL214" s="252"/>
      <c r="DM214" s="252"/>
      <c r="DN214" s="252"/>
      <c r="DO214" s="252"/>
      <c r="DP214" s="252"/>
      <c r="DQ214" s="252"/>
      <c r="DR214" s="252"/>
      <c r="DS214" s="252"/>
      <c r="DT214" s="252"/>
      <c r="DU214" s="252"/>
      <c r="DV214" s="488"/>
    </row>
    <row r="215" spans="2:126" x14ac:dyDescent="0.15">
      <c r="B215" s="312"/>
      <c r="C215" s="1632" t="s">
        <v>787</v>
      </c>
      <c r="D215" s="1633"/>
      <c r="E215" s="1633"/>
      <c r="F215" s="1633"/>
      <c r="G215" s="1633"/>
      <c r="H215" s="1633"/>
      <c r="I215" s="1633"/>
      <c r="J215" s="1633"/>
      <c r="K215" s="1633"/>
      <c r="L215" s="1633"/>
      <c r="M215" s="1633"/>
      <c r="N215" s="1633"/>
      <c r="O215" s="1633"/>
      <c r="P215" s="1633"/>
      <c r="Q215" s="1633"/>
      <c r="R215" s="1633"/>
      <c r="S215" s="1633"/>
      <c r="T215" s="1633"/>
      <c r="U215" s="1633"/>
      <c r="V215" s="1633"/>
      <c r="W215" s="1633"/>
      <c r="X215" s="1633"/>
      <c r="Y215" s="1633"/>
      <c r="Z215" s="1633"/>
      <c r="AA215" s="1633"/>
      <c r="AB215" s="1633"/>
      <c r="AC215" s="1633"/>
      <c r="AD215" s="1633"/>
      <c r="AE215" s="1633"/>
      <c r="AF215" s="1633"/>
      <c r="AG215" s="1633"/>
      <c r="AH215" s="1633"/>
      <c r="AI215" s="1633"/>
      <c r="AJ215" s="1633"/>
      <c r="AK215" s="1633"/>
      <c r="AL215" s="1633"/>
      <c r="AM215" s="1633"/>
      <c r="AN215" s="1633"/>
      <c r="AO215" s="1633"/>
      <c r="AP215" s="1633"/>
      <c r="AQ215" s="1633"/>
      <c r="AR215" s="1633"/>
      <c r="AS215" s="1633"/>
      <c r="AT215" s="1633"/>
      <c r="AU215" s="1633"/>
      <c r="AV215" s="1633"/>
      <c r="AW215" s="1633"/>
      <c r="AX215" s="1633"/>
      <c r="AY215" s="1633"/>
      <c r="AZ215" s="1633"/>
      <c r="BA215" s="1633"/>
      <c r="BB215" s="1633"/>
      <c r="BC215" s="1633"/>
      <c r="BD215" s="1633"/>
      <c r="BE215" s="1633"/>
      <c r="BF215" s="1633"/>
      <c r="BG215" s="311"/>
      <c r="BI215" s="487"/>
      <c r="BJ215" s="252"/>
      <c r="BK215" s="252"/>
      <c r="BL215" s="252"/>
      <c r="BM215" s="252"/>
      <c r="BN215" s="252"/>
      <c r="BO215" s="252"/>
      <c r="BP215" s="252"/>
      <c r="BQ215" s="252"/>
      <c r="BR215" s="252"/>
      <c r="BS215" s="252"/>
      <c r="BT215" s="252"/>
      <c r="BU215" s="252"/>
      <c r="BV215" s="252"/>
      <c r="BW215" s="252"/>
      <c r="BX215" s="252"/>
      <c r="BY215" s="252"/>
      <c r="BZ215" s="252"/>
      <c r="CA215" s="252"/>
      <c r="CB215" s="252"/>
      <c r="CC215" s="252"/>
      <c r="CD215" s="252"/>
      <c r="CE215" s="252"/>
      <c r="CF215" s="252"/>
      <c r="CG215" s="252"/>
      <c r="CH215" s="252"/>
      <c r="CI215" s="252"/>
      <c r="CJ215" s="252"/>
      <c r="CK215" s="252"/>
      <c r="CL215" s="252"/>
      <c r="CM215" s="252"/>
      <c r="CN215" s="252"/>
      <c r="CO215" s="252"/>
      <c r="CP215" s="252"/>
      <c r="CQ215" s="252"/>
      <c r="CR215" s="252"/>
      <c r="CS215" s="252"/>
      <c r="CT215" s="252"/>
      <c r="CU215" s="252"/>
      <c r="CV215" s="252"/>
      <c r="CW215" s="252"/>
      <c r="CX215" s="252"/>
      <c r="CY215" s="252"/>
      <c r="CZ215" s="252"/>
      <c r="DA215" s="252"/>
      <c r="DB215" s="252"/>
      <c r="DC215" s="252"/>
      <c r="DD215" s="252"/>
      <c r="DE215" s="252"/>
      <c r="DF215" s="252"/>
      <c r="DG215" s="252"/>
      <c r="DH215" s="252"/>
      <c r="DI215" s="252"/>
      <c r="DJ215" s="252"/>
      <c r="DK215" s="252"/>
      <c r="DL215" s="252"/>
      <c r="DM215" s="252"/>
      <c r="DN215" s="252"/>
      <c r="DO215" s="252"/>
      <c r="DP215" s="252"/>
      <c r="DQ215" s="252"/>
      <c r="DR215" s="252"/>
      <c r="DS215" s="252"/>
      <c r="DT215" s="252"/>
      <c r="DU215" s="252"/>
      <c r="DV215" s="488"/>
    </row>
    <row r="216" spans="2:126" x14ac:dyDescent="0.15">
      <c r="B216" s="312"/>
      <c r="C216" s="1163"/>
      <c r="D216" s="1163"/>
      <c r="E216" s="1163"/>
      <c r="F216" s="1163"/>
      <c r="G216" s="1163"/>
      <c r="H216" s="1163"/>
      <c r="I216" s="1163"/>
      <c r="J216" s="1163"/>
      <c r="K216" s="1163"/>
      <c r="L216" s="1163"/>
      <c r="M216" s="1163"/>
      <c r="N216" s="1163"/>
      <c r="O216" s="1163"/>
      <c r="P216" s="1163"/>
      <c r="Q216" s="1163"/>
      <c r="R216" s="1163"/>
      <c r="S216" s="1163"/>
      <c r="T216" s="1163"/>
      <c r="U216" s="1163"/>
      <c r="V216" s="1163"/>
      <c r="W216" s="1163"/>
      <c r="X216" s="1163"/>
      <c r="Y216" s="1163"/>
      <c r="Z216" s="1163"/>
      <c r="AA216" s="1163"/>
      <c r="AB216" s="1163"/>
      <c r="AC216" s="1163"/>
      <c r="AD216" s="1163"/>
      <c r="AE216" s="1163"/>
      <c r="AF216" s="1163"/>
      <c r="AG216" s="1163"/>
      <c r="AH216" s="1163"/>
      <c r="AI216" s="1163"/>
      <c r="AJ216" s="1163"/>
      <c r="AK216" s="1163"/>
      <c r="AL216" s="1163"/>
      <c r="AM216" s="1163"/>
      <c r="AN216" s="1163"/>
      <c r="AO216" s="1163"/>
      <c r="AP216" s="1163"/>
      <c r="AQ216" s="1163"/>
      <c r="AR216" s="1163"/>
      <c r="AS216" s="1163"/>
      <c r="AT216" s="1163"/>
      <c r="AU216" s="1163"/>
      <c r="AV216" s="1163"/>
      <c r="AW216" s="1163"/>
      <c r="AX216" s="1163"/>
      <c r="AY216" s="1163"/>
      <c r="AZ216" s="1163"/>
      <c r="BA216" s="1163"/>
      <c r="BB216" s="1163"/>
      <c r="BC216" s="1163"/>
      <c r="BD216" s="1163"/>
      <c r="BE216" s="1163"/>
      <c r="BF216" s="1163"/>
      <c r="BG216" s="311"/>
      <c r="BI216" s="487"/>
      <c r="BJ216" s="252"/>
      <c r="BK216" s="252"/>
      <c r="BL216" s="252"/>
      <c r="BM216" s="252"/>
      <c r="BN216" s="252"/>
      <c r="BO216" s="252"/>
      <c r="BP216" s="252"/>
      <c r="BQ216" s="252"/>
      <c r="BR216" s="252"/>
      <c r="BS216" s="252"/>
      <c r="BT216" s="252"/>
      <c r="BU216" s="252"/>
      <c r="BV216" s="252"/>
      <c r="BW216" s="252"/>
      <c r="BX216" s="252"/>
      <c r="BY216" s="252"/>
      <c r="BZ216" s="252"/>
      <c r="CA216" s="252"/>
      <c r="CB216" s="252"/>
      <c r="CC216" s="252"/>
      <c r="CD216" s="252"/>
      <c r="CE216" s="252"/>
      <c r="CF216" s="252"/>
      <c r="CG216" s="252"/>
      <c r="CH216" s="252"/>
      <c r="CI216" s="252"/>
      <c r="CJ216" s="252"/>
      <c r="CK216" s="252"/>
      <c r="CL216" s="252"/>
      <c r="CM216" s="252"/>
      <c r="CN216" s="252"/>
      <c r="CO216" s="252"/>
      <c r="CP216" s="252"/>
      <c r="CQ216" s="252"/>
      <c r="CR216" s="252"/>
      <c r="CS216" s="252"/>
      <c r="CT216" s="252"/>
      <c r="CU216" s="252"/>
      <c r="CV216" s="252"/>
      <c r="CW216" s="252"/>
      <c r="CX216" s="252"/>
      <c r="CY216" s="252"/>
      <c r="CZ216" s="252"/>
      <c r="DA216" s="252"/>
      <c r="DB216" s="252"/>
      <c r="DC216" s="252"/>
      <c r="DD216" s="252"/>
      <c r="DE216" s="252"/>
      <c r="DF216" s="252"/>
      <c r="DG216" s="252"/>
      <c r="DH216" s="252"/>
      <c r="DI216" s="252"/>
      <c r="DJ216" s="252"/>
      <c r="DK216" s="252"/>
      <c r="DL216" s="252"/>
      <c r="DM216" s="252"/>
      <c r="DN216" s="252"/>
      <c r="DO216" s="252"/>
      <c r="DP216" s="252"/>
      <c r="DQ216" s="252"/>
      <c r="DR216" s="252"/>
      <c r="DS216" s="252"/>
      <c r="DT216" s="252"/>
      <c r="DU216" s="252"/>
      <c r="DV216" s="488"/>
    </row>
    <row r="217" spans="2:126" x14ac:dyDescent="0.15">
      <c r="B217" s="312"/>
      <c r="C217" s="1621" t="s">
        <v>1044</v>
      </c>
      <c r="D217" s="1621"/>
      <c r="E217" s="1621"/>
      <c r="F217" s="1621"/>
      <c r="G217" s="1621"/>
      <c r="H217" s="1621"/>
      <c r="I217" s="1621"/>
      <c r="J217" s="1621"/>
      <c r="K217" s="1621"/>
      <c r="L217" s="1621"/>
      <c r="M217" s="1621"/>
      <c r="N217" s="1621"/>
      <c r="O217" s="1621"/>
      <c r="P217" s="1621"/>
      <c r="Q217" s="1621"/>
      <c r="R217" s="1621"/>
      <c r="S217" s="1621"/>
      <c r="T217" s="1621"/>
      <c r="U217" s="1621"/>
      <c r="V217" s="1621"/>
      <c r="W217" s="1621"/>
      <c r="X217" s="1621"/>
      <c r="Y217" s="1621"/>
      <c r="Z217" s="1621"/>
      <c r="AA217" s="1621"/>
      <c r="AB217" s="1621"/>
      <c r="AC217" s="1621"/>
      <c r="AD217" s="1621"/>
      <c r="AE217" s="1621"/>
      <c r="AF217" s="1621"/>
      <c r="AG217" s="1621"/>
      <c r="AH217" s="1621"/>
      <c r="AI217" s="1621"/>
      <c r="AJ217" s="1621"/>
      <c r="AK217" s="1621"/>
      <c r="AL217" s="1621"/>
      <c r="AM217" s="1621"/>
      <c r="AN217" s="1621"/>
      <c r="AO217" s="1621"/>
      <c r="AP217" s="1621"/>
      <c r="AQ217" s="1621"/>
      <c r="AR217" s="1621"/>
      <c r="AS217" s="1621"/>
      <c r="AT217" s="1621"/>
      <c r="AU217" s="1621"/>
      <c r="AV217" s="1621"/>
      <c r="AW217" s="1621"/>
      <c r="AX217" s="1621"/>
      <c r="AY217" s="1621"/>
      <c r="AZ217" s="1621"/>
      <c r="BA217" s="1621"/>
      <c r="BB217" s="1621"/>
      <c r="BC217" s="1621"/>
      <c r="BD217" s="1621"/>
      <c r="BE217" s="1621"/>
      <c r="BF217" s="1621"/>
      <c r="BG217" s="311"/>
      <c r="BI217" s="487"/>
      <c r="BJ217" s="252"/>
      <c r="BK217" s="252"/>
      <c r="BL217" s="252"/>
      <c r="BM217" s="252"/>
      <c r="BN217" s="252"/>
      <c r="BO217" s="252"/>
      <c r="BP217" s="252"/>
      <c r="BQ217" s="252"/>
      <c r="BR217" s="252"/>
      <c r="BS217" s="252"/>
      <c r="BT217" s="252"/>
      <c r="BU217" s="252"/>
      <c r="BV217" s="252"/>
      <c r="BW217" s="252"/>
      <c r="BX217" s="252"/>
      <c r="BY217" s="252"/>
      <c r="BZ217" s="252"/>
      <c r="CA217" s="252"/>
      <c r="CB217" s="252"/>
      <c r="CC217" s="252"/>
      <c r="CD217" s="252"/>
      <c r="CE217" s="252"/>
      <c r="CF217" s="252"/>
      <c r="CG217" s="252"/>
      <c r="CH217" s="252"/>
      <c r="CI217" s="252"/>
      <c r="CJ217" s="252"/>
      <c r="CK217" s="252"/>
      <c r="CL217" s="252"/>
      <c r="CM217" s="252"/>
      <c r="CN217" s="252"/>
      <c r="CO217" s="252"/>
      <c r="CP217" s="252"/>
      <c r="CQ217" s="252"/>
      <c r="CR217" s="252"/>
      <c r="CS217" s="252"/>
      <c r="CT217" s="252"/>
      <c r="CU217" s="252"/>
      <c r="CV217" s="252"/>
      <c r="CW217" s="252"/>
      <c r="CX217" s="252"/>
      <c r="CY217" s="252"/>
      <c r="CZ217" s="252"/>
      <c r="DA217" s="252"/>
      <c r="DB217" s="252"/>
      <c r="DC217" s="252"/>
      <c r="DD217" s="252"/>
      <c r="DE217" s="252"/>
      <c r="DF217" s="252"/>
      <c r="DG217" s="252"/>
      <c r="DH217" s="252"/>
      <c r="DI217" s="252"/>
      <c r="DJ217" s="252"/>
      <c r="DK217" s="252"/>
      <c r="DL217" s="252"/>
      <c r="DM217" s="252"/>
      <c r="DN217" s="252"/>
      <c r="DO217" s="252"/>
      <c r="DP217" s="252"/>
      <c r="DQ217" s="252"/>
      <c r="DR217" s="252"/>
      <c r="DS217" s="252"/>
      <c r="DT217" s="252"/>
      <c r="DU217" s="252"/>
      <c r="DV217" s="488"/>
    </row>
    <row r="218" spans="2:126" x14ac:dyDescent="0.15">
      <c r="B218" s="312"/>
      <c r="C218" s="1614" t="s">
        <v>1139</v>
      </c>
      <c r="D218" s="1614"/>
      <c r="E218" s="1614"/>
      <c r="F218" s="1614"/>
      <c r="G218" s="1614"/>
      <c r="H218" s="1614"/>
      <c r="I218" s="1614"/>
      <c r="J218" s="1614"/>
      <c r="K218" s="1614"/>
      <c r="L218" s="1614"/>
      <c r="M218" s="1614"/>
      <c r="N218" s="1614"/>
      <c r="O218" s="1614"/>
      <c r="P218" s="1614"/>
      <c r="Q218" s="1614"/>
      <c r="R218" s="1614"/>
      <c r="S218" s="1614"/>
      <c r="T218" s="1614"/>
      <c r="U218" s="1614"/>
      <c r="V218" s="1614"/>
      <c r="W218" s="1614"/>
      <c r="X218" s="1614"/>
      <c r="Y218" s="1614"/>
      <c r="Z218" s="1614"/>
      <c r="AA218" s="1614"/>
      <c r="AB218" s="1614"/>
      <c r="AC218" s="1614"/>
      <c r="AD218" s="1614"/>
      <c r="AE218" s="1614"/>
      <c r="AF218" s="1614"/>
      <c r="AG218" s="1614"/>
      <c r="AH218" s="1614"/>
      <c r="AI218" s="1614"/>
      <c r="AJ218" s="1614"/>
      <c r="AK218" s="1614"/>
      <c r="AL218" s="1614"/>
      <c r="AM218" s="1614"/>
      <c r="AN218" s="1614"/>
      <c r="AO218" s="1614"/>
      <c r="AP218" s="1614"/>
      <c r="AQ218" s="1614"/>
      <c r="AR218" s="1614"/>
      <c r="AS218" s="1614"/>
      <c r="AT218" s="1614"/>
      <c r="AU218" s="1614"/>
      <c r="AV218" s="1614"/>
      <c r="AW218" s="1614"/>
      <c r="AX218" s="1614"/>
      <c r="AY218" s="1614"/>
      <c r="AZ218" s="1614"/>
      <c r="BA218" s="1614"/>
      <c r="BB218" s="1614"/>
      <c r="BC218" s="1614"/>
      <c r="BD218" s="1614"/>
      <c r="BE218" s="1614"/>
      <c r="BF218" s="1614"/>
      <c r="BG218" s="311"/>
      <c r="BI218" s="487"/>
      <c r="BJ218" s="252"/>
      <c r="BK218" s="252"/>
      <c r="BL218" s="252"/>
      <c r="BM218" s="252"/>
      <c r="BN218" s="252"/>
      <c r="BO218" s="252"/>
      <c r="BP218" s="252"/>
      <c r="BQ218" s="252"/>
      <c r="BR218" s="252"/>
      <c r="BS218" s="252"/>
      <c r="BT218" s="252"/>
      <c r="BU218" s="252"/>
      <c r="BV218" s="252"/>
      <c r="BW218" s="252"/>
      <c r="BX218" s="252"/>
      <c r="BY218" s="252"/>
      <c r="BZ218" s="252"/>
      <c r="CA218" s="252"/>
      <c r="CB218" s="252"/>
      <c r="CC218" s="252"/>
      <c r="CD218" s="252"/>
      <c r="CE218" s="252"/>
      <c r="CF218" s="252"/>
      <c r="CG218" s="252"/>
      <c r="CH218" s="252"/>
      <c r="CI218" s="252"/>
      <c r="CJ218" s="252"/>
      <c r="CK218" s="252"/>
      <c r="CL218" s="252"/>
      <c r="CM218" s="252"/>
      <c r="CN218" s="252"/>
      <c r="CO218" s="252"/>
      <c r="CP218" s="252"/>
      <c r="CQ218" s="252"/>
      <c r="CR218" s="252"/>
      <c r="CS218" s="252"/>
      <c r="CT218" s="252"/>
      <c r="CU218" s="252"/>
      <c r="CV218" s="252"/>
      <c r="CW218" s="252"/>
      <c r="CX218" s="252"/>
      <c r="CY218" s="252"/>
      <c r="CZ218" s="252"/>
      <c r="DA218" s="252"/>
      <c r="DB218" s="252"/>
      <c r="DC218" s="252"/>
      <c r="DD218" s="252"/>
      <c r="DE218" s="252"/>
      <c r="DF218" s="252"/>
      <c r="DG218" s="252"/>
      <c r="DH218" s="252"/>
      <c r="DI218" s="252"/>
      <c r="DJ218" s="252"/>
      <c r="DK218" s="252"/>
      <c r="DL218" s="252"/>
      <c r="DM218" s="252"/>
      <c r="DN218" s="252"/>
      <c r="DO218" s="252"/>
      <c r="DP218" s="252"/>
      <c r="DQ218" s="252"/>
      <c r="DR218" s="252"/>
      <c r="DS218" s="252"/>
      <c r="DT218" s="252"/>
      <c r="DU218" s="252"/>
      <c r="DV218" s="488"/>
    </row>
    <row r="219" spans="2:126" x14ac:dyDescent="0.15">
      <c r="B219" s="312"/>
      <c r="C219" s="1614"/>
      <c r="D219" s="1614"/>
      <c r="E219" s="1614"/>
      <c r="F219" s="1614"/>
      <c r="G219" s="1614"/>
      <c r="H219" s="1614"/>
      <c r="I219" s="1614"/>
      <c r="J219" s="1614"/>
      <c r="K219" s="1614"/>
      <c r="L219" s="1614"/>
      <c r="M219" s="1614"/>
      <c r="N219" s="1614"/>
      <c r="O219" s="1614"/>
      <c r="P219" s="1614"/>
      <c r="Q219" s="1614"/>
      <c r="R219" s="1614"/>
      <c r="S219" s="1614"/>
      <c r="T219" s="1614"/>
      <c r="U219" s="1614"/>
      <c r="V219" s="1614"/>
      <c r="W219" s="1614"/>
      <c r="X219" s="1614"/>
      <c r="Y219" s="1614"/>
      <c r="Z219" s="1614"/>
      <c r="AA219" s="1614"/>
      <c r="AB219" s="1614"/>
      <c r="AC219" s="1614"/>
      <c r="AD219" s="1614"/>
      <c r="AE219" s="1614"/>
      <c r="AF219" s="1614"/>
      <c r="AG219" s="1614"/>
      <c r="AH219" s="1614"/>
      <c r="AI219" s="1614"/>
      <c r="AJ219" s="1614"/>
      <c r="AK219" s="1614"/>
      <c r="AL219" s="1614"/>
      <c r="AM219" s="1614"/>
      <c r="AN219" s="1614"/>
      <c r="AO219" s="1614"/>
      <c r="AP219" s="1614"/>
      <c r="AQ219" s="1614"/>
      <c r="AR219" s="1614"/>
      <c r="AS219" s="1614"/>
      <c r="AT219" s="1614"/>
      <c r="AU219" s="1614"/>
      <c r="AV219" s="1614"/>
      <c r="AW219" s="1614"/>
      <c r="AX219" s="1614"/>
      <c r="AY219" s="1614"/>
      <c r="AZ219" s="1614"/>
      <c r="BA219" s="1614"/>
      <c r="BB219" s="1614"/>
      <c r="BC219" s="1614"/>
      <c r="BD219" s="1614"/>
      <c r="BE219" s="1614"/>
      <c r="BF219" s="1614"/>
      <c r="BG219" s="311"/>
      <c r="BI219" s="487"/>
      <c r="BJ219" s="252"/>
      <c r="BK219" s="252"/>
      <c r="BL219" s="252"/>
      <c r="BM219" s="252"/>
      <c r="BN219" s="252"/>
      <c r="BO219" s="252"/>
      <c r="BP219" s="252"/>
      <c r="BQ219" s="252"/>
      <c r="BR219" s="252"/>
      <c r="BS219" s="252"/>
      <c r="BT219" s="252"/>
      <c r="BU219" s="252"/>
      <c r="BV219" s="252"/>
      <c r="BW219" s="252"/>
      <c r="BX219" s="252"/>
      <c r="BY219" s="252"/>
      <c r="BZ219" s="252"/>
      <c r="CA219" s="252"/>
      <c r="CB219" s="252"/>
      <c r="CC219" s="252"/>
      <c r="CD219" s="252"/>
      <c r="CE219" s="252"/>
      <c r="CF219" s="252"/>
      <c r="CG219" s="252"/>
      <c r="CH219" s="252"/>
      <c r="CI219" s="252"/>
      <c r="CJ219" s="252"/>
      <c r="CK219" s="252"/>
      <c r="CL219" s="252"/>
      <c r="CM219" s="252"/>
      <c r="CN219" s="252"/>
      <c r="CO219" s="252"/>
      <c r="CP219" s="252"/>
      <c r="CQ219" s="252"/>
      <c r="CR219" s="252"/>
      <c r="CS219" s="252"/>
      <c r="CT219" s="252"/>
      <c r="CU219" s="252"/>
      <c r="CV219" s="252"/>
      <c r="CW219" s="252"/>
      <c r="CX219" s="252"/>
      <c r="CY219" s="252"/>
      <c r="CZ219" s="252"/>
      <c r="DA219" s="252"/>
      <c r="DB219" s="252"/>
      <c r="DC219" s="252"/>
      <c r="DD219" s="252"/>
      <c r="DE219" s="252"/>
      <c r="DF219" s="252"/>
      <c r="DG219" s="252"/>
      <c r="DH219" s="252"/>
      <c r="DI219" s="252"/>
      <c r="DJ219" s="252"/>
      <c r="DK219" s="252"/>
      <c r="DL219" s="252"/>
      <c r="DM219" s="252"/>
      <c r="DN219" s="252"/>
      <c r="DO219" s="252"/>
      <c r="DP219" s="252"/>
      <c r="DQ219" s="252"/>
      <c r="DR219" s="252"/>
      <c r="DS219" s="252"/>
      <c r="DT219" s="252"/>
      <c r="DU219" s="252"/>
      <c r="DV219" s="488"/>
    </row>
    <row r="220" spans="2:126" x14ac:dyDescent="0.15">
      <c r="B220" s="312"/>
      <c r="C220" s="1614"/>
      <c r="D220" s="1614"/>
      <c r="E220" s="1614"/>
      <c r="F220" s="1614"/>
      <c r="G220" s="1614"/>
      <c r="H220" s="1614"/>
      <c r="I220" s="1614"/>
      <c r="J220" s="1614"/>
      <c r="K220" s="1614"/>
      <c r="L220" s="1614"/>
      <c r="M220" s="1614"/>
      <c r="N220" s="1614"/>
      <c r="O220" s="1614"/>
      <c r="P220" s="1614"/>
      <c r="Q220" s="1614"/>
      <c r="R220" s="1614"/>
      <c r="S220" s="1614"/>
      <c r="T220" s="1614"/>
      <c r="U220" s="1614"/>
      <c r="V220" s="1614"/>
      <c r="W220" s="1614"/>
      <c r="X220" s="1614"/>
      <c r="Y220" s="1614"/>
      <c r="Z220" s="1614"/>
      <c r="AA220" s="1614"/>
      <c r="AB220" s="1614"/>
      <c r="AC220" s="1614"/>
      <c r="AD220" s="1614"/>
      <c r="AE220" s="1614"/>
      <c r="AF220" s="1614"/>
      <c r="AG220" s="1614"/>
      <c r="AH220" s="1614"/>
      <c r="AI220" s="1614"/>
      <c r="AJ220" s="1614"/>
      <c r="AK220" s="1614"/>
      <c r="AL220" s="1614"/>
      <c r="AM220" s="1614"/>
      <c r="AN220" s="1614"/>
      <c r="AO220" s="1614"/>
      <c r="AP220" s="1614"/>
      <c r="AQ220" s="1614"/>
      <c r="AR220" s="1614"/>
      <c r="AS220" s="1614"/>
      <c r="AT220" s="1614"/>
      <c r="AU220" s="1614"/>
      <c r="AV220" s="1614"/>
      <c r="AW220" s="1614"/>
      <c r="AX220" s="1614"/>
      <c r="AY220" s="1614"/>
      <c r="AZ220" s="1614"/>
      <c r="BA220" s="1614"/>
      <c r="BB220" s="1614"/>
      <c r="BC220" s="1614"/>
      <c r="BD220" s="1614"/>
      <c r="BE220" s="1614"/>
      <c r="BF220" s="1614"/>
      <c r="BG220" s="311"/>
      <c r="BI220" s="487"/>
      <c r="BJ220" s="252"/>
      <c r="BK220" s="252"/>
      <c r="BL220" s="252"/>
      <c r="BM220" s="252"/>
      <c r="BN220" s="252"/>
      <c r="BO220" s="252"/>
      <c r="BP220" s="252"/>
      <c r="BQ220" s="252"/>
      <c r="BR220" s="252"/>
      <c r="BS220" s="252"/>
      <c r="BT220" s="252"/>
      <c r="BU220" s="252"/>
      <c r="BV220" s="252"/>
      <c r="BW220" s="252"/>
      <c r="BX220" s="252"/>
      <c r="BY220" s="252"/>
      <c r="BZ220" s="252"/>
      <c r="CA220" s="252"/>
      <c r="CB220" s="252"/>
      <c r="CC220" s="252"/>
      <c r="CD220" s="252"/>
      <c r="CE220" s="252"/>
      <c r="CF220" s="252"/>
      <c r="CG220" s="252"/>
      <c r="CH220" s="252"/>
      <c r="CI220" s="252"/>
      <c r="CJ220" s="252"/>
      <c r="CK220" s="252"/>
      <c r="CL220" s="252"/>
      <c r="CM220" s="252"/>
      <c r="CN220" s="252"/>
      <c r="CO220" s="252"/>
      <c r="CP220" s="252"/>
      <c r="CQ220" s="252"/>
      <c r="CR220" s="252"/>
      <c r="CS220" s="252"/>
      <c r="CT220" s="252"/>
      <c r="CU220" s="252"/>
      <c r="CV220" s="252"/>
      <c r="CW220" s="252"/>
      <c r="CX220" s="252"/>
      <c r="CY220" s="252"/>
      <c r="CZ220" s="252"/>
      <c r="DA220" s="252"/>
      <c r="DB220" s="252"/>
      <c r="DC220" s="252"/>
      <c r="DD220" s="252"/>
      <c r="DE220" s="252"/>
      <c r="DF220" s="252"/>
      <c r="DG220" s="252"/>
      <c r="DH220" s="252"/>
      <c r="DI220" s="252"/>
      <c r="DJ220" s="252"/>
      <c r="DK220" s="252"/>
      <c r="DL220" s="252"/>
      <c r="DM220" s="252"/>
      <c r="DN220" s="252"/>
      <c r="DO220" s="252"/>
      <c r="DP220" s="252"/>
      <c r="DQ220" s="252"/>
      <c r="DR220" s="252"/>
      <c r="DS220" s="252"/>
      <c r="DT220" s="252"/>
      <c r="DU220" s="252"/>
      <c r="DV220" s="488"/>
    </row>
    <row r="221" spans="2:126" ht="22.5" customHeight="1" x14ac:dyDescent="0.15">
      <c r="B221" s="312"/>
      <c r="C221" s="1020"/>
      <c r="D221" s="1026"/>
      <c r="E221" s="1610" t="s">
        <v>1045</v>
      </c>
      <c r="F221" s="1610"/>
      <c r="G221" s="1610"/>
      <c r="H221" s="1610"/>
      <c r="I221" s="1610"/>
      <c r="J221" s="1610"/>
      <c r="K221" s="1610"/>
      <c r="L221" s="1610"/>
      <c r="M221" s="1610"/>
      <c r="N221" s="1610"/>
      <c r="O221" s="1610"/>
      <c r="P221" s="1610"/>
      <c r="Q221" s="1610"/>
      <c r="R221" s="1610"/>
      <c r="S221" s="1610"/>
      <c r="T221" s="1610"/>
      <c r="U221" s="1610"/>
      <c r="V221" s="1610"/>
      <c r="W221" s="1610"/>
      <c r="X221" s="1610"/>
      <c r="Y221" s="1610"/>
      <c r="Z221" s="1610"/>
      <c r="AA221" s="1610"/>
      <c r="AB221" s="1610"/>
      <c r="AC221" s="1020"/>
      <c r="AD221" s="1020"/>
      <c r="AE221" s="1020"/>
      <c r="AF221" s="1020"/>
      <c r="AG221" s="1020"/>
      <c r="AH221" s="1020"/>
      <c r="AI221" s="1020"/>
      <c r="AJ221" s="1020"/>
      <c r="AK221" s="1020"/>
      <c r="AL221" s="1020"/>
      <c r="AM221" s="1020"/>
      <c r="AN221" s="1020"/>
      <c r="AO221" s="1020"/>
      <c r="AP221" s="1020"/>
      <c r="AQ221" s="1020"/>
      <c r="AR221" s="1020"/>
      <c r="AS221" s="1020"/>
      <c r="AT221" s="1020"/>
      <c r="AU221" s="1020"/>
      <c r="AV221" s="1020"/>
      <c r="AW221" s="1020"/>
      <c r="AX221" s="1020"/>
      <c r="AY221" s="1020"/>
      <c r="AZ221" s="1020"/>
      <c r="BA221" s="1020"/>
      <c r="BB221" s="1020"/>
      <c r="BC221" s="1020"/>
      <c r="BD221" s="1020"/>
      <c r="BE221" s="1020"/>
      <c r="BF221" s="1020"/>
      <c r="BG221" s="311"/>
      <c r="BI221" s="487"/>
      <c r="BJ221" s="252"/>
      <c r="BK221" s="252"/>
      <c r="BL221" s="252"/>
      <c r="BM221" s="252"/>
      <c r="BN221" s="252"/>
      <c r="BO221" s="252"/>
      <c r="BP221" s="252"/>
      <c r="BQ221" s="252"/>
      <c r="BR221" s="252"/>
      <c r="BS221" s="252"/>
      <c r="BT221" s="252"/>
      <c r="BU221" s="252"/>
      <c r="BV221" s="252"/>
      <c r="BW221" s="252"/>
      <c r="BX221" s="252"/>
      <c r="BY221" s="252"/>
      <c r="BZ221" s="252"/>
      <c r="CA221" s="252"/>
      <c r="CB221" s="252"/>
      <c r="CC221" s="252"/>
      <c r="CD221" s="252"/>
      <c r="CE221" s="252"/>
      <c r="CF221" s="252"/>
      <c r="CG221" s="252"/>
      <c r="CH221" s="252"/>
      <c r="CI221" s="252"/>
      <c r="CJ221" s="252"/>
      <c r="CK221" s="252"/>
      <c r="CL221" s="252"/>
      <c r="CM221" s="252"/>
      <c r="CN221" s="252"/>
      <c r="CO221" s="252"/>
      <c r="CP221" s="252"/>
      <c r="CQ221" s="252"/>
      <c r="CR221" s="252"/>
      <c r="CS221" s="252"/>
      <c r="CT221" s="252"/>
      <c r="CU221" s="252"/>
      <c r="CV221" s="252"/>
      <c r="CW221" s="252"/>
      <c r="CX221" s="252"/>
      <c r="CY221" s="252"/>
      <c r="CZ221" s="252"/>
      <c r="DA221" s="252"/>
      <c r="DB221" s="252"/>
      <c r="DC221" s="252"/>
      <c r="DD221" s="252"/>
      <c r="DE221" s="252"/>
      <c r="DF221" s="252"/>
      <c r="DG221" s="252"/>
      <c r="DH221" s="252"/>
      <c r="DI221" s="252"/>
      <c r="DJ221" s="252"/>
      <c r="DK221" s="252"/>
      <c r="DL221" s="252"/>
      <c r="DM221" s="252"/>
      <c r="DN221" s="252"/>
      <c r="DO221" s="252"/>
      <c r="DP221" s="252"/>
      <c r="DQ221" s="252"/>
      <c r="DR221" s="252"/>
      <c r="DS221" s="252"/>
      <c r="DT221" s="252"/>
      <c r="DU221" s="252"/>
      <c r="DV221" s="488"/>
    </row>
    <row r="222" spans="2:126" ht="22.5" customHeight="1" x14ac:dyDescent="0.15">
      <c r="B222" s="312"/>
      <c r="C222" s="1020"/>
      <c r="D222" s="1026"/>
      <c r="E222" s="1610" t="s">
        <v>1046</v>
      </c>
      <c r="F222" s="1610"/>
      <c r="G222" s="1610"/>
      <c r="H222" s="1610"/>
      <c r="I222" s="1610"/>
      <c r="J222" s="1610"/>
      <c r="K222" s="1610"/>
      <c r="L222" s="1610"/>
      <c r="M222" s="1610"/>
      <c r="N222" s="1610"/>
      <c r="O222" s="1610"/>
      <c r="P222" s="1610"/>
      <c r="Q222" s="1610"/>
      <c r="R222" s="1610"/>
      <c r="S222" s="1610"/>
      <c r="T222" s="1610"/>
      <c r="U222" s="1610"/>
      <c r="V222" s="1610"/>
      <c r="W222" s="1610"/>
      <c r="X222" s="1610"/>
      <c r="Y222" s="1610"/>
      <c r="Z222" s="1610"/>
      <c r="AA222" s="1610"/>
      <c r="AB222" s="1610"/>
      <c r="AC222" s="1020"/>
      <c r="AD222" s="1020"/>
      <c r="AE222" s="1020"/>
      <c r="AF222" s="1020"/>
      <c r="AG222" s="1020"/>
      <c r="AH222" s="1020"/>
      <c r="AI222" s="1020"/>
      <c r="AJ222" s="1020"/>
      <c r="AK222" s="1020"/>
      <c r="AL222" s="1020"/>
      <c r="AM222" s="1020"/>
      <c r="AN222" s="1020"/>
      <c r="AO222" s="1020"/>
      <c r="AP222" s="1020"/>
      <c r="AQ222" s="1020"/>
      <c r="AR222" s="1020"/>
      <c r="AS222" s="1020"/>
      <c r="AT222" s="1020"/>
      <c r="AU222" s="1020"/>
      <c r="AV222" s="1020"/>
      <c r="AW222" s="1020"/>
      <c r="AX222" s="1020"/>
      <c r="AY222" s="1020"/>
      <c r="AZ222" s="1020"/>
      <c r="BA222" s="1020"/>
      <c r="BB222" s="1020"/>
      <c r="BC222" s="1020"/>
      <c r="BD222" s="1020"/>
      <c r="BE222" s="1020"/>
      <c r="BF222" s="1020"/>
      <c r="BG222" s="311"/>
      <c r="BI222" s="487"/>
      <c r="BJ222" s="252"/>
      <c r="BK222" s="252"/>
      <c r="BL222" s="252"/>
      <c r="BM222" s="252"/>
      <c r="BN222" s="252"/>
      <c r="BO222" s="252"/>
      <c r="BP222" s="252"/>
      <c r="BQ222" s="252"/>
      <c r="BR222" s="252"/>
      <c r="BS222" s="252"/>
      <c r="BT222" s="252"/>
      <c r="BU222" s="252"/>
      <c r="BV222" s="252"/>
      <c r="BW222" s="252"/>
      <c r="BX222" s="252"/>
      <c r="BY222" s="252"/>
      <c r="BZ222" s="252"/>
      <c r="CA222" s="252"/>
      <c r="CB222" s="252"/>
      <c r="CC222" s="252"/>
      <c r="CD222" s="252"/>
      <c r="CE222" s="252"/>
      <c r="CF222" s="252"/>
      <c r="CG222" s="252"/>
      <c r="CH222" s="252"/>
      <c r="CI222" s="252"/>
      <c r="CJ222" s="252"/>
      <c r="CK222" s="252"/>
      <c r="CL222" s="252"/>
      <c r="CM222" s="252"/>
      <c r="CN222" s="252"/>
      <c r="CO222" s="252"/>
      <c r="CP222" s="252"/>
      <c r="CQ222" s="252"/>
      <c r="CR222" s="252"/>
      <c r="CS222" s="252"/>
      <c r="CT222" s="252"/>
      <c r="CU222" s="252"/>
      <c r="CV222" s="252"/>
      <c r="CW222" s="252"/>
      <c r="CX222" s="252"/>
      <c r="CY222" s="252"/>
      <c r="CZ222" s="252"/>
      <c r="DA222" s="252"/>
      <c r="DB222" s="252"/>
      <c r="DC222" s="252"/>
      <c r="DD222" s="252"/>
      <c r="DE222" s="252"/>
      <c r="DF222" s="252"/>
      <c r="DG222" s="252"/>
      <c r="DH222" s="252"/>
      <c r="DI222" s="252"/>
      <c r="DJ222" s="252"/>
      <c r="DK222" s="252"/>
      <c r="DL222" s="252"/>
      <c r="DM222" s="252"/>
      <c r="DN222" s="252"/>
      <c r="DO222" s="252"/>
      <c r="DP222" s="252"/>
      <c r="DQ222" s="252"/>
      <c r="DR222" s="252"/>
      <c r="DS222" s="252"/>
      <c r="DT222" s="252"/>
      <c r="DU222" s="252"/>
      <c r="DV222" s="488"/>
    </row>
    <row r="223" spans="2:126" x14ac:dyDescent="0.15">
      <c r="B223" s="312"/>
      <c r="C223" s="1612" t="s">
        <v>1047</v>
      </c>
      <c r="D223" s="1612"/>
      <c r="E223" s="1612"/>
      <c r="F223" s="1612"/>
      <c r="G223" s="1612"/>
      <c r="H223" s="1612"/>
      <c r="I223" s="1612"/>
      <c r="J223" s="1612"/>
      <c r="K223" s="1612"/>
      <c r="L223" s="1612"/>
      <c r="M223" s="1612"/>
      <c r="N223" s="1612"/>
      <c r="O223" s="1612"/>
      <c r="P223" s="1612"/>
      <c r="Q223" s="1612"/>
      <c r="R223" s="1612"/>
      <c r="S223" s="1612"/>
      <c r="T223" s="1612"/>
      <c r="U223" s="1612"/>
      <c r="V223" s="1612"/>
      <c r="W223" s="1612"/>
      <c r="X223" s="1612"/>
      <c r="Y223" s="1612"/>
      <c r="Z223" s="1612"/>
      <c r="AA223" s="1612"/>
      <c r="AB223" s="1612"/>
      <c r="AC223" s="1612"/>
      <c r="AD223" s="1612"/>
      <c r="AE223" s="1612"/>
      <c r="AF223" s="1612"/>
      <c r="AG223" s="1612"/>
      <c r="AH223" s="1612"/>
      <c r="AI223" s="1612"/>
      <c r="AJ223" s="1612"/>
      <c r="AK223" s="1612"/>
      <c r="AL223" s="1612"/>
      <c r="AM223" s="1612"/>
      <c r="AN223" s="1612"/>
      <c r="AO223" s="1612"/>
      <c r="AP223" s="1612"/>
      <c r="AQ223" s="1612"/>
      <c r="AR223" s="1612"/>
      <c r="AS223" s="1612"/>
      <c r="AT223" s="1612"/>
      <c r="AU223" s="1612"/>
      <c r="AV223" s="1612"/>
      <c r="AW223" s="1612"/>
      <c r="AX223" s="1612"/>
      <c r="AY223" s="1612"/>
      <c r="AZ223" s="1612"/>
      <c r="BA223" s="1612"/>
      <c r="BB223" s="1612"/>
      <c r="BC223" s="1612"/>
      <c r="BD223" s="1612"/>
      <c r="BE223" s="1612"/>
      <c r="BF223" s="1612"/>
      <c r="BG223" s="311"/>
      <c r="BI223" s="487"/>
      <c r="BJ223" s="252"/>
      <c r="BK223" s="252"/>
      <c r="BL223" s="252"/>
      <c r="BM223" s="252"/>
      <c r="BN223" s="252"/>
      <c r="BO223" s="252"/>
      <c r="BP223" s="252"/>
      <c r="BQ223" s="252"/>
      <c r="BR223" s="252"/>
      <c r="BS223" s="252"/>
      <c r="BT223" s="252"/>
      <c r="BU223" s="252"/>
      <c r="BV223" s="252"/>
      <c r="BW223" s="252"/>
      <c r="BX223" s="252"/>
      <c r="BY223" s="252"/>
      <c r="BZ223" s="252"/>
      <c r="CA223" s="252"/>
      <c r="CB223" s="252"/>
      <c r="CC223" s="252"/>
      <c r="CD223" s="252"/>
      <c r="CE223" s="252"/>
      <c r="CF223" s="252"/>
      <c r="CG223" s="252"/>
      <c r="CH223" s="252"/>
      <c r="CI223" s="252"/>
      <c r="CJ223" s="252"/>
      <c r="CK223" s="252"/>
      <c r="CL223" s="252"/>
      <c r="CM223" s="252"/>
      <c r="CN223" s="252"/>
      <c r="CO223" s="252"/>
      <c r="CP223" s="252"/>
      <c r="CQ223" s="252"/>
      <c r="CR223" s="252"/>
      <c r="CS223" s="252"/>
      <c r="CT223" s="252"/>
      <c r="CU223" s="252"/>
      <c r="CV223" s="252"/>
      <c r="CW223" s="252"/>
      <c r="CX223" s="252"/>
      <c r="CY223" s="252"/>
      <c r="CZ223" s="252"/>
      <c r="DA223" s="252"/>
      <c r="DB223" s="252"/>
      <c r="DC223" s="252"/>
      <c r="DD223" s="252"/>
      <c r="DE223" s="252"/>
      <c r="DF223" s="252"/>
      <c r="DG223" s="252"/>
      <c r="DH223" s="252"/>
      <c r="DI223" s="252"/>
      <c r="DJ223" s="252"/>
      <c r="DK223" s="252"/>
      <c r="DL223" s="252"/>
      <c r="DM223" s="252"/>
      <c r="DN223" s="252"/>
      <c r="DO223" s="252"/>
      <c r="DP223" s="252"/>
      <c r="DQ223" s="252"/>
      <c r="DR223" s="252"/>
      <c r="DS223" s="252"/>
      <c r="DT223" s="252"/>
      <c r="DU223" s="252"/>
      <c r="DV223" s="488"/>
    </row>
    <row r="224" spans="2:126" x14ac:dyDescent="0.15">
      <c r="B224" s="312"/>
      <c r="C224" s="1612"/>
      <c r="D224" s="1612"/>
      <c r="E224" s="1612"/>
      <c r="F224" s="1612"/>
      <c r="G224" s="1612"/>
      <c r="H224" s="1612"/>
      <c r="I224" s="1612"/>
      <c r="J224" s="1612"/>
      <c r="K224" s="1612"/>
      <c r="L224" s="1612"/>
      <c r="M224" s="1612"/>
      <c r="N224" s="1612"/>
      <c r="O224" s="1612"/>
      <c r="P224" s="1612"/>
      <c r="Q224" s="1612"/>
      <c r="R224" s="1612"/>
      <c r="S224" s="1612"/>
      <c r="T224" s="1612"/>
      <c r="U224" s="1612"/>
      <c r="V224" s="1612"/>
      <c r="W224" s="1612"/>
      <c r="X224" s="1612"/>
      <c r="Y224" s="1612"/>
      <c r="Z224" s="1612"/>
      <c r="AA224" s="1612"/>
      <c r="AB224" s="1612"/>
      <c r="AC224" s="1612"/>
      <c r="AD224" s="1612"/>
      <c r="AE224" s="1612"/>
      <c r="AF224" s="1612"/>
      <c r="AG224" s="1612"/>
      <c r="AH224" s="1612"/>
      <c r="AI224" s="1612"/>
      <c r="AJ224" s="1612"/>
      <c r="AK224" s="1612"/>
      <c r="AL224" s="1612"/>
      <c r="AM224" s="1612"/>
      <c r="AN224" s="1612"/>
      <c r="AO224" s="1612"/>
      <c r="AP224" s="1612"/>
      <c r="AQ224" s="1612"/>
      <c r="AR224" s="1612"/>
      <c r="AS224" s="1612"/>
      <c r="AT224" s="1612"/>
      <c r="AU224" s="1612"/>
      <c r="AV224" s="1612"/>
      <c r="AW224" s="1612"/>
      <c r="AX224" s="1612"/>
      <c r="AY224" s="1612"/>
      <c r="AZ224" s="1612"/>
      <c r="BA224" s="1612"/>
      <c r="BB224" s="1612"/>
      <c r="BC224" s="1612"/>
      <c r="BD224" s="1612"/>
      <c r="BE224" s="1612"/>
      <c r="BF224" s="1612"/>
      <c r="BG224" s="311"/>
      <c r="BI224" s="487"/>
      <c r="BJ224" s="252"/>
      <c r="BK224" s="252"/>
      <c r="BL224" s="252"/>
      <c r="BM224" s="252"/>
      <c r="BN224" s="252"/>
      <c r="BO224" s="252"/>
      <c r="BP224" s="252"/>
      <c r="BQ224" s="252"/>
      <c r="BR224" s="252"/>
      <c r="BS224" s="252"/>
      <c r="BT224" s="252"/>
      <c r="BU224" s="252"/>
      <c r="BV224" s="252"/>
      <c r="BW224" s="252"/>
      <c r="BX224" s="252"/>
      <c r="BY224" s="252"/>
      <c r="BZ224" s="252"/>
      <c r="CA224" s="252"/>
      <c r="CB224" s="252"/>
      <c r="CC224" s="252"/>
      <c r="CD224" s="252"/>
      <c r="CE224" s="252"/>
      <c r="CF224" s="252"/>
      <c r="CG224" s="252"/>
      <c r="CH224" s="252"/>
      <c r="CI224" s="252"/>
      <c r="CJ224" s="252"/>
      <c r="CK224" s="252"/>
      <c r="CL224" s="252"/>
      <c r="CM224" s="252"/>
      <c r="CN224" s="252"/>
      <c r="CO224" s="252"/>
      <c r="CP224" s="252"/>
      <c r="CQ224" s="252"/>
      <c r="CR224" s="252"/>
      <c r="CS224" s="252"/>
      <c r="CT224" s="252"/>
      <c r="CU224" s="252"/>
      <c r="CV224" s="252"/>
      <c r="CW224" s="252"/>
      <c r="CX224" s="252"/>
      <c r="CY224" s="252"/>
      <c r="CZ224" s="252"/>
      <c r="DA224" s="252"/>
      <c r="DB224" s="252"/>
      <c r="DC224" s="252"/>
      <c r="DD224" s="252"/>
      <c r="DE224" s="252"/>
      <c r="DF224" s="252"/>
      <c r="DG224" s="252"/>
      <c r="DH224" s="252"/>
      <c r="DI224" s="252"/>
      <c r="DJ224" s="252"/>
      <c r="DK224" s="252"/>
      <c r="DL224" s="252"/>
      <c r="DM224" s="252"/>
      <c r="DN224" s="252"/>
      <c r="DO224" s="252"/>
      <c r="DP224" s="252"/>
      <c r="DQ224" s="252"/>
      <c r="DR224" s="252"/>
      <c r="DS224" s="252"/>
      <c r="DT224" s="252"/>
      <c r="DU224" s="252"/>
      <c r="DV224" s="488"/>
    </row>
    <row r="225" spans="2:126" x14ac:dyDescent="0.15">
      <c r="B225" s="312"/>
      <c r="C225" s="1020"/>
      <c r="D225" s="1020"/>
      <c r="E225" s="1020"/>
      <c r="F225" s="1020"/>
      <c r="G225" s="1020"/>
      <c r="H225" s="1020"/>
      <c r="I225" s="1020"/>
      <c r="J225" s="1020"/>
      <c r="K225" s="1020"/>
      <c r="L225" s="1020"/>
      <c r="M225" s="1020"/>
      <c r="N225" s="1020"/>
      <c r="O225" s="1020"/>
      <c r="P225" s="1020"/>
      <c r="Q225" s="1020"/>
      <c r="R225" s="1020"/>
      <c r="S225" s="1020"/>
      <c r="T225" s="1020"/>
      <c r="U225" s="1020"/>
      <c r="V225" s="1020"/>
      <c r="W225" s="1020"/>
      <c r="X225" s="1020"/>
      <c r="Y225" s="1020"/>
      <c r="Z225" s="1020"/>
      <c r="AA225" s="1020"/>
      <c r="AB225" s="1020"/>
      <c r="AC225" s="1020"/>
      <c r="AD225" s="1020"/>
      <c r="AE225" s="1020"/>
      <c r="AF225" s="1020"/>
      <c r="AG225" s="1020"/>
      <c r="AH225" s="1020"/>
      <c r="AI225" s="1020"/>
      <c r="AJ225" s="1020"/>
      <c r="AK225" s="1020"/>
      <c r="AL225" s="1020"/>
      <c r="AM225" s="1020"/>
      <c r="AN225" s="1020"/>
      <c r="AO225" s="1020"/>
      <c r="AP225" s="1020"/>
      <c r="AQ225" s="1020"/>
      <c r="AR225" s="1020"/>
      <c r="AS225" s="1020"/>
      <c r="AT225" s="1020"/>
      <c r="AU225" s="1020"/>
      <c r="AV225" s="1020"/>
      <c r="AW225" s="1020"/>
      <c r="AX225" s="1020"/>
      <c r="AY225" s="1020"/>
      <c r="AZ225" s="1020"/>
      <c r="BA225" s="1020"/>
      <c r="BB225" s="1020"/>
      <c r="BC225" s="1020"/>
      <c r="BD225" s="1020"/>
      <c r="BE225" s="1020"/>
      <c r="BF225" s="1020"/>
      <c r="BG225" s="311"/>
      <c r="BI225" s="487"/>
      <c r="BJ225" s="252"/>
      <c r="BK225" s="252"/>
      <c r="BL225" s="252"/>
      <c r="BM225" s="252"/>
      <c r="BN225" s="252"/>
      <c r="BO225" s="252"/>
      <c r="BP225" s="252"/>
      <c r="BQ225" s="252"/>
      <c r="BR225" s="252"/>
      <c r="BS225" s="252"/>
      <c r="BT225" s="252"/>
      <c r="BU225" s="252"/>
      <c r="BV225" s="252"/>
      <c r="BW225" s="252"/>
      <c r="BX225" s="252"/>
      <c r="BY225" s="252"/>
      <c r="BZ225" s="252"/>
      <c r="CA225" s="252"/>
      <c r="CB225" s="252"/>
      <c r="CC225" s="252"/>
      <c r="CD225" s="252"/>
      <c r="CE225" s="252"/>
      <c r="CF225" s="252"/>
      <c r="CG225" s="252"/>
      <c r="CH225" s="252"/>
      <c r="CI225" s="252"/>
      <c r="CJ225" s="252"/>
      <c r="CK225" s="252"/>
      <c r="CL225" s="252"/>
      <c r="CM225" s="252"/>
      <c r="CN225" s="252"/>
      <c r="CO225" s="252"/>
      <c r="CP225" s="252"/>
      <c r="CQ225" s="252"/>
      <c r="CR225" s="252"/>
      <c r="CS225" s="252"/>
      <c r="CT225" s="252"/>
      <c r="CU225" s="252"/>
      <c r="CV225" s="252"/>
      <c r="CW225" s="252"/>
      <c r="CX225" s="252"/>
      <c r="CY225" s="252"/>
      <c r="CZ225" s="252"/>
      <c r="DA225" s="252"/>
      <c r="DB225" s="252"/>
      <c r="DC225" s="252"/>
      <c r="DD225" s="252"/>
      <c r="DE225" s="252"/>
      <c r="DF225" s="252"/>
      <c r="DG225" s="252"/>
      <c r="DH225" s="252"/>
      <c r="DI225" s="252"/>
      <c r="DJ225" s="252"/>
      <c r="DK225" s="252"/>
      <c r="DL225" s="252"/>
      <c r="DM225" s="252"/>
      <c r="DN225" s="252"/>
      <c r="DO225" s="252"/>
      <c r="DP225" s="252"/>
      <c r="DQ225" s="252"/>
      <c r="DR225" s="252"/>
      <c r="DS225" s="252"/>
      <c r="DT225" s="252"/>
      <c r="DU225" s="252"/>
      <c r="DV225" s="488"/>
    </row>
    <row r="226" spans="2:126" ht="14.25" customHeight="1" x14ac:dyDescent="0.15">
      <c r="B226" s="312"/>
      <c r="C226" s="1612" t="s">
        <v>1140</v>
      </c>
      <c r="D226" s="1612"/>
      <c r="E226" s="1612"/>
      <c r="F226" s="1612"/>
      <c r="G226" s="1612"/>
      <c r="H226" s="1612"/>
      <c r="I226" s="1612"/>
      <c r="J226" s="1612"/>
      <c r="K226" s="1612"/>
      <c r="L226" s="1612"/>
      <c r="M226" s="1612"/>
      <c r="N226" s="1612"/>
      <c r="O226" s="1612"/>
      <c r="P226" s="1612"/>
      <c r="Q226" s="1612"/>
      <c r="R226" s="1612"/>
      <c r="S226" s="1612"/>
      <c r="T226" s="1612"/>
      <c r="U226" s="1612"/>
      <c r="V226" s="1612"/>
      <c r="W226" s="1612"/>
      <c r="X226" s="1612"/>
      <c r="Y226" s="1612"/>
      <c r="Z226" s="1612"/>
      <c r="AA226" s="1612"/>
      <c r="AB226" s="1612"/>
      <c r="AC226" s="1612"/>
      <c r="AD226" s="1612"/>
      <c r="AE226" s="1612"/>
      <c r="AF226" s="1612"/>
      <c r="AG226" s="1612"/>
      <c r="AH226" s="1612"/>
      <c r="AI226" s="1612"/>
      <c r="AJ226" s="1612"/>
      <c r="AK226" s="1612"/>
      <c r="AL226" s="1612"/>
      <c r="AM226" s="1612"/>
      <c r="AN226" s="1612"/>
      <c r="AO226" s="1612"/>
      <c r="AP226" s="1612"/>
      <c r="AQ226" s="1612"/>
      <c r="AR226" s="1612"/>
      <c r="AS226" s="1612"/>
      <c r="AT226" s="1612"/>
      <c r="AU226" s="1612"/>
      <c r="AV226" s="1612"/>
      <c r="AW226" s="1612"/>
      <c r="AX226" s="1612"/>
      <c r="AY226" s="1612"/>
      <c r="AZ226" s="1612"/>
      <c r="BA226" s="1612"/>
      <c r="BB226" s="1612"/>
      <c r="BC226" s="1612"/>
      <c r="BD226" s="1612"/>
      <c r="BE226" s="1612"/>
      <c r="BF226" s="1612"/>
      <c r="BG226" s="311"/>
      <c r="BI226" s="487"/>
      <c r="BJ226" s="252"/>
      <c r="BK226" s="252"/>
      <c r="BL226" s="252"/>
      <c r="BM226" s="252"/>
      <c r="BN226" s="252"/>
      <c r="BO226" s="252"/>
      <c r="BP226" s="252"/>
      <c r="BQ226" s="252"/>
      <c r="BR226" s="252"/>
      <c r="BS226" s="252"/>
      <c r="BT226" s="252"/>
      <c r="BU226" s="252"/>
      <c r="BV226" s="252"/>
      <c r="BW226" s="252"/>
      <c r="BX226" s="252"/>
      <c r="BY226" s="252"/>
      <c r="BZ226" s="252"/>
      <c r="CA226" s="252"/>
      <c r="CB226" s="252"/>
      <c r="CC226" s="252"/>
      <c r="CD226" s="252"/>
      <c r="CE226" s="252"/>
      <c r="CF226" s="252"/>
      <c r="CG226" s="252"/>
      <c r="CH226" s="252"/>
      <c r="CI226" s="252"/>
      <c r="CJ226" s="252"/>
      <c r="CK226" s="252"/>
      <c r="CL226" s="252"/>
      <c r="CM226" s="252"/>
      <c r="CN226" s="252"/>
      <c r="CO226" s="252"/>
      <c r="CP226" s="252"/>
      <c r="CQ226" s="252"/>
      <c r="CR226" s="252"/>
      <c r="CS226" s="252"/>
      <c r="CT226" s="252"/>
      <c r="CU226" s="252"/>
      <c r="CV226" s="252"/>
      <c r="CW226" s="252"/>
      <c r="CX226" s="252"/>
      <c r="CY226" s="252"/>
      <c r="CZ226" s="252"/>
      <c r="DA226" s="252"/>
      <c r="DB226" s="252"/>
      <c r="DC226" s="252"/>
      <c r="DD226" s="252"/>
      <c r="DE226" s="252"/>
      <c r="DF226" s="252"/>
      <c r="DG226" s="252"/>
      <c r="DH226" s="252"/>
      <c r="DI226" s="252"/>
      <c r="DJ226" s="252"/>
      <c r="DK226" s="252"/>
      <c r="DL226" s="252"/>
      <c r="DM226" s="252"/>
      <c r="DN226" s="252"/>
      <c r="DO226" s="252"/>
      <c r="DP226" s="252"/>
      <c r="DQ226" s="252"/>
      <c r="DR226" s="252"/>
      <c r="DS226" s="252"/>
      <c r="DT226" s="252"/>
      <c r="DU226" s="252"/>
      <c r="DV226" s="488"/>
    </row>
    <row r="227" spans="2:126" x14ac:dyDescent="0.15">
      <c r="B227" s="312"/>
      <c r="C227" s="1612"/>
      <c r="D227" s="1612"/>
      <c r="E227" s="1612"/>
      <c r="F227" s="1612"/>
      <c r="G227" s="1612"/>
      <c r="H227" s="1612"/>
      <c r="I227" s="1612"/>
      <c r="J227" s="1612"/>
      <c r="K227" s="1612"/>
      <c r="L227" s="1612"/>
      <c r="M227" s="1612"/>
      <c r="N227" s="1612"/>
      <c r="O227" s="1612"/>
      <c r="P227" s="1612"/>
      <c r="Q227" s="1612"/>
      <c r="R227" s="1612"/>
      <c r="S227" s="1612"/>
      <c r="T227" s="1612"/>
      <c r="U227" s="1612"/>
      <c r="V227" s="1612"/>
      <c r="W227" s="1612"/>
      <c r="X227" s="1612"/>
      <c r="Y227" s="1612"/>
      <c r="Z227" s="1612"/>
      <c r="AA227" s="1612"/>
      <c r="AB227" s="1612"/>
      <c r="AC227" s="1612"/>
      <c r="AD227" s="1612"/>
      <c r="AE227" s="1612"/>
      <c r="AF227" s="1612"/>
      <c r="AG227" s="1612"/>
      <c r="AH227" s="1612"/>
      <c r="AI227" s="1612"/>
      <c r="AJ227" s="1612"/>
      <c r="AK227" s="1612"/>
      <c r="AL227" s="1612"/>
      <c r="AM227" s="1612"/>
      <c r="AN227" s="1612"/>
      <c r="AO227" s="1612"/>
      <c r="AP227" s="1612"/>
      <c r="AQ227" s="1612"/>
      <c r="AR227" s="1612"/>
      <c r="AS227" s="1612"/>
      <c r="AT227" s="1612"/>
      <c r="AU227" s="1612"/>
      <c r="AV227" s="1612"/>
      <c r="AW227" s="1612"/>
      <c r="AX227" s="1612"/>
      <c r="AY227" s="1612"/>
      <c r="AZ227" s="1612"/>
      <c r="BA227" s="1612"/>
      <c r="BB227" s="1612"/>
      <c r="BC227" s="1612"/>
      <c r="BD227" s="1612"/>
      <c r="BE227" s="1612"/>
      <c r="BF227" s="1612"/>
      <c r="BG227" s="311"/>
      <c r="BI227" s="487"/>
      <c r="BJ227" s="252"/>
      <c r="BK227" s="252"/>
      <c r="BL227" s="252"/>
      <c r="BM227" s="252"/>
      <c r="BN227" s="252"/>
      <c r="BO227" s="252"/>
      <c r="BP227" s="252"/>
      <c r="BQ227" s="252"/>
      <c r="BR227" s="252"/>
      <c r="BS227" s="252"/>
      <c r="BT227" s="252"/>
      <c r="BU227" s="252"/>
      <c r="BV227" s="252"/>
      <c r="BW227" s="252"/>
      <c r="BX227" s="252"/>
      <c r="BY227" s="252"/>
      <c r="BZ227" s="252"/>
      <c r="CA227" s="252"/>
      <c r="CB227" s="252"/>
      <c r="CC227" s="252"/>
      <c r="CD227" s="252"/>
      <c r="CE227" s="252"/>
      <c r="CF227" s="252"/>
      <c r="CG227" s="252"/>
      <c r="CH227" s="252"/>
      <c r="CI227" s="252"/>
      <c r="CJ227" s="252"/>
      <c r="CK227" s="252"/>
      <c r="CL227" s="252"/>
      <c r="CM227" s="252"/>
      <c r="CN227" s="252"/>
      <c r="CO227" s="252"/>
      <c r="CP227" s="252"/>
      <c r="CQ227" s="252"/>
      <c r="CR227" s="252"/>
      <c r="CS227" s="252"/>
      <c r="CT227" s="252"/>
      <c r="CU227" s="252"/>
      <c r="CV227" s="252"/>
      <c r="CW227" s="252"/>
      <c r="CX227" s="252"/>
      <c r="CY227" s="252"/>
      <c r="CZ227" s="252"/>
      <c r="DA227" s="252"/>
      <c r="DB227" s="252"/>
      <c r="DC227" s="252"/>
      <c r="DD227" s="252"/>
      <c r="DE227" s="252"/>
      <c r="DF227" s="252"/>
      <c r="DG227" s="252"/>
      <c r="DH227" s="252"/>
      <c r="DI227" s="252"/>
      <c r="DJ227" s="252"/>
      <c r="DK227" s="252"/>
      <c r="DL227" s="252"/>
      <c r="DM227" s="252"/>
      <c r="DN227" s="252"/>
      <c r="DO227" s="252"/>
      <c r="DP227" s="252"/>
      <c r="DQ227" s="252"/>
      <c r="DR227" s="252"/>
      <c r="DS227" s="252"/>
      <c r="DT227" s="252"/>
      <c r="DU227" s="252"/>
      <c r="DV227" s="488"/>
    </row>
    <row r="228" spans="2:126" ht="28.5" customHeight="1" x14ac:dyDescent="0.15">
      <c r="B228" s="312"/>
      <c r="C228" s="1612"/>
      <c r="D228" s="1612"/>
      <c r="E228" s="1612"/>
      <c r="F228" s="1612"/>
      <c r="G228" s="1612"/>
      <c r="H228" s="1612"/>
      <c r="I228" s="1612"/>
      <c r="J228" s="1612"/>
      <c r="K228" s="1612"/>
      <c r="L228" s="1612"/>
      <c r="M228" s="1612"/>
      <c r="N228" s="1612"/>
      <c r="O228" s="1612"/>
      <c r="P228" s="1612"/>
      <c r="Q228" s="1612"/>
      <c r="R228" s="1612"/>
      <c r="S228" s="1612"/>
      <c r="T228" s="1612"/>
      <c r="U228" s="1612"/>
      <c r="V228" s="1612"/>
      <c r="W228" s="1612"/>
      <c r="X228" s="1612"/>
      <c r="Y228" s="1612"/>
      <c r="Z228" s="1612"/>
      <c r="AA228" s="1612"/>
      <c r="AB228" s="1612"/>
      <c r="AC228" s="1612"/>
      <c r="AD228" s="1612"/>
      <c r="AE228" s="1612"/>
      <c r="AF228" s="1612"/>
      <c r="AG228" s="1612"/>
      <c r="AH228" s="1612"/>
      <c r="AI228" s="1612"/>
      <c r="AJ228" s="1612"/>
      <c r="AK228" s="1612"/>
      <c r="AL228" s="1612"/>
      <c r="AM228" s="1612"/>
      <c r="AN228" s="1612"/>
      <c r="AO228" s="1612"/>
      <c r="AP228" s="1612"/>
      <c r="AQ228" s="1612"/>
      <c r="AR228" s="1612"/>
      <c r="AS228" s="1612"/>
      <c r="AT228" s="1612"/>
      <c r="AU228" s="1612"/>
      <c r="AV228" s="1612"/>
      <c r="AW228" s="1612"/>
      <c r="AX228" s="1612"/>
      <c r="AY228" s="1612"/>
      <c r="AZ228" s="1612"/>
      <c r="BA228" s="1612"/>
      <c r="BB228" s="1612"/>
      <c r="BC228" s="1612"/>
      <c r="BD228" s="1612"/>
      <c r="BE228" s="1612"/>
      <c r="BF228" s="1612"/>
      <c r="BG228" s="311"/>
      <c r="BI228" s="487"/>
      <c r="BJ228" s="252"/>
      <c r="BK228" s="252"/>
      <c r="BL228" s="252"/>
      <c r="BM228" s="252"/>
      <c r="BN228" s="252"/>
      <c r="BO228" s="252"/>
      <c r="BP228" s="252"/>
      <c r="BQ228" s="252"/>
      <c r="BR228" s="252"/>
      <c r="BS228" s="252"/>
      <c r="BT228" s="252"/>
      <c r="BU228" s="252"/>
      <c r="BV228" s="252"/>
      <c r="BW228" s="252"/>
      <c r="BX228" s="252"/>
      <c r="BY228" s="252"/>
      <c r="BZ228" s="252"/>
      <c r="CA228" s="252"/>
      <c r="CB228" s="252"/>
      <c r="CC228" s="252"/>
      <c r="CD228" s="252"/>
      <c r="CE228" s="252"/>
      <c r="CF228" s="252"/>
      <c r="CG228" s="252"/>
      <c r="CH228" s="252"/>
      <c r="CI228" s="252"/>
      <c r="CJ228" s="252"/>
      <c r="CK228" s="252"/>
      <c r="CL228" s="252"/>
      <c r="CM228" s="252"/>
      <c r="CN228" s="252"/>
      <c r="CO228" s="252"/>
      <c r="CP228" s="252"/>
      <c r="CQ228" s="252"/>
      <c r="CR228" s="252"/>
      <c r="CS228" s="252"/>
      <c r="CT228" s="252"/>
      <c r="CU228" s="252"/>
      <c r="CV228" s="252"/>
      <c r="CW228" s="252"/>
      <c r="CX228" s="252"/>
      <c r="CY228" s="252"/>
      <c r="CZ228" s="252"/>
      <c r="DA228" s="252"/>
      <c r="DB228" s="252"/>
      <c r="DC228" s="252"/>
      <c r="DD228" s="252"/>
      <c r="DE228" s="252"/>
      <c r="DF228" s="252"/>
      <c r="DG228" s="252"/>
      <c r="DH228" s="252"/>
      <c r="DI228" s="252"/>
      <c r="DJ228" s="252"/>
      <c r="DK228" s="252"/>
      <c r="DL228" s="252"/>
      <c r="DM228" s="252"/>
      <c r="DN228" s="252"/>
      <c r="DO228" s="252"/>
      <c r="DP228" s="252"/>
      <c r="DQ228" s="252"/>
      <c r="DR228" s="252"/>
      <c r="DS228" s="252"/>
      <c r="DT228" s="252"/>
      <c r="DU228" s="252"/>
      <c r="DV228" s="488"/>
    </row>
    <row r="229" spans="2:126" x14ac:dyDescent="0.15">
      <c r="B229" s="312"/>
      <c r="C229" s="1021"/>
      <c r="D229" s="1021"/>
      <c r="E229" s="1021"/>
      <c r="F229" s="1021"/>
      <c r="G229" s="1021"/>
      <c r="H229" s="1021"/>
      <c r="I229" s="1021"/>
      <c r="J229" s="1021"/>
      <c r="K229" s="1021"/>
      <c r="L229" s="1021"/>
      <c r="M229" s="1021"/>
      <c r="N229" s="1021"/>
      <c r="O229" s="1021"/>
      <c r="P229" s="1021"/>
      <c r="Q229" s="1021"/>
      <c r="R229" s="1021"/>
      <c r="S229" s="1021"/>
      <c r="T229" s="1021"/>
      <c r="U229" s="1021"/>
      <c r="V229" s="1021"/>
      <c r="W229" s="1021"/>
      <c r="X229" s="1021"/>
      <c r="Y229" s="1021"/>
      <c r="Z229" s="1021"/>
      <c r="AA229" s="1021"/>
      <c r="AB229" s="1021"/>
      <c r="AC229" s="1021"/>
      <c r="AD229" s="1021"/>
      <c r="AE229" s="1021"/>
      <c r="AF229" s="1021"/>
      <c r="AG229" s="1021"/>
      <c r="AH229" s="1021"/>
      <c r="AI229" s="1021"/>
      <c r="AJ229" s="1021"/>
      <c r="AK229" s="1021"/>
      <c r="AL229" s="1021"/>
      <c r="AM229" s="1021"/>
      <c r="AN229" s="1021"/>
      <c r="AO229" s="1021"/>
      <c r="AP229" s="1021"/>
      <c r="AQ229" s="1021"/>
      <c r="AR229" s="1021"/>
      <c r="AS229" s="1021"/>
      <c r="AT229" s="1021"/>
      <c r="AU229" s="1021"/>
      <c r="AV229" s="1021"/>
      <c r="AW229" s="1021"/>
      <c r="AX229" s="1021"/>
      <c r="AY229" s="1021"/>
      <c r="AZ229" s="1021"/>
      <c r="BA229" s="1021"/>
      <c r="BB229" s="1021"/>
      <c r="BC229" s="1021"/>
      <c r="BD229" s="1021"/>
      <c r="BE229" s="1021"/>
      <c r="BF229" s="1021"/>
      <c r="BG229" s="311"/>
      <c r="BI229" s="487"/>
      <c r="BJ229" s="252"/>
      <c r="BK229" s="252"/>
      <c r="BL229" s="252"/>
      <c r="BM229" s="252"/>
      <c r="BN229" s="252"/>
      <c r="BO229" s="252"/>
      <c r="BP229" s="252"/>
      <c r="BQ229" s="252"/>
      <c r="BR229" s="252"/>
      <c r="BS229" s="252"/>
      <c r="BT229" s="252"/>
      <c r="BU229" s="252"/>
      <c r="BV229" s="252"/>
      <c r="BW229" s="252"/>
      <c r="BX229" s="252"/>
      <c r="BY229" s="252"/>
      <c r="BZ229" s="252"/>
      <c r="CA229" s="252"/>
      <c r="CB229" s="252"/>
      <c r="CC229" s="252"/>
      <c r="CD229" s="252"/>
      <c r="CE229" s="252"/>
      <c r="CF229" s="252"/>
      <c r="CG229" s="252"/>
      <c r="CH229" s="252"/>
      <c r="CI229" s="252"/>
      <c r="CJ229" s="252"/>
      <c r="CK229" s="252"/>
      <c r="CL229" s="252"/>
      <c r="CM229" s="252"/>
      <c r="CN229" s="252"/>
      <c r="CO229" s="252"/>
      <c r="CP229" s="252"/>
      <c r="CQ229" s="252"/>
      <c r="CR229" s="252"/>
      <c r="CS229" s="252"/>
      <c r="CT229" s="252"/>
      <c r="CU229" s="252"/>
      <c r="CV229" s="252"/>
      <c r="CW229" s="252"/>
      <c r="CX229" s="252"/>
      <c r="CY229" s="252"/>
      <c r="CZ229" s="252"/>
      <c r="DA229" s="252"/>
      <c r="DB229" s="252"/>
      <c r="DC229" s="252"/>
      <c r="DD229" s="252"/>
      <c r="DE229" s="252"/>
      <c r="DF229" s="252"/>
      <c r="DG229" s="252"/>
      <c r="DH229" s="252"/>
      <c r="DI229" s="252"/>
      <c r="DJ229" s="252"/>
      <c r="DK229" s="252"/>
      <c r="DL229" s="252"/>
      <c r="DM229" s="252"/>
      <c r="DN229" s="252"/>
      <c r="DO229" s="252"/>
      <c r="DP229" s="252"/>
      <c r="DQ229" s="252"/>
      <c r="DR229" s="252"/>
      <c r="DS229" s="252"/>
      <c r="DT229" s="252"/>
      <c r="DU229" s="252"/>
      <c r="DV229" s="488"/>
    </row>
    <row r="230" spans="2:126" x14ac:dyDescent="0.15">
      <c r="B230" s="312"/>
      <c r="C230" s="1612" t="s">
        <v>1141</v>
      </c>
      <c r="D230" s="1612"/>
      <c r="E230" s="1612"/>
      <c r="F230" s="1612"/>
      <c r="G230" s="1612"/>
      <c r="H230" s="1612"/>
      <c r="I230" s="1612"/>
      <c r="J230" s="1612"/>
      <c r="K230" s="1612"/>
      <c r="L230" s="1612"/>
      <c r="M230" s="1612"/>
      <c r="N230" s="1612"/>
      <c r="O230" s="1612"/>
      <c r="P230" s="1612"/>
      <c r="Q230" s="1612"/>
      <c r="R230" s="1612"/>
      <c r="S230" s="1612"/>
      <c r="T230" s="1612"/>
      <c r="U230" s="1612"/>
      <c r="V230" s="1612"/>
      <c r="W230" s="1612"/>
      <c r="X230" s="1612"/>
      <c r="Y230" s="1612"/>
      <c r="Z230" s="1612"/>
      <c r="AA230" s="1612"/>
      <c r="AB230" s="1612"/>
      <c r="AC230" s="1612"/>
      <c r="AD230" s="1612"/>
      <c r="AE230" s="1612"/>
      <c r="AF230" s="1612"/>
      <c r="AG230" s="1612"/>
      <c r="AH230" s="1612"/>
      <c r="AI230" s="1612"/>
      <c r="AJ230" s="1612"/>
      <c r="AK230" s="1612"/>
      <c r="AL230" s="1612"/>
      <c r="AM230" s="1612"/>
      <c r="AN230" s="1612"/>
      <c r="AO230" s="1612"/>
      <c r="AP230" s="1612"/>
      <c r="AQ230" s="1612"/>
      <c r="AR230" s="1612"/>
      <c r="AS230" s="1612"/>
      <c r="AT230" s="1612"/>
      <c r="AU230" s="1612"/>
      <c r="AV230" s="1612"/>
      <c r="AW230" s="1612"/>
      <c r="AX230" s="1612"/>
      <c r="AY230" s="1612"/>
      <c r="AZ230" s="1612"/>
      <c r="BA230" s="1612"/>
      <c r="BB230" s="1612"/>
      <c r="BC230" s="1612"/>
      <c r="BD230" s="1612"/>
      <c r="BE230" s="1612"/>
      <c r="BF230" s="1612"/>
      <c r="BG230" s="311"/>
      <c r="BI230" s="487"/>
      <c r="BJ230" s="252"/>
      <c r="BK230" s="252"/>
      <c r="BL230" s="252"/>
      <c r="BM230" s="252"/>
      <c r="BN230" s="252"/>
      <c r="BO230" s="252"/>
      <c r="BP230" s="252"/>
      <c r="BQ230" s="252"/>
      <c r="BR230" s="252"/>
      <c r="BS230" s="252"/>
      <c r="BT230" s="252"/>
      <c r="BU230" s="252"/>
      <c r="BV230" s="252"/>
      <c r="BW230" s="252"/>
      <c r="BX230" s="252"/>
      <c r="BY230" s="252"/>
      <c r="BZ230" s="252"/>
      <c r="CA230" s="252"/>
      <c r="CB230" s="252"/>
      <c r="CC230" s="252"/>
      <c r="CD230" s="252"/>
      <c r="CE230" s="252"/>
      <c r="CF230" s="252"/>
      <c r="CG230" s="252"/>
      <c r="CH230" s="252"/>
      <c r="CI230" s="252"/>
      <c r="CJ230" s="252"/>
      <c r="CK230" s="252"/>
      <c r="CL230" s="252"/>
      <c r="CM230" s="252"/>
      <c r="CN230" s="252"/>
      <c r="CO230" s="252"/>
      <c r="CP230" s="252"/>
      <c r="CQ230" s="252"/>
      <c r="CR230" s="252"/>
      <c r="CS230" s="252"/>
      <c r="CT230" s="252"/>
      <c r="CU230" s="252"/>
      <c r="CV230" s="252"/>
      <c r="CW230" s="252"/>
      <c r="CX230" s="252"/>
      <c r="CY230" s="252"/>
      <c r="CZ230" s="252"/>
      <c r="DA230" s="252"/>
      <c r="DB230" s="252"/>
      <c r="DC230" s="252"/>
      <c r="DD230" s="252"/>
      <c r="DE230" s="252"/>
      <c r="DF230" s="252"/>
      <c r="DG230" s="252"/>
      <c r="DH230" s="252"/>
      <c r="DI230" s="252"/>
      <c r="DJ230" s="252"/>
      <c r="DK230" s="252"/>
      <c r="DL230" s="252"/>
      <c r="DM230" s="252"/>
      <c r="DN230" s="252"/>
      <c r="DO230" s="252"/>
      <c r="DP230" s="252"/>
      <c r="DQ230" s="252"/>
      <c r="DR230" s="252"/>
      <c r="DS230" s="252"/>
      <c r="DT230" s="252"/>
      <c r="DU230" s="252"/>
      <c r="DV230" s="488"/>
    </row>
    <row r="231" spans="2:126" x14ac:dyDescent="0.15">
      <c r="B231" s="312"/>
      <c r="C231" s="1612"/>
      <c r="D231" s="1612"/>
      <c r="E231" s="1612"/>
      <c r="F231" s="1612"/>
      <c r="G231" s="1612"/>
      <c r="H231" s="1612"/>
      <c r="I231" s="1612"/>
      <c r="J231" s="1612"/>
      <c r="K231" s="1612"/>
      <c r="L231" s="1612"/>
      <c r="M231" s="1612"/>
      <c r="N231" s="1612"/>
      <c r="O231" s="1612"/>
      <c r="P231" s="1612"/>
      <c r="Q231" s="1612"/>
      <c r="R231" s="1612"/>
      <c r="S231" s="1612"/>
      <c r="T231" s="1612"/>
      <c r="U231" s="1612"/>
      <c r="V231" s="1612"/>
      <c r="W231" s="1612"/>
      <c r="X231" s="1612"/>
      <c r="Y231" s="1612"/>
      <c r="Z231" s="1612"/>
      <c r="AA231" s="1612"/>
      <c r="AB231" s="1612"/>
      <c r="AC231" s="1612"/>
      <c r="AD231" s="1612"/>
      <c r="AE231" s="1612"/>
      <c r="AF231" s="1612"/>
      <c r="AG231" s="1612"/>
      <c r="AH231" s="1612"/>
      <c r="AI231" s="1612"/>
      <c r="AJ231" s="1612"/>
      <c r="AK231" s="1612"/>
      <c r="AL231" s="1612"/>
      <c r="AM231" s="1612"/>
      <c r="AN231" s="1612"/>
      <c r="AO231" s="1612"/>
      <c r="AP231" s="1612"/>
      <c r="AQ231" s="1612"/>
      <c r="AR231" s="1612"/>
      <c r="AS231" s="1612"/>
      <c r="AT231" s="1612"/>
      <c r="AU231" s="1612"/>
      <c r="AV231" s="1612"/>
      <c r="AW231" s="1612"/>
      <c r="AX231" s="1612"/>
      <c r="AY231" s="1612"/>
      <c r="AZ231" s="1612"/>
      <c r="BA231" s="1612"/>
      <c r="BB231" s="1612"/>
      <c r="BC231" s="1612"/>
      <c r="BD231" s="1612"/>
      <c r="BE231" s="1612"/>
      <c r="BF231" s="1612"/>
      <c r="BG231" s="311"/>
      <c r="BI231" s="487"/>
      <c r="BJ231" s="252"/>
      <c r="BK231" s="252"/>
      <c r="BL231" s="252"/>
      <c r="BM231" s="252"/>
      <c r="BN231" s="252"/>
      <c r="BO231" s="252"/>
      <c r="BP231" s="252"/>
      <c r="BQ231" s="252"/>
      <c r="BR231" s="252"/>
      <c r="BS231" s="252"/>
      <c r="BT231" s="252"/>
      <c r="BU231" s="252"/>
      <c r="BV231" s="252"/>
      <c r="BW231" s="252"/>
      <c r="BX231" s="252"/>
      <c r="BY231" s="252"/>
      <c r="BZ231" s="252"/>
      <c r="CA231" s="252"/>
      <c r="CB231" s="252"/>
      <c r="CC231" s="252"/>
      <c r="CD231" s="252"/>
      <c r="CE231" s="252"/>
      <c r="CF231" s="252"/>
      <c r="CG231" s="252"/>
      <c r="CH231" s="252"/>
      <c r="CI231" s="252"/>
      <c r="CJ231" s="252"/>
      <c r="CK231" s="252"/>
      <c r="CL231" s="252"/>
      <c r="CM231" s="252"/>
      <c r="CN231" s="252"/>
      <c r="CO231" s="252"/>
      <c r="CP231" s="252"/>
      <c r="CQ231" s="252"/>
      <c r="CR231" s="252"/>
      <c r="CS231" s="252"/>
      <c r="CT231" s="252"/>
      <c r="CU231" s="252"/>
      <c r="CV231" s="252"/>
      <c r="CW231" s="252"/>
      <c r="CX231" s="252"/>
      <c r="CY231" s="252"/>
      <c r="CZ231" s="252"/>
      <c r="DA231" s="252"/>
      <c r="DB231" s="252"/>
      <c r="DC231" s="252"/>
      <c r="DD231" s="252"/>
      <c r="DE231" s="252"/>
      <c r="DF231" s="252"/>
      <c r="DG231" s="252"/>
      <c r="DH231" s="252"/>
      <c r="DI231" s="252"/>
      <c r="DJ231" s="252"/>
      <c r="DK231" s="252"/>
      <c r="DL231" s="252"/>
      <c r="DM231" s="252"/>
      <c r="DN231" s="252"/>
      <c r="DO231" s="252"/>
      <c r="DP231" s="252"/>
      <c r="DQ231" s="252"/>
      <c r="DR231" s="252"/>
      <c r="DS231" s="252"/>
      <c r="DT231" s="252"/>
      <c r="DU231" s="252"/>
      <c r="DV231" s="488"/>
    </row>
    <row r="232" spans="2:126" x14ac:dyDescent="0.15">
      <c r="B232" s="312"/>
      <c r="C232" s="1020"/>
      <c r="D232" s="1020"/>
      <c r="E232" s="1020"/>
      <c r="F232" s="1020"/>
      <c r="G232" s="1020"/>
      <c r="H232" s="1020"/>
      <c r="I232" s="1020"/>
      <c r="J232" s="1020"/>
      <c r="K232" s="1020"/>
      <c r="L232" s="1020"/>
      <c r="M232" s="1020"/>
      <c r="N232" s="1020"/>
      <c r="O232" s="1020"/>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0"/>
      <c r="AT232" s="1020"/>
      <c r="AU232" s="1020"/>
      <c r="AV232" s="1020"/>
      <c r="AW232" s="1020"/>
      <c r="AX232" s="1020"/>
      <c r="AY232" s="1020"/>
      <c r="AZ232" s="1020"/>
      <c r="BA232" s="1020"/>
      <c r="BB232" s="1020"/>
      <c r="BC232" s="1020"/>
      <c r="BD232" s="1020"/>
      <c r="BE232" s="1020"/>
      <c r="BF232" s="1020"/>
      <c r="BG232" s="311"/>
      <c r="BI232" s="487"/>
      <c r="BJ232" s="252"/>
      <c r="BK232" s="252"/>
      <c r="BL232" s="252"/>
      <c r="BM232" s="252"/>
      <c r="BN232" s="252"/>
      <c r="BO232" s="252"/>
      <c r="BP232" s="252"/>
      <c r="BQ232" s="252"/>
      <c r="BR232" s="252"/>
      <c r="BS232" s="252"/>
      <c r="BT232" s="252"/>
      <c r="BU232" s="252"/>
      <c r="BV232" s="252"/>
      <c r="BW232" s="252"/>
      <c r="BX232" s="252"/>
      <c r="BY232" s="252"/>
      <c r="BZ232" s="252"/>
      <c r="CA232" s="252"/>
      <c r="CB232" s="252"/>
      <c r="CC232" s="252"/>
      <c r="CD232" s="252"/>
      <c r="CE232" s="252"/>
      <c r="CF232" s="252"/>
      <c r="CG232" s="252"/>
      <c r="CH232" s="252"/>
      <c r="CI232" s="252"/>
      <c r="CJ232" s="252"/>
      <c r="CK232" s="252"/>
      <c r="CL232" s="252"/>
      <c r="CM232" s="252"/>
      <c r="CN232" s="252"/>
      <c r="CO232" s="252"/>
      <c r="CP232" s="252"/>
      <c r="CQ232" s="252"/>
      <c r="CR232" s="252"/>
      <c r="CS232" s="252"/>
      <c r="CT232" s="252"/>
      <c r="CU232" s="252"/>
      <c r="CV232" s="252"/>
      <c r="CW232" s="252"/>
      <c r="CX232" s="252"/>
      <c r="CY232" s="252"/>
      <c r="CZ232" s="252"/>
      <c r="DA232" s="252"/>
      <c r="DB232" s="252"/>
      <c r="DC232" s="252"/>
      <c r="DD232" s="252"/>
      <c r="DE232" s="252"/>
      <c r="DF232" s="252"/>
      <c r="DG232" s="252"/>
      <c r="DH232" s="252"/>
      <c r="DI232" s="252"/>
      <c r="DJ232" s="252"/>
      <c r="DK232" s="252"/>
      <c r="DL232" s="252"/>
      <c r="DM232" s="252"/>
      <c r="DN232" s="252"/>
      <c r="DO232" s="252"/>
      <c r="DP232" s="252"/>
      <c r="DQ232" s="252"/>
      <c r="DR232" s="252"/>
      <c r="DS232" s="252"/>
      <c r="DT232" s="252"/>
      <c r="DU232" s="252"/>
      <c r="DV232" s="488"/>
    </row>
    <row r="233" spans="2:126" x14ac:dyDescent="0.15">
      <c r="B233" s="312"/>
      <c r="C233" s="1613" t="s">
        <v>1048</v>
      </c>
      <c r="D233" s="1613"/>
      <c r="E233" s="1613"/>
      <c r="F233" s="1613"/>
      <c r="G233" s="1613"/>
      <c r="H233" s="1613"/>
      <c r="I233" s="1613"/>
      <c r="J233" s="1613"/>
      <c r="K233" s="1613"/>
      <c r="L233" s="1613"/>
      <c r="M233" s="1613"/>
      <c r="N233" s="1613"/>
      <c r="O233" s="1613"/>
      <c r="P233" s="1613"/>
      <c r="Q233" s="1613"/>
      <c r="R233" s="1613"/>
      <c r="S233" s="1613"/>
      <c r="T233" s="1613"/>
      <c r="U233" s="1613"/>
      <c r="V233" s="1613"/>
      <c r="W233" s="1613"/>
      <c r="X233" s="1613"/>
      <c r="Y233" s="1613"/>
      <c r="Z233" s="1613"/>
      <c r="AA233" s="1613"/>
      <c r="AB233" s="1613"/>
      <c r="AC233" s="1613"/>
      <c r="AD233" s="1613"/>
      <c r="AE233" s="1613"/>
      <c r="AF233" s="1613"/>
      <c r="AG233" s="1613"/>
      <c r="AH233" s="1613"/>
      <c r="AI233" s="1613"/>
      <c r="AJ233" s="1613"/>
      <c r="AK233" s="1613"/>
      <c r="AL233" s="1613"/>
      <c r="AM233" s="1613"/>
      <c r="AN233" s="1613"/>
      <c r="AO233" s="1613"/>
      <c r="AP233" s="1613"/>
      <c r="AQ233" s="1613"/>
      <c r="AR233" s="1613"/>
      <c r="AS233" s="1613"/>
      <c r="AT233" s="1613"/>
      <c r="AU233" s="1613"/>
      <c r="AV233" s="1613"/>
      <c r="AW233" s="1613"/>
      <c r="AX233" s="1613"/>
      <c r="AY233" s="1613"/>
      <c r="AZ233" s="1613"/>
      <c r="BA233" s="1613"/>
      <c r="BB233" s="1613"/>
      <c r="BC233" s="1613"/>
      <c r="BD233" s="1613"/>
      <c r="BE233" s="1613"/>
      <c r="BF233" s="1613"/>
      <c r="BG233" s="311"/>
      <c r="BI233" s="487"/>
      <c r="BJ233" s="252"/>
      <c r="BK233" s="252"/>
      <c r="BL233" s="252"/>
      <c r="BM233" s="252"/>
      <c r="BN233" s="252"/>
      <c r="BO233" s="252"/>
      <c r="BP233" s="252"/>
      <c r="BQ233" s="252"/>
      <c r="BR233" s="252"/>
      <c r="BS233" s="252"/>
      <c r="BT233" s="252"/>
      <c r="BU233" s="252"/>
      <c r="BV233" s="252"/>
      <c r="BW233" s="252"/>
      <c r="BX233" s="252"/>
      <c r="BY233" s="252"/>
      <c r="BZ233" s="252"/>
      <c r="CA233" s="252"/>
      <c r="CB233" s="252"/>
      <c r="CC233" s="252"/>
      <c r="CD233" s="252"/>
      <c r="CE233" s="252"/>
      <c r="CF233" s="252"/>
      <c r="CG233" s="252"/>
      <c r="CH233" s="252"/>
      <c r="CI233" s="252"/>
      <c r="CJ233" s="252"/>
      <c r="CK233" s="252"/>
      <c r="CL233" s="252"/>
      <c r="CM233" s="252"/>
      <c r="CN233" s="252"/>
      <c r="CO233" s="252"/>
      <c r="CP233" s="252"/>
      <c r="CQ233" s="252"/>
      <c r="CR233" s="252"/>
      <c r="CS233" s="252"/>
      <c r="CT233" s="252"/>
      <c r="CU233" s="252"/>
      <c r="CV233" s="252"/>
      <c r="CW233" s="252"/>
      <c r="CX233" s="252"/>
      <c r="CY233" s="252"/>
      <c r="CZ233" s="252"/>
      <c r="DA233" s="252"/>
      <c r="DB233" s="252"/>
      <c r="DC233" s="252"/>
      <c r="DD233" s="252"/>
      <c r="DE233" s="252"/>
      <c r="DF233" s="252"/>
      <c r="DG233" s="252"/>
      <c r="DH233" s="252"/>
      <c r="DI233" s="252"/>
      <c r="DJ233" s="252"/>
      <c r="DK233" s="252"/>
      <c r="DL233" s="252"/>
      <c r="DM233" s="252"/>
      <c r="DN233" s="252"/>
      <c r="DO233" s="252"/>
      <c r="DP233" s="252"/>
      <c r="DQ233" s="252"/>
      <c r="DR233" s="252"/>
      <c r="DS233" s="252"/>
      <c r="DT233" s="252"/>
      <c r="DU233" s="252"/>
      <c r="DV233" s="488"/>
    </row>
    <row r="234" spans="2:126" x14ac:dyDescent="0.15">
      <c r="B234" s="312"/>
      <c r="C234" s="251"/>
      <c r="D234" s="1042"/>
      <c r="E234" s="1610" t="s">
        <v>1049</v>
      </c>
      <c r="F234" s="1610"/>
      <c r="G234" s="1610"/>
      <c r="H234" s="1610"/>
      <c r="I234" s="1610"/>
      <c r="J234" s="1610"/>
      <c r="K234" s="1610"/>
      <c r="L234" s="1610"/>
      <c r="M234" s="1610"/>
      <c r="N234" s="1610"/>
      <c r="O234" s="1610"/>
      <c r="P234" s="1610"/>
      <c r="Q234" s="1610"/>
      <c r="R234" s="1610"/>
      <c r="S234" s="1610"/>
      <c r="T234" s="1610"/>
      <c r="U234" s="1610"/>
      <c r="V234" s="1610"/>
      <c r="W234" s="1610"/>
      <c r="X234" s="1610"/>
      <c r="Y234" s="1610"/>
      <c r="Z234" s="1610"/>
      <c r="AA234" s="1610"/>
      <c r="AB234" s="1610"/>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251"/>
      <c r="AX234" s="251"/>
      <c r="AY234" s="251"/>
      <c r="AZ234" s="251"/>
      <c r="BA234" s="251"/>
      <c r="BB234" s="251"/>
      <c r="BC234" s="251"/>
      <c r="BD234" s="251"/>
      <c r="BE234" s="251"/>
      <c r="BF234" s="251"/>
      <c r="BG234" s="311"/>
      <c r="BI234" s="487"/>
      <c r="BJ234" s="252"/>
      <c r="BK234" s="252"/>
      <c r="BL234" s="252"/>
      <c r="BM234" s="252"/>
      <c r="BN234" s="252"/>
      <c r="BO234" s="252"/>
      <c r="BP234" s="252"/>
      <c r="BQ234" s="252"/>
      <c r="BR234" s="252"/>
      <c r="BS234" s="252"/>
      <c r="BT234" s="252"/>
      <c r="BU234" s="252"/>
      <c r="BV234" s="252"/>
      <c r="BW234" s="252"/>
      <c r="BX234" s="252"/>
      <c r="BY234" s="252"/>
      <c r="BZ234" s="252"/>
      <c r="CA234" s="252"/>
      <c r="CB234" s="252"/>
      <c r="CC234" s="252"/>
      <c r="CD234" s="252"/>
      <c r="CE234" s="252"/>
      <c r="CF234" s="252"/>
      <c r="CG234" s="252"/>
      <c r="CH234" s="252"/>
      <c r="CI234" s="252"/>
      <c r="CJ234" s="252"/>
      <c r="CK234" s="252"/>
      <c r="CL234" s="252"/>
      <c r="CM234" s="252"/>
      <c r="CN234" s="252"/>
      <c r="CO234" s="252"/>
      <c r="CP234" s="252"/>
      <c r="CQ234" s="252"/>
      <c r="CR234" s="252"/>
      <c r="CS234" s="252"/>
      <c r="CT234" s="252"/>
      <c r="CU234" s="252"/>
      <c r="CV234" s="252"/>
      <c r="CW234" s="252"/>
      <c r="CX234" s="252"/>
      <c r="CY234" s="252"/>
      <c r="CZ234" s="252"/>
      <c r="DA234" s="252"/>
      <c r="DB234" s="252"/>
      <c r="DC234" s="252"/>
      <c r="DD234" s="252"/>
      <c r="DE234" s="252"/>
      <c r="DF234" s="252"/>
      <c r="DG234" s="252"/>
      <c r="DH234" s="252"/>
      <c r="DI234" s="252"/>
      <c r="DJ234" s="252"/>
      <c r="DK234" s="252"/>
      <c r="DL234" s="252"/>
      <c r="DM234" s="252"/>
      <c r="DN234" s="252"/>
      <c r="DO234" s="252"/>
      <c r="DP234" s="252"/>
      <c r="DQ234" s="252"/>
      <c r="DR234" s="252"/>
      <c r="DS234" s="252"/>
      <c r="DT234" s="252"/>
      <c r="DU234" s="252"/>
      <c r="DV234" s="488"/>
    </row>
    <row r="235" spans="2:126" x14ac:dyDescent="0.15">
      <c r="B235" s="312"/>
      <c r="C235" s="251"/>
      <c r="D235" s="1043"/>
      <c r="E235" s="1610" t="s">
        <v>1050</v>
      </c>
      <c r="F235" s="1610"/>
      <c r="G235" s="1610"/>
      <c r="H235" s="1610"/>
      <c r="I235" s="1610"/>
      <c r="J235" s="1610"/>
      <c r="K235" s="1610"/>
      <c r="L235" s="1610"/>
      <c r="M235" s="1610"/>
      <c r="N235" s="1610"/>
      <c r="O235" s="1610"/>
      <c r="P235" s="1610"/>
      <c r="Q235" s="1610"/>
      <c r="R235" s="1610"/>
      <c r="S235" s="1610"/>
      <c r="T235" s="1610"/>
      <c r="U235" s="1610"/>
      <c r="V235" s="1610"/>
      <c r="W235" s="1610"/>
      <c r="X235" s="1610"/>
      <c r="Y235" s="1610"/>
      <c r="Z235" s="1610"/>
      <c r="AA235" s="1610"/>
      <c r="AB235" s="1610"/>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251"/>
      <c r="AX235" s="251"/>
      <c r="AY235" s="251"/>
      <c r="AZ235" s="251"/>
      <c r="BA235" s="251"/>
      <c r="BB235" s="251"/>
      <c r="BC235" s="251"/>
      <c r="BD235" s="251"/>
      <c r="BE235" s="251"/>
      <c r="BF235" s="251"/>
      <c r="BG235" s="311"/>
      <c r="BI235" s="487"/>
      <c r="BJ235" s="252"/>
      <c r="BK235" s="252"/>
      <c r="BL235" s="252"/>
      <c r="BM235" s="252"/>
      <c r="BN235" s="252"/>
      <c r="BO235" s="252"/>
      <c r="BP235" s="252"/>
      <c r="BQ235" s="252"/>
      <c r="BR235" s="252"/>
      <c r="BS235" s="252"/>
      <c r="BT235" s="252"/>
      <c r="BU235" s="252"/>
      <c r="BV235" s="252"/>
      <c r="BW235" s="252"/>
      <c r="BX235" s="252"/>
      <c r="BY235" s="252"/>
      <c r="BZ235" s="252"/>
      <c r="CA235" s="252"/>
      <c r="CB235" s="252"/>
      <c r="CC235" s="252"/>
      <c r="CD235" s="252"/>
      <c r="CE235" s="252"/>
      <c r="CF235" s="252"/>
      <c r="CG235" s="252"/>
      <c r="CH235" s="252"/>
      <c r="CI235" s="252"/>
      <c r="CJ235" s="252"/>
      <c r="CK235" s="252"/>
      <c r="CL235" s="252"/>
      <c r="CM235" s="252"/>
      <c r="CN235" s="252"/>
      <c r="CO235" s="252"/>
      <c r="CP235" s="252"/>
      <c r="CQ235" s="252"/>
      <c r="CR235" s="252"/>
      <c r="CS235" s="252"/>
      <c r="CT235" s="252"/>
      <c r="CU235" s="252"/>
      <c r="CV235" s="252"/>
      <c r="CW235" s="252"/>
      <c r="CX235" s="252"/>
      <c r="CY235" s="252"/>
      <c r="CZ235" s="252"/>
      <c r="DA235" s="252"/>
      <c r="DB235" s="252"/>
      <c r="DC235" s="252"/>
      <c r="DD235" s="252"/>
      <c r="DE235" s="252"/>
      <c r="DF235" s="252"/>
      <c r="DG235" s="252"/>
      <c r="DH235" s="252"/>
      <c r="DI235" s="252"/>
      <c r="DJ235" s="252"/>
      <c r="DK235" s="252"/>
      <c r="DL235" s="252"/>
      <c r="DM235" s="252"/>
      <c r="DN235" s="252"/>
      <c r="DO235" s="252"/>
      <c r="DP235" s="252"/>
      <c r="DQ235" s="252"/>
      <c r="DR235" s="252"/>
      <c r="DS235" s="252"/>
      <c r="DT235" s="252"/>
      <c r="DU235" s="252"/>
      <c r="DV235" s="488"/>
    </row>
    <row r="236" spans="2:126" x14ac:dyDescent="0.15">
      <c r="B236" s="312"/>
      <c r="C236" s="1020"/>
      <c r="D236" s="1026"/>
      <c r="E236" s="1610" t="s">
        <v>1051</v>
      </c>
      <c r="F236" s="1610"/>
      <c r="G236" s="1610"/>
      <c r="H236" s="1610"/>
      <c r="I236" s="1610"/>
      <c r="J236" s="1610"/>
      <c r="K236" s="1610"/>
      <c r="L236" s="1610"/>
      <c r="M236" s="1610"/>
      <c r="N236" s="1610"/>
      <c r="O236" s="1610"/>
      <c r="P236" s="1610"/>
      <c r="Q236" s="1610"/>
      <c r="R236" s="1610"/>
      <c r="S236" s="1610"/>
      <c r="T236" s="1610"/>
      <c r="U236" s="1610"/>
      <c r="V236" s="1610"/>
      <c r="W236" s="1610"/>
      <c r="X236" s="1610"/>
      <c r="Y236" s="1610"/>
      <c r="Z236" s="1610"/>
      <c r="AA236" s="1610"/>
      <c r="AB236" s="1610"/>
      <c r="AC236" s="1020"/>
      <c r="AD236" s="1020"/>
      <c r="AE236" s="1020"/>
      <c r="AF236" s="1020"/>
      <c r="AG236" s="1020"/>
      <c r="AH236" s="1020"/>
      <c r="AI236" s="1020"/>
      <c r="AJ236" s="1020"/>
      <c r="AK236" s="1020"/>
      <c r="AL236" s="1020"/>
      <c r="AM236" s="1020"/>
      <c r="AN236" s="1020"/>
      <c r="AO236" s="1020"/>
      <c r="AP236" s="1020"/>
      <c r="AQ236" s="1020"/>
      <c r="AR236" s="1020"/>
      <c r="AS236" s="1020"/>
      <c r="AT236" s="1020"/>
      <c r="AU236" s="1020"/>
      <c r="AV236" s="1020"/>
      <c r="AW236" s="1020"/>
      <c r="AX236" s="1020"/>
      <c r="AY236" s="1020"/>
      <c r="AZ236" s="1020"/>
      <c r="BA236" s="1020"/>
      <c r="BB236" s="1020"/>
      <c r="BC236" s="1020"/>
      <c r="BD236" s="1020"/>
      <c r="BE236" s="1020"/>
      <c r="BF236" s="1020"/>
      <c r="BG236" s="311"/>
      <c r="BI236" s="487"/>
      <c r="BJ236" s="252"/>
      <c r="BK236" s="252"/>
      <c r="BL236" s="252"/>
      <c r="BM236" s="252"/>
      <c r="BN236" s="252"/>
      <c r="BO236" s="252"/>
      <c r="BP236" s="252"/>
      <c r="BQ236" s="252"/>
      <c r="BR236" s="252"/>
      <c r="BS236" s="252"/>
      <c r="BT236" s="252"/>
      <c r="BU236" s="252"/>
      <c r="BV236" s="252"/>
      <c r="BW236" s="252"/>
      <c r="BX236" s="252"/>
      <c r="BY236" s="252"/>
      <c r="BZ236" s="252"/>
      <c r="CA236" s="252"/>
      <c r="CB236" s="252"/>
      <c r="CC236" s="252"/>
      <c r="CD236" s="252"/>
      <c r="CE236" s="252"/>
      <c r="CF236" s="252"/>
      <c r="CG236" s="252"/>
      <c r="CH236" s="252"/>
      <c r="CI236" s="252"/>
      <c r="CJ236" s="252"/>
      <c r="CK236" s="252"/>
      <c r="CL236" s="252"/>
      <c r="CM236" s="252"/>
      <c r="CN236" s="252"/>
      <c r="CO236" s="252"/>
      <c r="CP236" s="252"/>
      <c r="CQ236" s="252"/>
      <c r="CR236" s="252"/>
      <c r="CS236" s="252"/>
      <c r="CT236" s="252"/>
      <c r="CU236" s="252"/>
      <c r="CV236" s="252"/>
      <c r="CW236" s="252"/>
      <c r="CX236" s="252"/>
      <c r="CY236" s="252"/>
      <c r="CZ236" s="252"/>
      <c r="DA236" s="252"/>
      <c r="DB236" s="252"/>
      <c r="DC236" s="252"/>
      <c r="DD236" s="252"/>
      <c r="DE236" s="252"/>
      <c r="DF236" s="252"/>
      <c r="DG236" s="252"/>
      <c r="DH236" s="252"/>
      <c r="DI236" s="252"/>
      <c r="DJ236" s="252"/>
      <c r="DK236" s="252"/>
      <c r="DL236" s="252"/>
      <c r="DM236" s="252"/>
      <c r="DN236" s="252"/>
      <c r="DO236" s="252"/>
      <c r="DP236" s="252"/>
      <c r="DQ236" s="252"/>
      <c r="DR236" s="252"/>
      <c r="DS236" s="252"/>
      <c r="DT236" s="252"/>
      <c r="DU236" s="252"/>
      <c r="DV236" s="488"/>
    </row>
    <row r="237" spans="2:126" x14ac:dyDescent="0.15">
      <c r="B237" s="312"/>
      <c r="C237" s="1020"/>
      <c r="D237" s="1026"/>
      <c r="E237" s="1610" t="s">
        <v>1052</v>
      </c>
      <c r="F237" s="1610"/>
      <c r="G237" s="1610"/>
      <c r="H237" s="1610"/>
      <c r="I237" s="1610"/>
      <c r="J237" s="1610"/>
      <c r="K237" s="1610"/>
      <c r="L237" s="1610"/>
      <c r="M237" s="1610"/>
      <c r="N237" s="1610"/>
      <c r="O237" s="1610"/>
      <c r="P237" s="1610"/>
      <c r="Q237" s="1610"/>
      <c r="R237" s="1610"/>
      <c r="S237" s="1610"/>
      <c r="T237" s="1610"/>
      <c r="U237" s="1610"/>
      <c r="V237" s="1610"/>
      <c r="W237" s="1610"/>
      <c r="X237" s="1610"/>
      <c r="Y237" s="1610"/>
      <c r="Z237" s="1610"/>
      <c r="AA237" s="1610"/>
      <c r="AB237" s="1610"/>
      <c r="AC237" s="1020"/>
      <c r="AD237" s="1020"/>
      <c r="AE237" s="1020"/>
      <c r="AF237" s="1020"/>
      <c r="AG237" s="1020"/>
      <c r="AH237" s="1020"/>
      <c r="AI237" s="1020"/>
      <c r="AJ237" s="1020"/>
      <c r="AK237" s="1020"/>
      <c r="AL237" s="1020"/>
      <c r="AM237" s="1020"/>
      <c r="AN237" s="1020"/>
      <c r="AO237" s="1020"/>
      <c r="AP237" s="1020"/>
      <c r="AQ237" s="1020"/>
      <c r="AR237" s="1020"/>
      <c r="AS237" s="1020"/>
      <c r="AT237" s="1020"/>
      <c r="AU237" s="1020"/>
      <c r="AV237" s="1020"/>
      <c r="AW237" s="1020"/>
      <c r="AX237" s="1020"/>
      <c r="AY237" s="1020"/>
      <c r="AZ237" s="1020"/>
      <c r="BA237" s="1020"/>
      <c r="BB237" s="1020"/>
      <c r="BC237" s="1020"/>
      <c r="BD237" s="1020"/>
      <c r="BE237" s="1020"/>
      <c r="BF237" s="1020"/>
      <c r="BG237" s="311"/>
      <c r="BI237" s="487"/>
      <c r="BJ237" s="252"/>
      <c r="BK237" s="252"/>
      <c r="BL237" s="252"/>
      <c r="BM237" s="252"/>
      <c r="BN237" s="252"/>
      <c r="BO237" s="252"/>
      <c r="BP237" s="252"/>
      <c r="BQ237" s="252"/>
      <c r="BR237" s="252"/>
      <c r="BS237" s="252"/>
      <c r="BT237" s="252"/>
      <c r="BU237" s="252"/>
      <c r="BV237" s="252"/>
      <c r="BW237" s="252"/>
      <c r="BX237" s="252"/>
      <c r="BY237" s="252"/>
      <c r="BZ237" s="252"/>
      <c r="CA237" s="252"/>
      <c r="CB237" s="252"/>
      <c r="CC237" s="252"/>
      <c r="CD237" s="252"/>
      <c r="CE237" s="252"/>
      <c r="CF237" s="252"/>
      <c r="CG237" s="252"/>
      <c r="CH237" s="252"/>
      <c r="CI237" s="252"/>
      <c r="CJ237" s="252"/>
      <c r="CK237" s="252"/>
      <c r="CL237" s="252"/>
      <c r="CM237" s="252"/>
      <c r="CN237" s="252"/>
      <c r="CO237" s="252"/>
      <c r="CP237" s="252"/>
      <c r="CQ237" s="252"/>
      <c r="CR237" s="252"/>
      <c r="CS237" s="252"/>
      <c r="CT237" s="252"/>
      <c r="CU237" s="252"/>
      <c r="CV237" s="252"/>
      <c r="CW237" s="252"/>
      <c r="CX237" s="252"/>
      <c r="CY237" s="252"/>
      <c r="CZ237" s="252"/>
      <c r="DA237" s="252"/>
      <c r="DB237" s="252"/>
      <c r="DC237" s="252"/>
      <c r="DD237" s="252"/>
      <c r="DE237" s="252"/>
      <c r="DF237" s="252"/>
      <c r="DG237" s="252"/>
      <c r="DH237" s="252"/>
      <c r="DI237" s="252"/>
      <c r="DJ237" s="252"/>
      <c r="DK237" s="252"/>
      <c r="DL237" s="252"/>
      <c r="DM237" s="252"/>
      <c r="DN237" s="252"/>
      <c r="DO237" s="252"/>
      <c r="DP237" s="252"/>
      <c r="DQ237" s="252"/>
      <c r="DR237" s="252"/>
      <c r="DS237" s="252"/>
      <c r="DT237" s="252"/>
      <c r="DU237" s="252"/>
      <c r="DV237" s="488"/>
    </row>
    <row r="238" spans="2:126" x14ac:dyDescent="0.15">
      <c r="B238" s="312"/>
      <c r="C238" s="1020"/>
      <c r="D238" s="1026"/>
      <c r="E238" s="1610" t="s">
        <v>1053</v>
      </c>
      <c r="F238" s="1610"/>
      <c r="G238" s="1610"/>
      <c r="H238" s="1610"/>
      <c r="I238" s="1610"/>
      <c r="J238" s="1610"/>
      <c r="K238" s="1610"/>
      <c r="L238" s="1610"/>
      <c r="M238" s="1610"/>
      <c r="N238" s="1610"/>
      <c r="O238" s="1610"/>
      <c r="P238" s="1610"/>
      <c r="Q238" s="1610"/>
      <c r="R238" s="1610"/>
      <c r="S238" s="1610"/>
      <c r="T238" s="1610"/>
      <c r="U238" s="1610"/>
      <c r="V238" s="1610"/>
      <c r="W238" s="1610"/>
      <c r="X238" s="1610"/>
      <c r="Y238" s="1610"/>
      <c r="Z238" s="1610"/>
      <c r="AA238" s="1610"/>
      <c r="AB238" s="1610"/>
      <c r="AC238" s="1020"/>
      <c r="AD238" s="1020"/>
      <c r="AE238" s="1020"/>
      <c r="AF238" s="1020"/>
      <c r="AG238" s="1020"/>
      <c r="AH238" s="1020"/>
      <c r="AI238" s="1020"/>
      <c r="AJ238" s="1020"/>
      <c r="AK238" s="1020"/>
      <c r="AL238" s="1020"/>
      <c r="AM238" s="1020"/>
      <c r="AN238" s="1020"/>
      <c r="AO238" s="1020"/>
      <c r="AP238" s="1020"/>
      <c r="AQ238" s="1020"/>
      <c r="AR238" s="1020"/>
      <c r="AS238" s="1020"/>
      <c r="AT238" s="1020"/>
      <c r="AU238" s="1020"/>
      <c r="AV238" s="1020"/>
      <c r="AW238" s="1020"/>
      <c r="AX238" s="1020"/>
      <c r="AY238" s="1020"/>
      <c r="AZ238" s="1020"/>
      <c r="BA238" s="1020"/>
      <c r="BB238" s="1020"/>
      <c r="BC238" s="1020"/>
      <c r="BD238" s="1020"/>
      <c r="BE238" s="1020"/>
      <c r="BF238" s="1020"/>
      <c r="BG238" s="311"/>
      <c r="BI238" s="487"/>
      <c r="BJ238" s="252"/>
      <c r="BK238" s="252"/>
      <c r="BL238" s="252"/>
      <c r="BM238" s="252"/>
      <c r="BN238" s="252"/>
      <c r="BO238" s="252"/>
      <c r="BP238" s="252"/>
      <c r="BQ238" s="252"/>
      <c r="BR238" s="252"/>
      <c r="BS238" s="252"/>
      <c r="BT238" s="252"/>
      <c r="BU238" s="252"/>
      <c r="BV238" s="252"/>
      <c r="BW238" s="252"/>
      <c r="BX238" s="252"/>
      <c r="BY238" s="252"/>
      <c r="BZ238" s="252"/>
      <c r="CA238" s="252"/>
      <c r="CB238" s="252"/>
      <c r="CC238" s="252"/>
      <c r="CD238" s="252"/>
      <c r="CE238" s="252"/>
      <c r="CF238" s="252"/>
      <c r="CG238" s="252"/>
      <c r="CH238" s="252"/>
      <c r="CI238" s="252"/>
      <c r="CJ238" s="252"/>
      <c r="CK238" s="252"/>
      <c r="CL238" s="252"/>
      <c r="CM238" s="252"/>
      <c r="CN238" s="252"/>
      <c r="CO238" s="252"/>
      <c r="CP238" s="252"/>
      <c r="CQ238" s="252"/>
      <c r="CR238" s="252"/>
      <c r="CS238" s="252"/>
      <c r="CT238" s="252"/>
      <c r="CU238" s="252"/>
      <c r="CV238" s="252"/>
      <c r="CW238" s="252"/>
      <c r="CX238" s="252"/>
      <c r="CY238" s="252"/>
      <c r="CZ238" s="252"/>
      <c r="DA238" s="252"/>
      <c r="DB238" s="252"/>
      <c r="DC238" s="252"/>
      <c r="DD238" s="252"/>
      <c r="DE238" s="252"/>
      <c r="DF238" s="252"/>
      <c r="DG238" s="252"/>
      <c r="DH238" s="252"/>
      <c r="DI238" s="252"/>
      <c r="DJ238" s="252"/>
      <c r="DK238" s="252"/>
      <c r="DL238" s="252"/>
      <c r="DM238" s="252"/>
      <c r="DN238" s="252"/>
      <c r="DO238" s="252"/>
      <c r="DP238" s="252"/>
      <c r="DQ238" s="252"/>
      <c r="DR238" s="252"/>
      <c r="DS238" s="252"/>
      <c r="DT238" s="252"/>
      <c r="DU238" s="252"/>
      <c r="DV238" s="488"/>
    </row>
    <row r="239" spans="2:126" x14ac:dyDescent="0.15">
      <c r="B239" s="312"/>
      <c r="C239" s="1020"/>
      <c r="D239" s="1026"/>
      <c r="E239" s="1610" t="s">
        <v>1054</v>
      </c>
      <c r="F239" s="1610"/>
      <c r="G239" s="1610"/>
      <c r="H239" s="1610"/>
      <c r="I239" s="1610"/>
      <c r="J239" s="1610"/>
      <c r="K239" s="1610"/>
      <c r="L239" s="1610"/>
      <c r="M239" s="1610"/>
      <c r="N239" s="1610"/>
      <c r="O239" s="1610"/>
      <c r="P239" s="1610"/>
      <c r="Q239" s="1610"/>
      <c r="R239" s="1610"/>
      <c r="S239" s="1610"/>
      <c r="T239" s="1610"/>
      <c r="U239" s="1610"/>
      <c r="V239" s="1610"/>
      <c r="W239" s="1610"/>
      <c r="X239" s="1610"/>
      <c r="Y239" s="1610"/>
      <c r="Z239" s="1610"/>
      <c r="AA239" s="1610"/>
      <c r="AB239" s="1610"/>
      <c r="AC239" s="1020"/>
      <c r="AD239" s="1020"/>
      <c r="AE239" s="1020"/>
      <c r="AF239" s="1020"/>
      <c r="AG239" s="1020"/>
      <c r="AH239" s="1020"/>
      <c r="AI239" s="1020"/>
      <c r="AJ239" s="1020"/>
      <c r="AK239" s="1020"/>
      <c r="AL239" s="1020"/>
      <c r="AM239" s="1020"/>
      <c r="AN239" s="1020"/>
      <c r="AO239" s="1020"/>
      <c r="AP239" s="1020"/>
      <c r="AQ239" s="1020"/>
      <c r="AR239" s="1020"/>
      <c r="AS239" s="1020"/>
      <c r="AT239" s="1020"/>
      <c r="AU239" s="1020"/>
      <c r="AV239" s="1020"/>
      <c r="AW239" s="1020"/>
      <c r="AX239" s="1020"/>
      <c r="AY239" s="1020"/>
      <c r="AZ239" s="1020"/>
      <c r="BA239" s="1020"/>
      <c r="BB239" s="1020"/>
      <c r="BC239" s="1020"/>
      <c r="BD239" s="1020"/>
      <c r="BE239" s="1020"/>
      <c r="BF239" s="1020"/>
      <c r="BG239" s="311"/>
      <c r="BI239" s="487"/>
      <c r="BJ239" s="252"/>
      <c r="BK239" s="252"/>
      <c r="BL239" s="252"/>
      <c r="BM239" s="252"/>
      <c r="BN239" s="252"/>
      <c r="BO239" s="252"/>
      <c r="BP239" s="252"/>
      <c r="BQ239" s="252"/>
      <c r="BR239" s="252"/>
      <c r="BS239" s="252"/>
      <c r="BT239" s="252"/>
      <c r="BU239" s="252"/>
      <c r="BV239" s="252"/>
      <c r="BW239" s="252"/>
      <c r="BX239" s="252"/>
      <c r="BY239" s="252"/>
      <c r="BZ239" s="252"/>
      <c r="CA239" s="252"/>
      <c r="CB239" s="252"/>
      <c r="CC239" s="252"/>
      <c r="CD239" s="252"/>
      <c r="CE239" s="252"/>
      <c r="CF239" s="252"/>
      <c r="CG239" s="252"/>
      <c r="CH239" s="252"/>
      <c r="CI239" s="252"/>
      <c r="CJ239" s="252"/>
      <c r="CK239" s="252"/>
      <c r="CL239" s="252"/>
      <c r="CM239" s="252"/>
      <c r="CN239" s="252"/>
      <c r="CO239" s="252"/>
      <c r="CP239" s="252"/>
      <c r="CQ239" s="252"/>
      <c r="CR239" s="252"/>
      <c r="CS239" s="252"/>
      <c r="CT239" s="252"/>
      <c r="CU239" s="252"/>
      <c r="CV239" s="252"/>
      <c r="CW239" s="252"/>
      <c r="CX239" s="252"/>
      <c r="CY239" s="252"/>
      <c r="CZ239" s="252"/>
      <c r="DA239" s="252"/>
      <c r="DB239" s="252"/>
      <c r="DC239" s="252"/>
      <c r="DD239" s="252"/>
      <c r="DE239" s="252"/>
      <c r="DF239" s="252"/>
      <c r="DG239" s="252"/>
      <c r="DH239" s="252"/>
      <c r="DI239" s="252"/>
      <c r="DJ239" s="252"/>
      <c r="DK239" s="252"/>
      <c r="DL239" s="252"/>
      <c r="DM239" s="252"/>
      <c r="DN239" s="252"/>
      <c r="DO239" s="252"/>
      <c r="DP239" s="252"/>
      <c r="DQ239" s="252"/>
      <c r="DR239" s="252"/>
      <c r="DS239" s="252"/>
      <c r="DT239" s="252"/>
      <c r="DU239" s="252"/>
      <c r="DV239" s="488"/>
    </row>
    <row r="240" spans="2:126" x14ac:dyDescent="0.15">
      <c r="B240" s="312"/>
      <c r="C240" s="1020"/>
      <c r="D240" s="1020"/>
      <c r="E240" s="1174"/>
      <c r="F240" s="1174"/>
      <c r="G240" s="1174"/>
      <c r="H240" s="1174"/>
      <c r="I240" s="1174"/>
      <c r="J240" s="1174"/>
      <c r="K240" s="1174"/>
      <c r="L240" s="1174"/>
      <c r="M240" s="1174"/>
      <c r="N240" s="1174"/>
      <c r="O240" s="1174"/>
      <c r="P240" s="1174"/>
      <c r="Q240" s="1174"/>
      <c r="R240" s="1174"/>
      <c r="S240" s="1174"/>
      <c r="T240" s="1174"/>
      <c r="U240" s="1174"/>
      <c r="V240" s="1174"/>
      <c r="W240" s="1174"/>
      <c r="X240" s="1174"/>
      <c r="Y240" s="1174"/>
      <c r="Z240" s="1174"/>
      <c r="AA240" s="1174"/>
      <c r="AB240" s="1174"/>
      <c r="AC240" s="1020"/>
      <c r="AD240" s="1020"/>
      <c r="AE240" s="1020"/>
      <c r="AF240" s="1020"/>
      <c r="AG240" s="1020"/>
      <c r="AH240" s="1020"/>
      <c r="AI240" s="1020"/>
      <c r="AJ240" s="1020"/>
      <c r="AK240" s="1020"/>
      <c r="AL240" s="1020"/>
      <c r="AM240" s="1020"/>
      <c r="AN240" s="1020"/>
      <c r="AO240" s="1020"/>
      <c r="AP240" s="1020"/>
      <c r="AQ240" s="1020"/>
      <c r="AR240" s="1020"/>
      <c r="AS240" s="1020"/>
      <c r="AT240" s="1020"/>
      <c r="AU240" s="1020"/>
      <c r="AV240" s="1020"/>
      <c r="AW240" s="1020"/>
      <c r="AX240" s="1020"/>
      <c r="AY240" s="1020"/>
      <c r="AZ240" s="1020"/>
      <c r="BA240" s="1020"/>
      <c r="BB240" s="1020"/>
      <c r="BC240" s="1020"/>
      <c r="BD240" s="1020"/>
      <c r="BE240" s="1020"/>
      <c r="BF240" s="1020"/>
      <c r="BG240" s="311"/>
      <c r="BI240" s="487"/>
      <c r="BJ240" s="252"/>
      <c r="BK240" s="252"/>
      <c r="BL240" s="252"/>
      <c r="BM240" s="252"/>
      <c r="BN240" s="252"/>
      <c r="BO240" s="252"/>
      <c r="BP240" s="252"/>
      <c r="BQ240" s="252"/>
      <c r="BR240" s="252"/>
      <c r="BS240" s="252"/>
      <c r="BT240" s="252"/>
      <c r="BU240" s="252"/>
      <c r="BV240" s="252"/>
      <c r="BW240" s="252"/>
      <c r="BX240" s="252"/>
      <c r="BY240" s="252"/>
      <c r="BZ240" s="252"/>
      <c r="CA240" s="252"/>
      <c r="CB240" s="252"/>
      <c r="CC240" s="252"/>
      <c r="CD240" s="252"/>
      <c r="CE240" s="252"/>
      <c r="CF240" s="252"/>
      <c r="CG240" s="252"/>
      <c r="CH240" s="252"/>
      <c r="CI240" s="252"/>
      <c r="CJ240" s="252"/>
      <c r="CK240" s="252"/>
      <c r="CL240" s="252"/>
      <c r="CM240" s="252"/>
      <c r="CN240" s="252"/>
      <c r="CO240" s="252"/>
      <c r="CP240" s="252"/>
      <c r="CQ240" s="252"/>
      <c r="CR240" s="252"/>
      <c r="CS240" s="252"/>
      <c r="CT240" s="252"/>
      <c r="CU240" s="252"/>
      <c r="CV240" s="252"/>
      <c r="CW240" s="252"/>
      <c r="CX240" s="252"/>
      <c r="CY240" s="252"/>
      <c r="CZ240" s="252"/>
      <c r="DA240" s="252"/>
      <c r="DB240" s="252"/>
      <c r="DC240" s="252"/>
      <c r="DD240" s="252"/>
      <c r="DE240" s="252"/>
      <c r="DF240" s="252"/>
      <c r="DG240" s="252"/>
      <c r="DH240" s="252"/>
      <c r="DI240" s="252"/>
      <c r="DJ240" s="252"/>
      <c r="DK240" s="252"/>
      <c r="DL240" s="252"/>
      <c r="DM240" s="252"/>
      <c r="DN240" s="252"/>
      <c r="DO240" s="252"/>
      <c r="DP240" s="252"/>
      <c r="DQ240" s="252"/>
      <c r="DR240" s="252"/>
      <c r="DS240" s="252"/>
      <c r="DT240" s="252"/>
      <c r="DU240" s="252"/>
      <c r="DV240" s="488"/>
    </row>
    <row r="241" spans="2:126" x14ac:dyDescent="0.15">
      <c r="B241" s="312"/>
      <c r="C241" s="1611" t="s">
        <v>1055</v>
      </c>
      <c r="D241" s="1611"/>
      <c r="E241" s="1611"/>
      <c r="F241" s="1611"/>
      <c r="G241" s="1611"/>
      <c r="H241" s="1611"/>
      <c r="I241" s="1611"/>
      <c r="J241" s="1611"/>
      <c r="K241" s="1611"/>
      <c r="L241" s="1611"/>
      <c r="M241" s="1611"/>
      <c r="N241" s="1611"/>
      <c r="O241" s="1611"/>
      <c r="P241" s="1611"/>
      <c r="Q241" s="1611"/>
      <c r="R241" s="1611"/>
      <c r="S241" s="1611"/>
      <c r="T241" s="1611"/>
      <c r="U241" s="1611"/>
      <c r="V241" s="1611"/>
      <c r="W241" s="1611"/>
      <c r="X241" s="1611"/>
      <c r="Y241" s="1611"/>
      <c r="Z241" s="1611"/>
      <c r="AA241" s="1611"/>
      <c r="AB241" s="1611"/>
      <c r="AC241" s="1611"/>
      <c r="AD241" s="1611"/>
      <c r="AE241" s="1611"/>
      <c r="AF241" s="1611"/>
      <c r="AG241" s="1611"/>
      <c r="AH241" s="1611"/>
      <c r="AI241" s="1611"/>
      <c r="AJ241" s="1611"/>
      <c r="AK241" s="1611"/>
      <c r="AL241" s="1611"/>
      <c r="AM241" s="1611"/>
      <c r="AN241" s="1611"/>
      <c r="AO241" s="1611"/>
      <c r="AP241" s="1611"/>
      <c r="AQ241" s="1611"/>
      <c r="AR241" s="1611"/>
      <c r="AS241" s="1611"/>
      <c r="AT241" s="1611"/>
      <c r="AU241" s="1611"/>
      <c r="AV241" s="1611"/>
      <c r="AW241" s="1611"/>
      <c r="AX241" s="1611"/>
      <c r="AY241" s="1611"/>
      <c r="AZ241" s="1611"/>
      <c r="BA241" s="1611"/>
      <c r="BB241" s="1611"/>
      <c r="BC241" s="1611"/>
      <c r="BD241" s="1611"/>
      <c r="BE241" s="1611"/>
      <c r="BF241" s="1611"/>
      <c r="BG241" s="311"/>
      <c r="BI241" s="487"/>
      <c r="BJ241" s="252"/>
      <c r="BK241" s="252"/>
      <c r="BL241" s="252"/>
      <c r="BM241" s="252"/>
      <c r="BN241" s="252"/>
      <c r="BO241" s="252"/>
      <c r="BP241" s="252"/>
      <c r="BQ241" s="252"/>
      <c r="BR241" s="252"/>
      <c r="BS241" s="252"/>
      <c r="BT241" s="252"/>
      <c r="BU241" s="252"/>
      <c r="BV241" s="252"/>
      <c r="BW241" s="252"/>
      <c r="BX241" s="252"/>
      <c r="BY241" s="252"/>
      <c r="BZ241" s="252"/>
      <c r="CA241" s="252"/>
      <c r="CB241" s="252"/>
      <c r="CC241" s="252"/>
      <c r="CD241" s="252"/>
      <c r="CE241" s="252"/>
      <c r="CF241" s="252"/>
      <c r="CG241" s="252"/>
      <c r="CH241" s="252"/>
      <c r="CI241" s="252"/>
      <c r="CJ241" s="252"/>
      <c r="CK241" s="252"/>
      <c r="CL241" s="252"/>
      <c r="CM241" s="252"/>
      <c r="CN241" s="252"/>
      <c r="CO241" s="252"/>
      <c r="CP241" s="252"/>
      <c r="CQ241" s="252"/>
      <c r="CR241" s="252"/>
      <c r="CS241" s="252"/>
      <c r="CT241" s="252"/>
      <c r="CU241" s="252"/>
      <c r="CV241" s="252"/>
      <c r="CW241" s="252"/>
      <c r="CX241" s="252"/>
      <c r="CY241" s="252"/>
      <c r="CZ241" s="252"/>
      <c r="DA241" s="252"/>
      <c r="DB241" s="252"/>
      <c r="DC241" s="252"/>
      <c r="DD241" s="252"/>
      <c r="DE241" s="252"/>
      <c r="DF241" s="252"/>
      <c r="DG241" s="252"/>
      <c r="DH241" s="252"/>
      <c r="DI241" s="252"/>
      <c r="DJ241" s="252"/>
      <c r="DK241" s="252"/>
      <c r="DL241" s="252"/>
      <c r="DM241" s="252"/>
      <c r="DN241" s="252"/>
      <c r="DO241" s="252"/>
      <c r="DP241" s="252"/>
      <c r="DQ241" s="252"/>
      <c r="DR241" s="252"/>
      <c r="DS241" s="252"/>
      <c r="DT241" s="252"/>
      <c r="DU241" s="252"/>
      <c r="DV241" s="488"/>
    </row>
    <row r="242" spans="2:126" x14ac:dyDescent="0.15">
      <c r="B242" s="312"/>
      <c r="C242" s="1020"/>
      <c r="D242" s="1020"/>
      <c r="E242" s="1020"/>
      <c r="F242" s="1020"/>
      <c r="G242" s="1020"/>
      <c r="H242" s="1020"/>
      <c r="I242" s="1020"/>
      <c r="J242" s="1020"/>
      <c r="K242" s="1020"/>
      <c r="L242" s="1020"/>
      <c r="M242" s="1020"/>
      <c r="N242" s="1020"/>
      <c r="O242" s="1020"/>
      <c r="P242" s="1020"/>
      <c r="Q242" s="1020"/>
      <c r="R242" s="1020"/>
      <c r="S242" s="1020"/>
      <c r="T242" s="1020"/>
      <c r="U242" s="1020"/>
      <c r="V242" s="1020"/>
      <c r="W242" s="1020"/>
      <c r="X242" s="1020"/>
      <c r="Y242" s="1020"/>
      <c r="Z242" s="1020"/>
      <c r="AA242" s="1020"/>
      <c r="AB242" s="1020"/>
      <c r="AC242" s="1020"/>
      <c r="AD242" s="1020"/>
      <c r="AE242" s="1020"/>
      <c r="AF242" s="1020"/>
      <c r="AG242" s="1020"/>
      <c r="AH242" s="1020"/>
      <c r="AI242" s="1020"/>
      <c r="AJ242" s="1020"/>
      <c r="AK242" s="1020"/>
      <c r="AL242" s="1020"/>
      <c r="AM242" s="1020"/>
      <c r="AN242" s="1020"/>
      <c r="AO242" s="1020"/>
      <c r="AP242" s="1020"/>
      <c r="AQ242" s="1020"/>
      <c r="AR242" s="1020"/>
      <c r="AS242" s="1020"/>
      <c r="AT242" s="1020"/>
      <c r="AU242" s="1020"/>
      <c r="AV242" s="1020"/>
      <c r="AW242" s="1020"/>
      <c r="AX242" s="1020"/>
      <c r="AY242" s="1020"/>
      <c r="AZ242" s="1020"/>
      <c r="BA242" s="1020"/>
      <c r="BB242" s="1020"/>
      <c r="BC242" s="1020"/>
      <c r="BD242" s="1020"/>
      <c r="BE242" s="1020"/>
      <c r="BF242" s="1020"/>
      <c r="BG242" s="311"/>
      <c r="BI242" s="487"/>
      <c r="BJ242" s="252"/>
      <c r="BK242" s="252"/>
      <c r="BL242" s="252"/>
      <c r="BM242" s="252"/>
      <c r="BN242" s="252"/>
      <c r="BO242" s="252"/>
      <c r="BP242" s="252"/>
      <c r="BQ242" s="252"/>
      <c r="BR242" s="252"/>
      <c r="BS242" s="252"/>
      <c r="BT242" s="252"/>
      <c r="BU242" s="252"/>
      <c r="BV242" s="252"/>
      <c r="BW242" s="252"/>
      <c r="BX242" s="252"/>
      <c r="BY242" s="252"/>
      <c r="BZ242" s="252"/>
      <c r="CA242" s="252"/>
      <c r="CB242" s="252"/>
      <c r="CC242" s="252"/>
      <c r="CD242" s="252"/>
      <c r="CE242" s="252"/>
      <c r="CF242" s="252"/>
      <c r="CG242" s="252"/>
      <c r="CH242" s="252"/>
      <c r="CI242" s="252"/>
      <c r="CJ242" s="252"/>
      <c r="CK242" s="252"/>
      <c r="CL242" s="252"/>
      <c r="CM242" s="252"/>
      <c r="CN242" s="252"/>
      <c r="CO242" s="252"/>
      <c r="CP242" s="252"/>
      <c r="CQ242" s="252"/>
      <c r="CR242" s="252"/>
      <c r="CS242" s="252"/>
      <c r="CT242" s="252"/>
      <c r="CU242" s="252"/>
      <c r="CV242" s="252"/>
      <c r="CW242" s="252"/>
      <c r="CX242" s="252"/>
      <c r="CY242" s="252"/>
      <c r="CZ242" s="252"/>
      <c r="DA242" s="252"/>
      <c r="DB242" s="252"/>
      <c r="DC242" s="252"/>
      <c r="DD242" s="252"/>
      <c r="DE242" s="252"/>
      <c r="DF242" s="252"/>
      <c r="DG242" s="252"/>
      <c r="DH242" s="252"/>
      <c r="DI242" s="252"/>
      <c r="DJ242" s="252"/>
      <c r="DK242" s="252"/>
      <c r="DL242" s="252"/>
      <c r="DM242" s="252"/>
      <c r="DN242" s="252"/>
      <c r="DO242" s="252"/>
      <c r="DP242" s="252"/>
      <c r="DQ242" s="252"/>
      <c r="DR242" s="252"/>
      <c r="DS242" s="252"/>
      <c r="DT242" s="252"/>
      <c r="DU242" s="252"/>
      <c r="DV242" s="488"/>
    </row>
    <row r="243" spans="2:126" x14ac:dyDescent="0.15">
      <c r="B243" s="312"/>
      <c r="C243" s="1020"/>
      <c r="D243" s="1020"/>
      <c r="E243" s="1020"/>
      <c r="F243" s="1020"/>
      <c r="G243" s="1020"/>
      <c r="H243" s="1020"/>
      <c r="I243" s="1020"/>
      <c r="J243" s="1020"/>
      <c r="K243" s="1020"/>
      <c r="L243" s="1020"/>
      <c r="M243" s="1020"/>
      <c r="N243" s="1020"/>
      <c r="O243" s="1020"/>
      <c r="P243" s="1020"/>
      <c r="Q243" s="1020"/>
      <c r="R243" s="1020"/>
      <c r="S243" s="1020"/>
      <c r="T243" s="1020"/>
      <c r="U243" s="1020"/>
      <c r="V243" s="1020"/>
      <c r="W243" s="1020"/>
      <c r="X243" s="1020"/>
      <c r="Y243" s="1020"/>
      <c r="Z243" s="1020"/>
      <c r="AA243" s="1020"/>
      <c r="AB243" s="1020"/>
      <c r="AC243" s="1020"/>
      <c r="AD243" s="1020"/>
      <c r="AE243" s="1020"/>
      <c r="AF243" s="1020"/>
      <c r="AG243" s="1020"/>
      <c r="AH243" s="1020"/>
      <c r="AI243" s="1020"/>
      <c r="AJ243" s="1020"/>
      <c r="AK243" s="1020"/>
      <c r="AL243" s="1020"/>
      <c r="AM243" s="1020"/>
      <c r="AN243" s="1020"/>
      <c r="AO243" s="1020"/>
      <c r="AP243" s="1020"/>
      <c r="AQ243" s="1020"/>
      <c r="AR243" s="1020"/>
      <c r="AS243" s="1020"/>
      <c r="AT243" s="1020"/>
      <c r="AU243" s="1020"/>
      <c r="AV243" s="1020"/>
      <c r="AW243" s="1020"/>
      <c r="AX243" s="1020"/>
      <c r="AY243" s="1020"/>
      <c r="AZ243" s="1020"/>
      <c r="BA243" s="1020"/>
      <c r="BB243" s="1020"/>
      <c r="BC243" s="1020"/>
      <c r="BD243" s="1020"/>
      <c r="BE243" s="1020"/>
      <c r="BF243" s="1020"/>
      <c r="BG243" s="311"/>
      <c r="BI243" s="487"/>
      <c r="BJ243" s="252"/>
      <c r="BK243" s="252"/>
      <c r="BL243" s="252"/>
      <c r="BM243" s="252"/>
      <c r="BN243" s="252"/>
      <c r="BO243" s="252"/>
      <c r="BP243" s="252"/>
      <c r="BQ243" s="252"/>
      <c r="BR243" s="252"/>
      <c r="BS243" s="252"/>
      <c r="BT243" s="252"/>
      <c r="BU243" s="252"/>
      <c r="BV243" s="252"/>
      <c r="BW243" s="252"/>
      <c r="BX243" s="252"/>
      <c r="BY243" s="252"/>
      <c r="BZ243" s="252"/>
      <c r="CA243" s="252"/>
      <c r="CB243" s="252"/>
      <c r="CC243" s="252"/>
      <c r="CD243" s="252"/>
      <c r="CE243" s="252"/>
      <c r="CF243" s="252"/>
      <c r="CG243" s="252"/>
      <c r="CH243" s="252"/>
      <c r="CI243" s="252"/>
      <c r="CJ243" s="252"/>
      <c r="CK243" s="252"/>
      <c r="CL243" s="252"/>
      <c r="CM243" s="252"/>
      <c r="CN243" s="252"/>
      <c r="CO243" s="252"/>
      <c r="CP243" s="252"/>
      <c r="CQ243" s="252"/>
      <c r="CR243" s="252"/>
      <c r="CS243" s="252"/>
      <c r="CT243" s="252"/>
      <c r="CU243" s="252"/>
      <c r="CV243" s="252"/>
      <c r="CW243" s="252"/>
      <c r="CX243" s="252"/>
      <c r="CY243" s="252"/>
      <c r="CZ243" s="252"/>
      <c r="DA243" s="252"/>
      <c r="DB243" s="252"/>
      <c r="DC243" s="252"/>
      <c r="DD243" s="252"/>
      <c r="DE243" s="252"/>
      <c r="DF243" s="252"/>
      <c r="DG243" s="252"/>
      <c r="DH243" s="252"/>
      <c r="DI243" s="252"/>
      <c r="DJ243" s="252"/>
      <c r="DK243" s="252"/>
      <c r="DL243" s="252"/>
      <c r="DM243" s="252"/>
      <c r="DN243" s="252"/>
      <c r="DO243" s="252"/>
      <c r="DP243" s="252"/>
      <c r="DQ243" s="252"/>
      <c r="DR243" s="252"/>
      <c r="DS243" s="252"/>
      <c r="DT243" s="252"/>
      <c r="DU243" s="252"/>
      <c r="DV243" s="488"/>
    </row>
    <row r="244" spans="2:126" x14ac:dyDescent="0.15">
      <c r="B244" s="312"/>
      <c r="C244" s="251"/>
      <c r="D244" s="251"/>
      <c r="E244" s="251"/>
      <c r="F244" s="251" t="s">
        <v>796</v>
      </c>
      <c r="G244" s="251"/>
      <c r="H244" s="1631" t="str">
        <f>+IF(keltezes="","",keltezes)</f>
        <v/>
      </c>
      <c r="I244" s="1163"/>
      <c r="J244" s="1163"/>
      <c r="K244" s="1163"/>
      <c r="L244" s="1163"/>
      <c r="M244" s="1163"/>
      <c r="N244" s="1163"/>
      <c r="O244" s="1163"/>
      <c r="P244" s="1163"/>
      <c r="Q244" s="1163"/>
      <c r="R244" s="1163"/>
      <c r="S244" s="1163"/>
      <c r="T244" s="1163"/>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251"/>
      <c r="AX244" s="251"/>
      <c r="AY244" s="251"/>
      <c r="AZ244" s="251"/>
      <c r="BA244" s="251"/>
      <c r="BB244" s="251"/>
      <c r="BC244" s="251"/>
      <c r="BD244" s="251"/>
      <c r="BE244" s="251"/>
      <c r="BF244" s="251"/>
      <c r="BG244" s="311"/>
      <c r="BI244" s="487"/>
      <c r="BJ244" s="252"/>
      <c r="BK244" s="252"/>
      <c r="BL244" s="252"/>
      <c r="BM244" s="252"/>
      <c r="BN244" s="252"/>
      <c r="BO244" s="252"/>
      <c r="BP244" s="252"/>
      <c r="BQ244" s="252"/>
      <c r="BR244" s="252"/>
      <c r="BS244" s="252"/>
      <c r="BT244" s="252"/>
      <c r="BU244" s="252"/>
      <c r="BV244" s="252"/>
      <c r="BW244" s="252"/>
      <c r="BX244" s="252"/>
      <c r="BY244" s="252"/>
      <c r="BZ244" s="252"/>
      <c r="CA244" s="252"/>
      <c r="CB244" s="252"/>
      <c r="CC244" s="252"/>
      <c r="CD244" s="252"/>
      <c r="CE244" s="252"/>
      <c r="CF244" s="252"/>
      <c r="CG244" s="252"/>
      <c r="CH244" s="252"/>
      <c r="CI244" s="252"/>
      <c r="CJ244" s="252"/>
      <c r="CK244" s="252"/>
      <c r="CL244" s="252"/>
      <c r="CM244" s="252"/>
      <c r="CN244" s="252"/>
      <c r="CO244" s="252"/>
      <c r="CP244" s="252"/>
      <c r="CQ244" s="252"/>
      <c r="CR244" s="252"/>
      <c r="CS244" s="252"/>
      <c r="CT244" s="252"/>
      <c r="CU244" s="252"/>
      <c r="CV244" s="252"/>
      <c r="CW244" s="252"/>
      <c r="CX244" s="252"/>
      <c r="CY244" s="252"/>
      <c r="CZ244" s="252"/>
      <c r="DA244" s="252"/>
      <c r="DB244" s="252"/>
      <c r="DC244" s="252"/>
      <c r="DD244" s="252"/>
      <c r="DE244" s="252"/>
      <c r="DF244" s="252"/>
      <c r="DG244" s="252"/>
      <c r="DH244" s="252"/>
      <c r="DI244" s="252"/>
      <c r="DJ244" s="252"/>
      <c r="DK244" s="252"/>
      <c r="DL244" s="252"/>
      <c r="DM244" s="252"/>
      <c r="DN244" s="252"/>
      <c r="DO244" s="252"/>
      <c r="DP244" s="252"/>
      <c r="DQ244" s="252"/>
      <c r="DR244" s="252"/>
      <c r="DS244" s="252"/>
      <c r="DT244" s="252"/>
      <c r="DU244" s="252"/>
      <c r="DV244" s="488"/>
    </row>
    <row r="245" spans="2:126" x14ac:dyDescent="0.15">
      <c r="B245" s="312"/>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251"/>
      <c r="AX245" s="251"/>
      <c r="AY245" s="251"/>
      <c r="AZ245" s="251"/>
      <c r="BA245" s="251"/>
      <c r="BB245" s="251"/>
      <c r="BC245" s="251"/>
      <c r="BD245" s="251"/>
      <c r="BE245" s="251"/>
      <c r="BF245" s="251"/>
      <c r="BG245" s="311"/>
      <c r="BI245" s="487"/>
      <c r="BJ245" s="252"/>
      <c r="BK245" s="252"/>
      <c r="BL245" s="252"/>
      <c r="BM245" s="252"/>
      <c r="BN245" s="252"/>
      <c r="BO245" s="252"/>
      <c r="BP245" s="252"/>
      <c r="BQ245" s="252"/>
      <c r="BR245" s="252"/>
      <c r="BS245" s="252"/>
      <c r="BT245" s="252"/>
      <c r="BU245" s="252"/>
      <c r="BV245" s="252"/>
      <c r="BW245" s="252"/>
      <c r="BX245" s="252"/>
      <c r="BY245" s="252"/>
      <c r="BZ245" s="252"/>
      <c r="CA245" s="252"/>
      <c r="CB245" s="252"/>
      <c r="CC245" s="252"/>
      <c r="CD245" s="252"/>
      <c r="CE245" s="252"/>
      <c r="CF245" s="252"/>
      <c r="CG245" s="252"/>
      <c r="CH245" s="252"/>
      <c r="CI245" s="252"/>
      <c r="CJ245" s="252"/>
      <c r="CK245" s="252"/>
      <c r="CL245" s="252"/>
      <c r="CM245" s="252"/>
      <c r="CN245" s="252"/>
      <c r="CO245" s="252"/>
      <c r="CP245" s="252"/>
      <c r="CQ245" s="252"/>
      <c r="CR245" s="252"/>
      <c r="CS245" s="252"/>
      <c r="CT245" s="252"/>
      <c r="CU245" s="252"/>
      <c r="CV245" s="252"/>
      <c r="CW245" s="252"/>
      <c r="CX245" s="252"/>
      <c r="CY245" s="252"/>
      <c r="CZ245" s="252"/>
      <c r="DA245" s="252"/>
      <c r="DB245" s="252"/>
      <c r="DC245" s="252"/>
      <c r="DD245" s="252"/>
      <c r="DE245" s="252"/>
      <c r="DF245" s="252"/>
      <c r="DG245" s="252"/>
      <c r="DH245" s="252"/>
      <c r="DI245" s="252"/>
      <c r="DJ245" s="252"/>
      <c r="DK245" s="252"/>
      <c r="DL245" s="252"/>
      <c r="DM245" s="252"/>
      <c r="DN245" s="252"/>
      <c r="DO245" s="252"/>
      <c r="DP245" s="252"/>
      <c r="DQ245" s="252"/>
      <c r="DR245" s="252"/>
      <c r="DS245" s="252"/>
      <c r="DT245" s="252"/>
      <c r="DU245" s="252"/>
      <c r="DV245" s="488"/>
    </row>
    <row r="246" spans="2:126" x14ac:dyDescent="0.15">
      <c r="B246" s="312"/>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251"/>
      <c r="AF246" s="251"/>
      <c r="AG246" s="1185"/>
      <c r="AH246" s="1185"/>
      <c r="AI246" s="1185"/>
      <c r="AJ246" s="1185"/>
      <c r="AK246" s="1185"/>
      <c r="AL246" s="1185"/>
      <c r="AM246" s="1185"/>
      <c r="AN246" s="1185"/>
      <c r="AO246" s="1185"/>
      <c r="AP246" s="1185"/>
      <c r="AQ246" s="1185"/>
      <c r="AR246" s="1185"/>
      <c r="AS246" s="1185"/>
      <c r="AT246" s="1185"/>
      <c r="AU246" s="1185"/>
      <c r="AV246" s="1185"/>
      <c r="AW246" s="1185"/>
      <c r="AX246" s="1185"/>
      <c r="AY246" s="1185"/>
      <c r="AZ246" s="1185"/>
      <c r="BA246" s="1185"/>
      <c r="BB246" s="1185"/>
      <c r="BC246" s="1185"/>
      <c r="BD246" s="1185"/>
      <c r="BE246" s="1185"/>
      <c r="BF246" s="1185"/>
      <c r="BG246" s="311"/>
      <c r="BI246" s="487"/>
      <c r="BJ246" s="252"/>
      <c r="BK246" s="252"/>
      <c r="BL246" s="252"/>
      <c r="BM246" s="252"/>
      <c r="BN246" s="252"/>
      <c r="BO246" s="252"/>
      <c r="BP246" s="252"/>
      <c r="BQ246" s="252"/>
      <c r="BR246" s="252"/>
      <c r="BS246" s="252"/>
      <c r="BT246" s="252"/>
      <c r="BU246" s="252"/>
      <c r="BV246" s="252"/>
      <c r="BW246" s="252"/>
      <c r="BX246" s="252"/>
      <c r="BY246" s="252"/>
      <c r="BZ246" s="252"/>
      <c r="CA246" s="252"/>
      <c r="CB246" s="252"/>
      <c r="CC246" s="252"/>
      <c r="CD246" s="252"/>
      <c r="CE246" s="252"/>
      <c r="CF246" s="252"/>
      <c r="CG246" s="252"/>
      <c r="CH246" s="252"/>
      <c r="CI246" s="252"/>
      <c r="CJ246" s="252"/>
      <c r="CK246" s="252"/>
      <c r="CL246" s="252"/>
      <c r="CM246" s="252"/>
      <c r="CN246" s="252"/>
      <c r="CO246" s="252"/>
      <c r="CP246" s="252"/>
      <c r="CQ246" s="252"/>
      <c r="CR246" s="252"/>
      <c r="CS246" s="252"/>
      <c r="CT246" s="252"/>
      <c r="CU246" s="252"/>
      <c r="CV246" s="252"/>
      <c r="CW246" s="252"/>
      <c r="CX246" s="252"/>
      <c r="CY246" s="252"/>
      <c r="CZ246" s="252"/>
      <c r="DA246" s="252"/>
      <c r="DB246" s="252"/>
      <c r="DC246" s="252"/>
      <c r="DD246" s="252"/>
      <c r="DE246" s="252"/>
      <c r="DF246" s="252"/>
      <c r="DG246" s="252"/>
      <c r="DH246" s="252"/>
      <c r="DI246" s="252"/>
      <c r="DJ246" s="252"/>
      <c r="DK246" s="252"/>
      <c r="DL246" s="252"/>
      <c r="DM246" s="252"/>
      <c r="DN246" s="252"/>
      <c r="DO246" s="252"/>
      <c r="DP246" s="252"/>
      <c r="DQ246" s="252"/>
      <c r="DR246" s="252"/>
      <c r="DS246" s="252"/>
      <c r="DT246" s="252"/>
      <c r="DU246" s="252"/>
      <c r="DV246" s="488"/>
    </row>
    <row r="247" spans="2:126" ht="15" customHeight="1" x14ac:dyDescent="0.15">
      <c r="B247" s="312"/>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1181" t="str">
        <f>+IF(C10="","",C10)</f>
        <v/>
      </c>
      <c r="AH247" s="1181"/>
      <c r="AI247" s="1181"/>
      <c r="AJ247" s="1181"/>
      <c r="AK247" s="1181"/>
      <c r="AL247" s="1181"/>
      <c r="AM247" s="1181"/>
      <c r="AN247" s="1181"/>
      <c r="AO247" s="1181"/>
      <c r="AP247" s="1181"/>
      <c r="AQ247" s="1181"/>
      <c r="AR247" s="1181"/>
      <c r="AS247" s="1181"/>
      <c r="AT247" s="1181"/>
      <c r="AU247" s="1181"/>
      <c r="AV247" s="1181"/>
      <c r="AW247" s="1181"/>
      <c r="AX247" s="1181"/>
      <c r="AY247" s="1181"/>
      <c r="AZ247" s="1181"/>
      <c r="BA247" s="1181"/>
      <c r="BB247" s="1181"/>
      <c r="BC247" s="1181"/>
      <c r="BD247" s="1181"/>
      <c r="BE247" s="1181"/>
      <c r="BF247" s="1181"/>
      <c r="BG247" s="311"/>
      <c r="BI247" s="487"/>
      <c r="BJ247" s="252"/>
      <c r="BK247" s="252"/>
      <c r="BL247" s="252"/>
      <c r="BM247" s="252"/>
      <c r="BN247" s="252"/>
      <c r="BO247" s="252"/>
      <c r="BP247" s="252"/>
      <c r="BQ247" s="252"/>
      <c r="BR247" s="252"/>
      <c r="BS247" s="252"/>
      <c r="BT247" s="252"/>
      <c r="BU247" s="252"/>
      <c r="BV247" s="252"/>
      <c r="BW247" s="252"/>
      <c r="BX247" s="252"/>
      <c r="BY247" s="252"/>
      <c r="BZ247" s="252"/>
      <c r="CA247" s="252"/>
      <c r="CB247" s="252"/>
      <c r="CC247" s="252"/>
      <c r="CD247" s="252"/>
      <c r="CE247" s="252"/>
      <c r="CF247" s="252"/>
      <c r="CG247" s="252"/>
      <c r="CH247" s="252"/>
      <c r="CI247" s="252"/>
      <c r="CJ247" s="252"/>
      <c r="CK247" s="252"/>
      <c r="CL247" s="252"/>
      <c r="CM247" s="252"/>
      <c r="CN247" s="252"/>
      <c r="CO247" s="252"/>
      <c r="CP247" s="252"/>
      <c r="CQ247" s="252"/>
      <c r="CR247" s="252"/>
      <c r="CS247" s="252"/>
      <c r="CT247" s="252"/>
      <c r="CU247" s="252"/>
      <c r="CV247" s="252"/>
      <c r="CW247" s="252"/>
      <c r="CX247" s="252"/>
      <c r="CY247" s="252"/>
      <c r="CZ247" s="252"/>
      <c r="DA247" s="252"/>
      <c r="DB247" s="252"/>
      <c r="DC247" s="252"/>
      <c r="DD247" s="252"/>
      <c r="DE247" s="252"/>
      <c r="DF247" s="252"/>
      <c r="DG247" s="252"/>
      <c r="DH247" s="252"/>
      <c r="DI247" s="252"/>
      <c r="DJ247" s="252"/>
      <c r="DK247" s="252"/>
      <c r="DL247" s="252"/>
      <c r="DM247" s="252"/>
      <c r="DN247" s="252"/>
      <c r="DO247" s="252"/>
      <c r="DP247" s="252"/>
      <c r="DQ247" s="252"/>
      <c r="DR247" s="252"/>
      <c r="DS247" s="252"/>
      <c r="DT247" s="252"/>
      <c r="DU247" s="252"/>
      <c r="DV247" s="488"/>
    </row>
    <row r="248" spans="2:126" x14ac:dyDescent="0.15">
      <c r="B248" s="312"/>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51"/>
      <c r="AV248" s="251"/>
      <c r="AW248" s="251"/>
      <c r="AX248" s="251"/>
      <c r="AY248" s="251"/>
      <c r="AZ248" s="251"/>
      <c r="BA248" s="251"/>
      <c r="BB248" s="251"/>
      <c r="BC248" s="251"/>
      <c r="BD248" s="251"/>
      <c r="BE248" s="251"/>
      <c r="BF248" s="251"/>
      <c r="BG248" s="311"/>
      <c r="BI248" s="487"/>
      <c r="BJ248" s="252"/>
      <c r="BK248" s="252"/>
      <c r="BL248" s="252"/>
      <c r="BM248" s="252"/>
      <c r="BN248" s="252"/>
      <c r="BO248" s="252"/>
      <c r="BP248" s="252"/>
      <c r="BQ248" s="252"/>
      <c r="BR248" s="252"/>
      <c r="BS248" s="252"/>
      <c r="BT248" s="252"/>
      <c r="BU248" s="252"/>
      <c r="BV248" s="252"/>
      <c r="BW248" s="252"/>
      <c r="BX248" s="252"/>
      <c r="BY248" s="252"/>
      <c r="BZ248" s="252"/>
      <c r="CA248" s="252"/>
      <c r="CB248" s="252"/>
      <c r="CC248" s="252"/>
      <c r="CD248" s="252"/>
      <c r="CE248" s="252"/>
      <c r="CF248" s="252"/>
      <c r="CG248" s="252"/>
      <c r="CH248" s="252"/>
      <c r="CI248" s="252"/>
      <c r="CJ248" s="252"/>
      <c r="CK248" s="252"/>
      <c r="CL248" s="252"/>
      <c r="CM248" s="252"/>
      <c r="CN248" s="252"/>
      <c r="CO248" s="252"/>
      <c r="CP248" s="252"/>
      <c r="CQ248" s="252"/>
      <c r="CR248" s="252"/>
      <c r="CS248" s="252"/>
      <c r="CT248" s="252"/>
      <c r="CU248" s="252"/>
      <c r="CV248" s="252"/>
      <c r="CW248" s="252"/>
      <c r="CX248" s="252"/>
      <c r="CY248" s="252"/>
      <c r="CZ248" s="252"/>
      <c r="DA248" s="252"/>
      <c r="DB248" s="252"/>
      <c r="DC248" s="252"/>
      <c r="DD248" s="252"/>
      <c r="DE248" s="252"/>
      <c r="DF248" s="252"/>
      <c r="DG248" s="252"/>
      <c r="DH248" s="252"/>
      <c r="DI248" s="252"/>
      <c r="DJ248" s="252"/>
      <c r="DK248" s="252"/>
      <c r="DL248" s="252"/>
      <c r="DM248" s="252"/>
      <c r="DN248" s="252"/>
      <c r="DO248" s="252"/>
      <c r="DP248" s="252"/>
      <c r="DQ248" s="252"/>
      <c r="DR248" s="252"/>
      <c r="DS248" s="252"/>
      <c r="DT248" s="252"/>
      <c r="DU248" s="252"/>
      <c r="DV248" s="488"/>
    </row>
    <row r="249" spans="2:126" x14ac:dyDescent="0.15">
      <c r="B249" s="312"/>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251"/>
      <c r="AZ249" s="251"/>
      <c r="BA249" s="251"/>
      <c r="BB249" s="251"/>
      <c r="BC249" s="251"/>
      <c r="BD249" s="251"/>
      <c r="BE249" s="251"/>
      <c r="BF249" s="251"/>
      <c r="BG249" s="311"/>
      <c r="BI249" s="487"/>
      <c r="BJ249" s="252"/>
      <c r="BK249" s="252"/>
      <c r="BL249" s="252"/>
      <c r="BM249" s="252"/>
      <c r="BN249" s="252"/>
      <c r="BO249" s="252"/>
      <c r="BP249" s="252"/>
      <c r="BQ249" s="252"/>
      <c r="BR249" s="252"/>
      <c r="BS249" s="252"/>
      <c r="BT249" s="252"/>
      <c r="BU249" s="252"/>
      <c r="BV249" s="252"/>
      <c r="BW249" s="252"/>
      <c r="BX249" s="252"/>
      <c r="BY249" s="252"/>
      <c r="BZ249" s="252"/>
      <c r="CA249" s="252"/>
      <c r="CB249" s="252"/>
      <c r="CC249" s="252"/>
      <c r="CD249" s="252"/>
      <c r="CE249" s="252"/>
      <c r="CF249" s="252"/>
      <c r="CG249" s="252"/>
      <c r="CH249" s="252"/>
      <c r="CI249" s="252"/>
      <c r="CJ249" s="252"/>
      <c r="CK249" s="252"/>
      <c r="CL249" s="252"/>
      <c r="CM249" s="252"/>
      <c r="CN249" s="252"/>
      <c r="CO249" s="252"/>
      <c r="CP249" s="252"/>
      <c r="CQ249" s="252"/>
      <c r="CR249" s="252"/>
      <c r="CS249" s="252"/>
      <c r="CT249" s="252"/>
      <c r="CU249" s="252"/>
      <c r="CV249" s="252"/>
      <c r="CW249" s="252"/>
      <c r="CX249" s="252"/>
      <c r="CY249" s="252"/>
      <c r="CZ249" s="252"/>
      <c r="DA249" s="252"/>
      <c r="DB249" s="252"/>
      <c r="DC249" s="252"/>
      <c r="DD249" s="252"/>
      <c r="DE249" s="252"/>
      <c r="DF249" s="252"/>
      <c r="DG249" s="252"/>
      <c r="DH249" s="252"/>
      <c r="DI249" s="252"/>
      <c r="DJ249" s="252"/>
      <c r="DK249" s="252"/>
      <c r="DL249" s="252"/>
      <c r="DM249" s="252"/>
      <c r="DN249" s="252"/>
      <c r="DO249" s="252"/>
      <c r="DP249" s="252"/>
      <c r="DQ249" s="252"/>
      <c r="DR249" s="252"/>
      <c r="DS249" s="252"/>
      <c r="DT249" s="252"/>
      <c r="DU249" s="252"/>
      <c r="DV249" s="488"/>
    </row>
    <row r="250" spans="2:126" x14ac:dyDescent="0.15">
      <c r="B250" s="312"/>
      <c r="C250" s="251"/>
      <c r="D250" s="251"/>
      <c r="E250" s="251" t="s">
        <v>797</v>
      </c>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251"/>
      <c r="AX250" s="251"/>
      <c r="AY250" s="251"/>
      <c r="AZ250" s="251"/>
      <c r="BA250" s="251"/>
      <c r="BB250" s="251"/>
      <c r="BC250" s="251"/>
      <c r="BD250" s="251"/>
      <c r="BE250" s="251"/>
      <c r="BF250" s="251"/>
      <c r="BG250" s="311"/>
      <c r="BI250" s="487"/>
      <c r="BJ250" s="252"/>
      <c r="BK250" s="252"/>
      <c r="BL250" s="252"/>
      <c r="BM250" s="252"/>
      <c r="BN250" s="252"/>
      <c r="BO250" s="252"/>
      <c r="BP250" s="252"/>
      <c r="BQ250" s="252"/>
      <c r="BR250" s="252"/>
      <c r="BS250" s="252"/>
      <c r="BT250" s="252"/>
      <c r="BU250" s="252"/>
      <c r="BV250" s="252"/>
      <c r="BW250" s="252"/>
      <c r="BX250" s="252"/>
      <c r="BY250" s="252"/>
      <c r="BZ250" s="252"/>
      <c r="CA250" s="252"/>
      <c r="CB250" s="252"/>
      <c r="CC250" s="252"/>
      <c r="CD250" s="252"/>
      <c r="CE250" s="252"/>
      <c r="CF250" s="252"/>
      <c r="CG250" s="252"/>
      <c r="CH250" s="252"/>
      <c r="CI250" s="252"/>
      <c r="CJ250" s="252"/>
      <c r="CK250" s="252"/>
      <c r="CL250" s="252"/>
      <c r="CM250" s="252"/>
      <c r="CN250" s="252"/>
      <c r="CO250" s="252"/>
      <c r="CP250" s="252"/>
      <c r="CQ250" s="252"/>
      <c r="CR250" s="252"/>
      <c r="CS250" s="252"/>
      <c r="CT250" s="252"/>
      <c r="CU250" s="252"/>
      <c r="CV250" s="252"/>
      <c r="CW250" s="252"/>
      <c r="CX250" s="252"/>
      <c r="CY250" s="252"/>
      <c r="CZ250" s="252"/>
      <c r="DA250" s="252"/>
      <c r="DB250" s="252"/>
      <c r="DC250" s="252"/>
      <c r="DD250" s="252"/>
      <c r="DE250" s="252"/>
      <c r="DF250" s="252"/>
      <c r="DG250" s="252"/>
      <c r="DH250" s="252"/>
      <c r="DI250" s="252"/>
      <c r="DJ250" s="252"/>
      <c r="DK250" s="252"/>
      <c r="DL250" s="252"/>
      <c r="DM250" s="252"/>
      <c r="DN250" s="252"/>
      <c r="DO250" s="252"/>
      <c r="DP250" s="252"/>
      <c r="DQ250" s="252"/>
      <c r="DR250" s="252"/>
      <c r="DS250" s="252"/>
      <c r="DT250" s="252"/>
      <c r="DU250" s="252"/>
      <c r="DV250" s="488"/>
    </row>
    <row r="251" spans="2:126" x14ac:dyDescent="0.15">
      <c r="B251" s="312"/>
      <c r="C251" s="251"/>
      <c r="D251" s="251"/>
      <c r="E251" s="251" t="s">
        <v>798</v>
      </c>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51"/>
      <c r="AV251" s="251"/>
      <c r="AW251" s="251"/>
      <c r="AX251" s="251"/>
      <c r="AY251" s="251"/>
      <c r="AZ251" s="251"/>
      <c r="BA251" s="251"/>
      <c r="BB251" s="251"/>
      <c r="BC251" s="251"/>
      <c r="BD251" s="251"/>
      <c r="BE251" s="251"/>
      <c r="BF251" s="251"/>
      <c r="BG251" s="311"/>
      <c r="BI251" s="487"/>
      <c r="BJ251" s="252"/>
      <c r="BK251" s="252"/>
      <c r="BL251" s="252"/>
      <c r="BM251" s="252"/>
      <c r="BN251" s="252"/>
      <c r="BO251" s="252"/>
      <c r="BP251" s="252"/>
      <c r="BQ251" s="252"/>
      <c r="BR251" s="252"/>
      <c r="BS251" s="252"/>
      <c r="BT251" s="252"/>
      <c r="BU251" s="252"/>
      <c r="BV251" s="252"/>
      <c r="BW251" s="252"/>
      <c r="BX251" s="252"/>
      <c r="BY251" s="252"/>
      <c r="BZ251" s="252"/>
      <c r="CA251" s="252"/>
      <c r="CB251" s="252"/>
      <c r="CC251" s="252"/>
      <c r="CD251" s="252"/>
      <c r="CE251" s="252"/>
      <c r="CF251" s="252"/>
      <c r="CG251" s="252"/>
      <c r="CH251" s="252"/>
      <c r="CI251" s="252"/>
      <c r="CJ251" s="252"/>
      <c r="CK251" s="252"/>
      <c r="CL251" s="252"/>
      <c r="CM251" s="252"/>
      <c r="CN251" s="252"/>
      <c r="CO251" s="252"/>
      <c r="CP251" s="252"/>
      <c r="CQ251" s="252"/>
      <c r="CR251" s="252"/>
      <c r="CS251" s="252"/>
      <c r="CT251" s="252"/>
      <c r="CU251" s="252"/>
      <c r="CV251" s="252"/>
      <c r="CW251" s="252"/>
      <c r="CX251" s="252"/>
      <c r="CY251" s="252"/>
      <c r="CZ251" s="252"/>
      <c r="DA251" s="252"/>
      <c r="DB251" s="252"/>
      <c r="DC251" s="252"/>
      <c r="DD251" s="252"/>
      <c r="DE251" s="252"/>
      <c r="DF251" s="252"/>
      <c r="DG251" s="252"/>
      <c r="DH251" s="252"/>
      <c r="DI251" s="252"/>
      <c r="DJ251" s="252"/>
      <c r="DK251" s="252"/>
      <c r="DL251" s="252"/>
      <c r="DM251" s="252"/>
      <c r="DN251" s="252"/>
      <c r="DO251" s="252"/>
      <c r="DP251" s="252"/>
      <c r="DQ251" s="252"/>
      <c r="DR251" s="252"/>
      <c r="DS251" s="252"/>
      <c r="DT251" s="252"/>
      <c r="DU251" s="252"/>
      <c r="DV251" s="488"/>
    </row>
    <row r="252" spans="2:126" x14ac:dyDescent="0.15">
      <c r="B252" s="312"/>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51"/>
      <c r="AV252" s="251"/>
      <c r="AW252" s="251"/>
      <c r="AX252" s="251"/>
      <c r="AY252" s="251"/>
      <c r="AZ252" s="251"/>
      <c r="BA252" s="251"/>
      <c r="BB252" s="251"/>
      <c r="BC252" s="251"/>
      <c r="BD252" s="251"/>
      <c r="BE252" s="251"/>
      <c r="BF252" s="251"/>
      <c r="BG252" s="311"/>
      <c r="BI252" s="487"/>
      <c r="BJ252" s="252"/>
      <c r="BK252" s="252"/>
      <c r="BL252" s="252"/>
      <c r="BM252" s="252"/>
      <c r="BN252" s="252"/>
      <c r="BO252" s="252"/>
      <c r="BP252" s="252"/>
      <c r="BQ252" s="252"/>
      <c r="BR252" s="252"/>
      <c r="BS252" s="252"/>
      <c r="BT252" s="252"/>
      <c r="BU252" s="252"/>
      <c r="BV252" s="252"/>
      <c r="BW252" s="252"/>
      <c r="BX252" s="252"/>
      <c r="BY252" s="252"/>
      <c r="BZ252" s="252"/>
      <c r="CA252" s="252"/>
      <c r="CB252" s="252"/>
      <c r="CC252" s="252"/>
      <c r="CD252" s="252"/>
      <c r="CE252" s="252"/>
      <c r="CF252" s="252"/>
      <c r="CG252" s="252"/>
      <c r="CH252" s="252"/>
      <c r="CI252" s="252"/>
      <c r="CJ252" s="252"/>
      <c r="CK252" s="252"/>
      <c r="CL252" s="252"/>
      <c r="CM252" s="252"/>
      <c r="CN252" s="252"/>
      <c r="CO252" s="252"/>
      <c r="CP252" s="252"/>
      <c r="CQ252" s="252"/>
      <c r="CR252" s="252"/>
      <c r="CS252" s="252"/>
      <c r="CT252" s="252"/>
      <c r="CU252" s="252"/>
      <c r="CV252" s="252"/>
      <c r="CW252" s="252"/>
      <c r="CX252" s="252"/>
      <c r="CY252" s="252"/>
      <c r="CZ252" s="252"/>
      <c r="DA252" s="252"/>
      <c r="DB252" s="252"/>
      <c r="DC252" s="252"/>
      <c r="DD252" s="252"/>
      <c r="DE252" s="252"/>
      <c r="DF252" s="252"/>
      <c r="DG252" s="252"/>
      <c r="DH252" s="252"/>
      <c r="DI252" s="252"/>
      <c r="DJ252" s="252"/>
      <c r="DK252" s="252"/>
      <c r="DL252" s="252"/>
      <c r="DM252" s="252"/>
      <c r="DN252" s="252"/>
      <c r="DO252" s="252"/>
      <c r="DP252" s="252"/>
      <c r="DQ252" s="252"/>
      <c r="DR252" s="252"/>
      <c r="DS252" s="252"/>
      <c r="DT252" s="252"/>
      <c r="DU252" s="252"/>
      <c r="DV252" s="488"/>
    </row>
    <row r="253" spans="2:126" x14ac:dyDescent="0.15">
      <c r="B253" s="312"/>
      <c r="C253" s="252"/>
      <c r="D253" s="252"/>
      <c r="E253" s="252" t="s">
        <v>799</v>
      </c>
      <c r="F253" s="252"/>
      <c r="G253" s="252"/>
      <c r="H253" s="252"/>
      <c r="I253" s="252"/>
      <c r="J253" s="1185"/>
      <c r="K253" s="1185"/>
      <c r="L253" s="1185"/>
      <c r="M253" s="1185"/>
      <c r="N253" s="1185"/>
      <c r="O253" s="1185"/>
      <c r="P253" s="1185"/>
      <c r="Q253" s="1185"/>
      <c r="R253" s="1185"/>
      <c r="S253" s="1185"/>
      <c r="T253" s="1185"/>
      <c r="U253" s="1185"/>
      <c r="V253" s="1185"/>
      <c r="W253" s="1185"/>
      <c r="X253" s="1185"/>
      <c r="Y253" s="1185"/>
      <c r="Z253" s="1185"/>
      <c r="AA253" s="1185"/>
      <c r="AB253" s="1185"/>
      <c r="AC253" s="252"/>
      <c r="AD253" s="252"/>
      <c r="AE253" s="252"/>
      <c r="AF253" s="252" t="s">
        <v>800</v>
      </c>
      <c r="AG253" s="252"/>
      <c r="AH253" s="252"/>
      <c r="AI253" s="252"/>
      <c r="AJ253" s="1185"/>
      <c r="AK253" s="1185"/>
      <c r="AL253" s="1185"/>
      <c r="AM253" s="1185"/>
      <c r="AN253" s="1185"/>
      <c r="AO253" s="1185"/>
      <c r="AP253" s="1185"/>
      <c r="AQ253" s="1185"/>
      <c r="AR253" s="1185"/>
      <c r="AS253" s="1185"/>
      <c r="AT253" s="1185"/>
      <c r="AU253" s="1185"/>
      <c r="AV253" s="1185"/>
      <c r="AW253" s="1185"/>
      <c r="AX253" s="1185"/>
      <c r="AY253" s="1185"/>
      <c r="AZ253" s="1185"/>
      <c r="BA253" s="1185"/>
      <c r="BB253" s="1185"/>
      <c r="BC253" s="252"/>
      <c r="BD253" s="252"/>
      <c r="BE253" s="252"/>
      <c r="BF253" s="252"/>
      <c r="BG253" s="311"/>
      <c r="BI253" s="487"/>
      <c r="BJ253" s="252"/>
      <c r="BK253" s="252"/>
      <c r="BL253" s="252"/>
      <c r="BM253" s="252"/>
      <c r="BN253" s="252"/>
      <c r="BO253" s="252"/>
      <c r="BP253" s="252"/>
      <c r="BQ253" s="252"/>
      <c r="BR253" s="252"/>
      <c r="BS253" s="252"/>
      <c r="BT253" s="252"/>
      <c r="BU253" s="252"/>
      <c r="BV253" s="252"/>
      <c r="BW253" s="252"/>
      <c r="BX253" s="252"/>
      <c r="BY253" s="252"/>
      <c r="BZ253" s="252"/>
      <c r="CA253" s="252"/>
      <c r="CB253" s="252"/>
      <c r="CC253" s="252"/>
      <c r="CD253" s="252"/>
      <c r="CE253" s="252"/>
      <c r="CF253" s="252"/>
      <c r="CG253" s="252"/>
      <c r="CH253" s="252"/>
      <c r="CI253" s="252"/>
      <c r="CJ253" s="252"/>
      <c r="CK253" s="252"/>
      <c r="CL253" s="252"/>
      <c r="CM253" s="252"/>
      <c r="CN253" s="252"/>
      <c r="CO253" s="252"/>
      <c r="CP253" s="252"/>
      <c r="CQ253" s="252"/>
      <c r="CR253" s="252"/>
      <c r="CS253" s="252"/>
      <c r="CT253" s="252"/>
      <c r="CU253" s="252"/>
      <c r="CV253" s="252"/>
      <c r="CW253" s="252"/>
      <c r="CX253" s="252"/>
      <c r="CY253" s="252"/>
      <c r="CZ253" s="252"/>
      <c r="DA253" s="252"/>
      <c r="DB253" s="252"/>
      <c r="DC253" s="252"/>
      <c r="DD253" s="252"/>
      <c r="DE253" s="252"/>
      <c r="DF253" s="252"/>
      <c r="DG253" s="252"/>
      <c r="DH253" s="252"/>
      <c r="DI253" s="252"/>
      <c r="DJ253" s="252"/>
      <c r="DK253" s="252"/>
      <c r="DL253" s="252"/>
      <c r="DM253" s="252"/>
      <c r="DN253" s="252"/>
      <c r="DO253" s="252"/>
      <c r="DP253" s="252"/>
      <c r="DQ253" s="252"/>
      <c r="DR253" s="252"/>
      <c r="DS253" s="252"/>
      <c r="DT253" s="252"/>
      <c r="DU253" s="252"/>
      <c r="DV253" s="488"/>
    </row>
    <row r="254" spans="2:126" x14ac:dyDescent="0.15">
      <c r="B254" s="312"/>
      <c r="C254" s="252"/>
      <c r="D254" s="252"/>
      <c r="E254" s="252"/>
      <c r="F254" s="252"/>
      <c r="G254" s="252"/>
      <c r="H254" s="252"/>
      <c r="I254" s="252"/>
      <c r="J254" s="252"/>
      <c r="K254" s="252"/>
      <c r="L254" s="252"/>
      <c r="M254" s="252"/>
      <c r="N254" s="1181" t="s">
        <v>315</v>
      </c>
      <c r="O254" s="1181"/>
      <c r="P254" s="1181"/>
      <c r="Q254" s="1181"/>
      <c r="R254" s="1181"/>
      <c r="S254" s="1181"/>
      <c r="T254" s="1181"/>
      <c r="U254" s="1181"/>
      <c r="V254" s="1181"/>
      <c r="W254" s="1181"/>
      <c r="X254" s="1181"/>
      <c r="Y254" s="252"/>
      <c r="Z254" s="252"/>
      <c r="AA254" s="252"/>
      <c r="AB254" s="252"/>
      <c r="AC254" s="252"/>
      <c r="AD254" s="252"/>
      <c r="AE254" s="252"/>
      <c r="AF254" s="252"/>
      <c r="AG254" s="252"/>
      <c r="AH254" s="252"/>
      <c r="AI254" s="252"/>
      <c r="AJ254" s="252"/>
      <c r="AK254" s="252"/>
      <c r="AL254" s="252"/>
      <c r="AM254" s="252"/>
      <c r="AN254" s="1181" t="s">
        <v>315</v>
      </c>
      <c r="AO254" s="1181"/>
      <c r="AP254" s="1181"/>
      <c r="AQ254" s="1181"/>
      <c r="AR254" s="1181"/>
      <c r="AS254" s="1181"/>
      <c r="AT254" s="1181"/>
      <c r="AU254" s="1181"/>
      <c r="AV254" s="1181"/>
      <c r="AW254" s="1181"/>
      <c r="AX254" s="1181"/>
      <c r="AY254" s="252"/>
      <c r="AZ254" s="252"/>
      <c r="BA254" s="252"/>
      <c r="BB254" s="252"/>
      <c r="BC254" s="252"/>
      <c r="BD254" s="252"/>
      <c r="BE254" s="252"/>
      <c r="BF254" s="252"/>
      <c r="BG254" s="311"/>
      <c r="BI254" s="487"/>
      <c r="BJ254" s="252"/>
      <c r="BK254" s="252"/>
      <c r="BL254" s="252"/>
      <c r="BM254" s="252"/>
      <c r="BN254" s="252"/>
      <c r="BO254" s="252"/>
      <c r="BP254" s="252"/>
      <c r="BQ254" s="252"/>
      <c r="BR254" s="252"/>
      <c r="BS254" s="252"/>
      <c r="BT254" s="252"/>
      <c r="BU254" s="252"/>
      <c r="BV254" s="252"/>
      <c r="BW254" s="252"/>
      <c r="BX254" s="252"/>
      <c r="BY254" s="252"/>
      <c r="BZ254" s="252"/>
      <c r="CA254" s="252"/>
      <c r="CB254" s="252"/>
      <c r="CC254" s="252"/>
      <c r="CD254" s="252"/>
      <c r="CE254" s="252"/>
      <c r="CF254" s="252"/>
      <c r="CG254" s="252"/>
      <c r="CH254" s="252"/>
      <c r="CI254" s="252"/>
      <c r="CJ254" s="252"/>
      <c r="CK254" s="252"/>
      <c r="CL254" s="252"/>
      <c r="CM254" s="252"/>
      <c r="CN254" s="252"/>
      <c r="CO254" s="252"/>
      <c r="CP254" s="252"/>
      <c r="CQ254" s="252"/>
      <c r="CR254" s="252"/>
      <c r="CS254" s="252"/>
      <c r="CT254" s="252"/>
      <c r="CU254" s="252"/>
      <c r="CV254" s="252"/>
      <c r="CW254" s="252"/>
      <c r="CX254" s="252"/>
      <c r="CY254" s="252"/>
      <c r="CZ254" s="252"/>
      <c r="DA254" s="252"/>
      <c r="DB254" s="252"/>
      <c r="DC254" s="252"/>
      <c r="DD254" s="252"/>
      <c r="DE254" s="252"/>
      <c r="DF254" s="252"/>
      <c r="DG254" s="252"/>
      <c r="DH254" s="252"/>
      <c r="DI254" s="252"/>
      <c r="DJ254" s="252"/>
      <c r="DK254" s="252"/>
      <c r="DL254" s="252"/>
      <c r="DM254" s="252"/>
      <c r="DN254" s="252"/>
      <c r="DO254" s="252"/>
      <c r="DP254" s="252"/>
      <c r="DQ254" s="252"/>
      <c r="DR254" s="252"/>
      <c r="DS254" s="252"/>
      <c r="DT254" s="252"/>
      <c r="DU254" s="252"/>
      <c r="DV254" s="488"/>
    </row>
    <row r="255" spans="2:126" x14ac:dyDescent="0.15">
      <c r="B255" s="31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c r="BC255" s="252"/>
      <c r="BD255" s="252"/>
      <c r="BE255" s="252"/>
      <c r="BF255" s="252"/>
      <c r="BG255" s="311"/>
      <c r="BI255" s="487"/>
      <c r="BJ255" s="252"/>
      <c r="BK255" s="252"/>
      <c r="BL255" s="252"/>
      <c r="BM255" s="252"/>
      <c r="BN255" s="252"/>
      <c r="BO255" s="252"/>
      <c r="BP255" s="252"/>
      <c r="BQ255" s="252"/>
      <c r="BR255" s="252"/>
      <c r="BS255" s="252"/>
      <c r="BT255" s="252"/>
      <c r="BU255" s="252"/>
      <c r="BV255" s="252"/>
      <c r="BW255" s="252"/>
      <c r="BX255" s="252"/>
      <c r="BY255" s="252"/>
      <c r="BZ255" s="252"/>
      <c r="CA255" s="252"/>
      <c r="CB255" s="252"/>
      <c r="CC255" s="252"/>
      <c r="CD255" s="252"/>
      <c r="CE255" s="252"/>
      <c r="CF255" s="252"/>
      <c r="CG255" s="252"/>
      <c r="CH255" s="252"/>
      <c r="CI255" s="252"/>
      <c r="CJ255" s="252"/>
      <c r="CK255" s="252"/>
      <c r="CL255" s="252"/>
      <c r="CM255" s="252"/>
      <c r="CN255" s="252"/>
      <c r="CO255" s="252"/>
      <c r="CP255" s="252"/>
      <c r="CQ255" s="252"/>
      <c r="CR255" s="252"/>
      <c r="CS255" s="252"/>
      <c r="CT255" s="252"/>
      <c r="CU255" s="252"/>
      <c r="CV255" s="252"/>
      <c r="CW255" s="252"/>
      <c r="CX255" s="252"/>
      <c r="CY255" s="252"/>
      <c r="CZ255" s="252"/>
      <c r="DA255" s="252"/>
      <c r="DB255" s="252"/>
      <c r="DC255" s="252"/>
      <c r="DD255" s="252"/>
      <c r="DE255" s="252"/>
      <c r="DF255" s="252"/>
      <c r="DG255" s="252"/>
      <c r="DH255" s="252"/>
      <c r="DI255" s="252"/>
      <c r="DJ255" s="252"/>
      <c r="DK255" s="252"/>
      <c r="DL255" s="252"/>
      <c r="DM255" s="252"/>
      <c r="DN255" s="252"/>
      <c r="DO255" s="252"/>
      <c r="DP255" s="252"/>
      <c r="DQ255" s="252"/>
      <c r="DR255" s="252"/>
      <c r="DS255" s="252"/>
      <c r="DT255" s="252"/>
      <c r="DU255" s="252"/>
      <c r="DV255" s="488"/>
    </row>
    <row r="256" spans="2:126" x14ac:dyDescent="0.15">
      <c r="B256" s="31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c r="BC256" s="252"/>
      <c r="BD256" s="252"/>
      <c r="BE256" s="252"/>
      <c r="BF256" s="252"/>
      <c r="BG256" s="311"/>
      <c r="BI256" s="487"/>
      <c r="BJ256" s="252"/>
      <c r="BK256" s="252"/>
      <c r="BL256" s="252"/>
      <c r="BM256" s="252"/>
      <c r="BN256" s="252"/>
      <c r="BO256" s="252"/>
      <c r="BP256" s="252"/>
      <c r="BQ256" s="252"/>
      <c r="BR256" s="252"/>
      <c r="BS256" s="252"/>
      <c r="BT256" s="252"/>
      <c r="BU256" s="252"/>
      <c r="BV256" s="252"/>
      <c r="BW256" s="252"/>
      <c r="BX256" s="252"/>
      <c r="BY256" s="252"/>
      <c r="BZ256" s="252"/>
      <c r="CA256" s="252"/>
      <c r="CB256" s="252"/>
      <c r="CC256" s="252"/>
      <c r="CD256" s="252"/>
      <c r="CE256" s="252"/>
      <c r="CF256" s="252"/>
      <c r="CG256" s="252"/>
      <c r="CH256" s="252"/>
      <c r="CI256" s="252"/>
      <c r="CJ256" s="252"/>
      <c r="CK256" s="252"/>
      <c r="CL256" s="252"/>
      <c r="CM256" s="252"/>
      <c r="CN256" s="252"/>
      <c r="CO256" s="252"/>
      <c r="CP256" s="252"/>
      <c r="CQ256" s="252"/>
      <c r="CR256" s="252"/>
      <c r="CS256" s="252"/>
      <c r="CT256" s="252"/>
      <c r="CU256" s="252"/>
      <c r="CV256" s="252"/>
      <c r="CW256" s="252"/>
      <c r="CX256" s="252"/>
      <c r="CY256" s="252"/>
      <c r="CZ256" s="252"/>
      <c r="DA256" s="252"/>
      <c r="DB256" s="252"/>
      <c r="DC256" s="252"/>
      <c r="DD256" s="252"/>
      <c r="DE256" s="252"/>
      <c r="DF256" s="252"/>
      <c r="DG256" s="252"/>
      <c r="DH256" s="252"/>
      <c r="DI256" s="252"/>
      <c r="DJ256" s="252"/>
      <c r="DK256" s="252"/>
      <c r="DL256" s="252"/>
      <c r="DM256" s="252"/>
      <c r="DN256" s="252"/>
      <c r="DO256" s="252"/>
      <c r="DP256" s="252"/>
      <c r="DQ256" s="252"/>
      <c r="DR256" s="252"/>
      <c r="DS256" s="252"/>
      <c r="DT256" s="252"/>
      <c r="DU256" s="252"/>
      <c r="DV256" s="488"/>
    </row>
    <row r="257" spans="2:126" x14ac:dyDescent="0.15">
      <c r="B257" s="312"/>
      <c r="C257" s="252"/>
      <c r="D257" s="252"/>
      <c r="E257" s="252"/>
      <c r="F257" s="252"/>
      <c r="G257" s="252"/>
      <c r="H257" s="252"/>
      <c r="I257" s="252"/>
      <c r="J257" s="1185"/>
      <c r="K257" s="1185"/>
      <c r="L257" s="1185"/>
      <c r="M257" s="1185"/>
      <c r="N257" s="1185"/>
      <c r="O257" s="1185"/>
      <c r="P257" s="1185"/>
      <c r="Q257" s="1185"/>
      <c r="R257" s="1185"/>
      <c r="S257" s="1185"/>
      <c r="T257" s="1185"/>
      <c r="U257" s="1185"/>
      <c r="V257" s="1185"/>
      <c r="W257" s="1185"/>
      <c r="X257" s="1185"/>
      <c r="Y257" s="1185"/>
      <c r="Z257" s="1185"/>
      <c r="AA257" s="1185"/>
      <c r="AB257" s="1185"/>
      <c r="AC257" s="252"/>
      <c r="AD257" s="252"/>
      <c r="AE257" s="252"/>
      <c r="AF257" s="252"/>
      <c r="AG257" s="252"/>
      <c r="AH257" s="252"/>
      <c r="AI257" s="252"/>
      <c r="AJ257" s="1185"/>
      <c r="AK257" s="1185"/>
      <c r="AL257" s="1185"/>
      <c r="AM257" s="1185"/>
      <c r="AN257" s="1185"/>
      <c r="AO257" s="1185"/>
      <c r="AP257" s="1185"/>
      <c r="AQ257" s="1185"/>
      <c r="AR257" s="1185"/>
      <c r="AS257" s="1185"/>
      <c r="AT257" s="1185"/>
      <c r="AU257" s="1185"/>
      <c r="AV257" s="1185"/>
      <c r="AW257" s="1185"/>
      <c r="AX257" s="1185"/>
      <c r="AY257" s="1185"/>
      <c r="AZ257" s="1185"/>
      <c r="BA257" s="1185"/>
      <c r="BB257" s="1185"/>
      <c r="BC257" s="252"/>
      <c r="BD257" s="252"/>
      <c r="BE257" s="252"/>
      <c r="BF257" s="252"/>
      <c r="BG257" s="311"/>
      <c r="BI257" s="487"/>
      <c r="BJ257" s="252"/>
      <c r="BK257" s="252"/>
      <c r="BL257" s="252"/>
      <c r="BM257" s="252"/>
      <c r="BN257" s="252"/>
      <c r="BO257" s="252"/>
      <c r="BP257" s="252"/>
      <c r="BQ257" s="252"/>
      <c r="BR257" s="252"/>
      <c r="BS257" s="252"/>
      <c r="BT257" s="252"/>
      <c r="BU257" s="252"/>
      <c r="BV257" s="252"/>
      <c r="BW257" s="252"/>
      <c r="BX257" s="252"/>
      <c r="BY257" s="252"/>
      <c r="BZ257" s="252"/>
      <c r="CA257" s="252"/>
      <c r="CB257" s="252"/>
      <c r="CC257" s="252"/>
      <c r="CD257" s="252"/>
      <c r="CE257" s="252"/>
      <c r="CF257" s="252"/>
      <c r="CG257" s="252"/>
      <c r="CH257" s="252"/>
      <c r="CI257" s="252"/>
      <c r="CJ257" s="252"/>
      <c r="CK257" s="252"/>
      <c r="CL257" s="252"/>
      <c r="CM257" s="252"/>
      <c r="CN257" s="252"/>
      <c r="CO257" s="252"/>
      <c r="CP257" s="252"/>
      <c r="CQ257" s="252"/>
      <c r="CR257" s="252"/>
      <c r="CS257" s="252"/>
      <c r="CT257" s="252"/>
      <c r="CU257" s="252"/>
      <c r="CV257" s="252"/>
      <c r="CW257" s="252"/>
      <c r="CX257" s="252"/>
      <c r="CY257" s="252"/>
      <c r="CZ257" s="252"/>
      <c r="DA257" s="252"/>
      <c r="DB257" s="252"/>
      <c r="DC257" s="252"/>
      <c r="DD257" s="252"/>
      <c r="DE257" s="252"/>
      <c r="DF257" s="252"/>
      <c r="DG257" s="252"/>
      <c r="DH257" s="252"/>
      <c r="DI257" s="252"/>
      <c r="DJ257" s="252"/>
      <c r="DK257" s="252"/>
      <c r="DL257" s="252"/>
      <c r="DM257" s="252"/>
      <c r="DN257" s="252"/>
      <c r="DO257" s="252"/>
      <c r="DP257" s="252"/>
      <c r="DQ257" s="252"/>
      <c r="DR257" s="252"/>
      <c r="DS257" s="252"/>
      <c r="DT257" s="252"/>
      <c r="DU257" s="252"/>
      <c r="DV257" s="488"/>
    </row>
    <row r="258" spans="2:126" x14ac:dyDescent="0.15">
      <c r="B258" s="312"/>
      <c r="C258" s="252"/>
      <c r="D258" s="252"/>
      <c r="E258" s="252"/>
      <c r="F258" s="252"/>
      <c r="G258" s="252"/>
      <c r="H258" s="252"/>
      <c r="I258" s="252"/>
      <c r="J258" s="252"/>
      <c r="K258" s="252"/>
      <c r="L258" s="252"/>
      <c r="M258" s="252"/>
      <c r="N258" s="1181" t="s">
        <v>316</v>
      </c>
      <c r="O258" s="1181"/>
      <c r="P258" s="1181"/>
      <c r="Q258" s="1181"/>
      <c r="R258" s="1181"/>
      <c r="S258" s="1181"/>
      <c r="T258" s="1181"/>
      <c r="U258" s="1181"/>
      <c r="V258" s="1181"/>
      <c r="W258" s="1181"/>
      <c r="X258" s="1181"/>
      <c r="Y258" s="252"/>
      <c r="Z258" s="252"/>
      <c r="AA258" s="252"/>
      <c r="AB258" s="252"/>
      <c r="AC258" s="252"/>
      <c r="AD258" s="252"/>
      <c r="AE258" s="252"/>
      <c r="AF258" s="252"/>
      <c r="AG258" s="252"/>
      <c r="AH258" s="252"/>
      <c r="AI258" s="252"/>
      <c r="AJ258" s="252"/>
      <c r="AK258" s="252"/>
      <c r="AL258" s="252"/>
      <c r="AM258" s="252"/>
      <c r="AN258" s="1181" t="s">
        <v>316</v>
      </c>
      <c r="AO258" s="1181"/>
      <c r="AP258" s="1181"/>
      <c r="AQ258" s="1181"/>
      <c r="AR258" s="1181"/>
      <c r="AS258" s="1181"/>
      <c r="AT258" s="1181"/>
      <c r="AU258" s="1181"/>
      <c r="AV258" s="1181"/>
      <c r="AW258" s="1181"/>
      <c r="AX258" s="1181"/>
      <c r="AY258" s="252"/>
      <c r="AZ258" s="252"/>
      <c r="BA258" s="252"/>
      <c r="BB258" s="252"/>
      <c r="BC258" s="252"/>
      <c r="BD258" s="252"/>
      <c r="BE258" s="252"/>
      <c r="BF258" s="252"/>
      <c r="BG258" s="311"/>
      <c r="BI258" s="487"/>
      <c r="BJ258" s="252"/>
      <c r="BK258" s="252"/>
      <c r="BL258" s="252"/>
      <c r="BM258" s="252"/>
      <c r="BN258" s="252"/>
      <c r="BO258" s="252"/>
      <c r="BP258" s="252"/>
      <c r="BQ258" s="252"/>
      <c r="BR258" s="252"/>
      <c r="BS258" s="252"/>
      <c r="BT258" s="252"/>
      <c r="BU258" s="252"/>
      <c r="BV258" s="252"/>
      <c r="BW258" s="252"/>
      <c r="BX258" s="252"/>
      <c r="BY258" s="252"/>
      <c r="BZ258" s="252"/>
      <c r="CA258" s="252"/>
      <c r="CB258" s="252"/>
      <c r="CC258" s="252"/>
      <c r="CD258" s="252"/>
      <c r="CE258" s="252"/>
      <c r="CF258" s="252"/>
      <c r="CG258" s="252"/>
      <c r="CH258" s="252"/>
      <c r="CI258" s="252"/>
      <c r="CJ258" s="252"/>
      <c r="CK258" s="252"/>
      <c r="CL258" s="252"/>
      <c r="CM258" s="252"/>
      <c r="CN258" s="252"/>
      <c r="CO258" s="252"/>
      <c r="CP258" s="252"/>
      <c r="CQ258" s="252"/>
      <c r="CR258" s="252"/>
      <c r="CS258" s="252"/>
      <c r="CT258" s="252"/>
      <c r="CU258" s="252"/>
      <c r="CV258" s="252"/>
      <c r="CW258" s="252"/>
      <c r="CX258" s="252"/>
      <c r="CY258" s="252"/>
      <c r="CZ258" s="252"/>
      <c r="DA258" s="252"/>
      <c r="DB258" s="252"/>
      <c r="DC258" s="252"/>
      <c r="DD258" s="252"/>
      <c r="DE258" s="252"/>
      <c r="DF258" s="252"/>
      <c r="DG258" s="252"/>
      <c r="DH258" s="252"/>
      <c r="DI258" s="252"/>
      <c r="DJ258" s="252"/>
      <c r="DK258" s="252"/>
      <c r="DL258" s="252"/>
      <c r="DM258" s="252"/>
      <c r="DN258" s="252"/>
      <c r="DO258" s="252"/>
      <c r="DP258" s="252"/>
      <c r="DQ258" s="252"/>
      <c r="DR258" s="252"/>
      <c r="DS258" s="252"/>
      <c r="DT258" s="252"/>
      <c r="DU258" s="252"/>
      <c r="DV258" s="488"/>
    </row>
    <row r="259" spans="2:126" x14ac:dyDescent="0.15">
      <c r="B259" s="31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c r="BC259" s="252"/>
      <c r="BD259" s="252"/>
      <c r="BE259" s="252"/>
      <c r="BF259" s="252"/>
      <c r="BG259" s="311"/>
      <c r="BI259" s="487"/>
      <c r="BJ259" s="252"/>
      <c r="BK259" s="252"/>
      <c r="BL259" s="252"/>
      <c r="BM259" s="252"/>
      <c r="BN259" s="252"/>
      <c r="BO259" s="252"/>
      <c r="BP259" s="252"/>
      <c r="BQ259" s="252"/>
      <c r="BR259" s="252"/>
      <c r="BS259" s="252"/>
      <c r="BT259" s="252"/>
      <c r="BU259" s="252"/>
      <c r="BV259" s="252"/>
      <c r="BW259" s="252"/>
      <c r="BX259" s="252"/>
      <c r="BY259" s="252"/>
      <c r="BZ259" s="252"/>
      <c r="CA259" s="252"/>
      <c r="CB259" s="252"/>
      <c r="CC259" s="252"/>
      <c r="CD259" s="252"/>
      <c r="CE259" s="252"/>
      <c r="CF259" s="252"/>
      <c r="CG259" s="252"/>
      <c r="CH259" s="252"/>
      <c r="CI259" s="252"/>
      <c r="CJ259" s="252"/>
      <c r="CK259" s="252"/>
      <c r="CL259" s="252"/>
      <c r="CM259" s="252"/>
      <c r="CN259" s="252"/>
      <c r="CO259" s="252"/>
      <c r="CP259" s="252"/>
      <c r="CQ259" s="252"/>
      <c r="CR259" s="252"/>
      <c r="CS259" s="252"/>
      <c r="CT259" s="252"/>
      <c r="CU259" s="252"/>
      <c r="CV259" s="252"/>
      <c r="CW259" s="252"/>
      <c r="CX259" s="252"/>
      <c r="CY259" s="252"/>
      <c r="CZ259" s="252"/>
      <c r="DA259" s="252"/>
      <c r="DB259" s="252"/>
      <c r="DC259" s="252"/>
      <c r="DD259" s="252"/>
      <c r="DE259" s="252"/>
      <c r="DF259" s="252"/>
      <c r="DG259" s="252"/>
      <c r="DH259" s="252"/>
      <c r="DI259" s="252"/>
      <c r="DJ259" s="252"/>
      <c r="DK259" s="252"/>
      <c r="DL259" s="252"/>
      <c r="DM259" s="252"/>
      <c r="DN259" s="252"/>
      <c r="DO259" s="252"/>
      <c r="DP259" s="252"/>
      <c r="DQ259" s="252"/>
      <c r="DR259" s="252"/>
      <c r="DS259" s="252"/>
      <c r="DT259" s="252"/>
      <c r="DU259" s="252"/>
      <c r="DV259" s="488"/>
    </row>
    <row r="260" spans="2:126" x14ac:dyDescent="0.15">
      <c r="B260" s="31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c r="BC260" s="252"/>
      <c r="BD260" s="252"/>
      <c r="BE260" s="252"/>
      <c r="BF260" s="252"/>
      <c r="BG260" s="311"/>
      <c r="BI260" s="487"/>
      <c r="BJ260" s="252"/>
      <c r="BK260" s="252"/>
      <c r="BL260" s="252"/>
      <c r="BM260" s="252"/>
      <c r="BN260" s="252"/>
      <c r="BO260" s="252"/>
      <c r="BP260" s="252"/>
      <c r="BQ260" s="252"/>
      <c r="BR260" s="252"/>
      <c r="BS260" s="252"/>
      <c r="BT260" s="252"/>
      <c r="BU260" s="252"/>
      <c r="BV260" s="252"/>
      <c r="BW260" s="252"/>
      <c r="BX260" s="252"/>
      <c r="BY260" s="252"/>
      <c r="BZ260" s="252"/>
      <c r="CA260" s="252"/>
      <c r="CB260" s="252"/>
      <c r="CC260" s="252"/>
      <c r="CD260" s="252"/>
      <c r="CE260" s="252"/>
      <c r="CF260" s="252"/>
      <c r="CG260" s="252"/>
      <c r="CH260" s="252"/>
      <c r="CI260" s="252"/>
      <c r="CJ260" s="252"/>
      <c r="CK260" s="252"/>
      <c r="CL260" s="252"/>
      <c r="CM260" s="252"/>
      <c r="CN260" s="252"/>
      <c r="CO260" s="252"/>
      <c r="CP260" s="252"/>
      <c r="CQ260" s="252"/>
      <c r="CR260" s="252"/>
      <c r="CS260" s="252"/>
      <c r="CT260" s="252"/>
      <c r="CU260" s="252"/>
      <c r="CV260" s="252"/>
      <c r="CW260" s="252"/>
      <c r="CX260" s="252"/>
      <c r="CY260" s="252"/>
      <c r="CZ260" s="252"/>
      <c r="DA260" s="252"/>
      <c r="DB260" s="252"/>
      <c r="DC260" s="252"/>
      <c r="DD260" s="252"/>
      <c r="DE260" s="252"/>
      <c r="DF260" s="252"/>
      <c r="DG260" s="252"/>
      <c r="DH260" s="252"/>
      <c r="DI260" s="252"/>
      <c r="DJ260" s="252"/>
      <c r="DK260" s="252"/>
      <c r="DL260" s="252"/>
      <c r="DM260" s="252"/>
      <c r="DN260" s="252"/>
      <c r="DO260" s="252"/>
      <c r="DP260" s="252"/>
      <c r="DQ260" s="252"/>
      <c r="DR260" s="252"/>
      <c r="DS260" s="252"/>
      <c r="DT260" s="252"/>
      <c r="DU260" s="252"/>
      <c r="DV260" s="488"/>
    </row>
    <row r="261" spans="2:126" x14ac:dyDescent="0.15">
      <c r="B261" s="312"/>
      <c r="C261" s="252"/>
      <c r="D261" s="252"/>
      <c r="E261" s="252"/>
      <c r="F261" s="252"/>
      <c r="G261" s="252"/>
      <c r="H261" s="252"/>
      <c r="I261" s="252"/>
      <c r="J261" s="1185"/>
      <c r="K261" s="1185"/>
      <c r="L261" s="1185"/>
      <c r="M261" s="1185"/>
      <c r="N261" s="1185"/>
      <c r="O261" s="1185"/>
      <c r="P261" s="1185"/>
      <c r="Q261" s="1185"/>
      <c r="R261" s="1185"/>
      <c r="S261" s="1185"/>
      <c r="T261" s="1185"/>
      <c r="U261" s="1185"/>
      <c r="V261" s="1185"/>
      <c r="W261" s="1185"/>
      <c r="X261" s="1185"/>
      <c r="Y261" s="1185"/>
      <c r="Z261" s="1185"/>
      <c r="AA261" s="1185"/>
      <c r="AB261" s="1185"/>
      <c r="AC261" s="252"/>
      <c r="AD261" s="252"/>
      <c r="AE261" s="252"/>
      <c r="AF261" s="252"/>
      <c r="AG261" s="252"/>
      <c r="AH261" s="252"/>
      <c r="AI261" s="252"/>
      <c r="AJ261" s="1185"/>
      <c r="AK261" s="1185"/>
      <c r="AL261" s="1185"/>
      <c r="AM261" s="1185"/>
      <c r="AN261" s="1185"/>
      <c r="AO261" s="1185"/>
      <c r="AP261" s="1185"/>
      <c r="AQ261" s="1185"/>
      <c r="AR261" s="1185"/>
      <c r="AS261" s="1185"/>
      <c r="AT261" s="1185"/>
      <c r="AU261" s="1185"/>
      <c r="AV261" s="1185"/>
      <c r="AW261" s="1185"/>
      <c r="AX261" s="1185"/>
      <c r="AY261" s="1185"/>
      <c r="AZ261" s="1185"/>
      <c r="BA261" s="1185"/>
      <c r="BB261" s="1185"/>
      <c r="BC261" s="252"/>
      <c r="BD261" s="252"/>
      <c r="BE261" s="252"/>
      <c r="BF261" s="252"/>
      <c r="BG261" s="311"/>
      <c r="BI261" s="487"/>
      <c r="BJ261" s="252"/>
      <c r="BK261" s="252"/>
      <c r="BL261" s="252"/>
      <c r="BM261" s="252"/>
      <c r="BN261" s="252"/>
      <c r="BO261" s="252"/>
      <c r="BP261" s="252"/>
      <c r="BQ261" s="252"/>
      <c r="BR261" s="252"/>
      <c r="BS261" s="252"/>
      <c r="BT261" s="252"/>
      <c r="BU261" s="252"/>
      <c r="BV261" s="252"/>
      <c r="BW261" s="252"/>
      <c r="BX261" s="252"/>
      <c r="BY261" s="252"/>
      <c r="BZ261" s="252"/>
      <c r="CA261" s="252"/>
      <c r="CB261" s="252"/>
      <c r="CC261" s="252"/>
      <c r="CD261" s="252"/>
      <c r="CE261" s="252"/>
      <c r="CF261" s="252"/>
      <c r="CG261" s="252"/>
      <c r="CH261" s="252"/>
      <c r="CI261" s="252"/>
      <c r="CJ261" s="252"/>
      <c r="CK261" s="252"/>
      <c r="CL261" s="252"/>
      <c r="CM261" s="252"/>
      <c r="CN261" s="252"/>
      <c r="CO261" s="252"/>
      <c r="CP261" s="252"/>
      <c r="CQ261" s="252"/>
      <c r="CR261" s="252"/>
      <c r="CS261" s="252"/>
      <c r="CT261" s="252"/>
      <c r="CU261" s="252"/>
      <c r="CV261" s="252"/>
      <c r="CW261" s="252"/>
      <c r="CX261" s="252"/>
      <c r="CY261" s="252"/>
      <c r="CZ261" s="252"/>
      <c r="DA261" s="252"/>
      <c r="DB261" s="252"/>
      <c r="DC261" s="252"/>
      <c r="DD261" s="252"/>
      <c r="DE261" s="252"/>
      <c r="DF261" s="252"/>
      <c r="DG261" s="252"/>
      <c r="DH261" s="252"/>
      <c r="DI261" s="252"/>
      <c r="DJ261" s="252"/>
      <c r="DK261" s="252"/>
      <c r="DL261" s="252"/>
      <c r="DM261" s="252"/>
      <c r="DN261" s="252"/>
      <c r="DO261" s="252"/>
      <c r="DP261" s="252"/>
      <c r="DQ261" s="252"/>
      <c r="DR261" s="252"/>
      <c r="DS261" s="252"/>
      <c r="DT261" s="252"/>
      <c r="DU261" s="252"/>
      <c r="DV261" s="488"/>
    </row>
    <row r="262" spans="2:126" x14ac:dyDescent="0.15">
      <c r="B262" s="312"/>
      <c r="C262" s="252"/>
      <c r="D262" s="252"/>
      <c r="E262" s="252"/>
      <c r="F262" s="252"/>
      <c r="G262" s="252"/>
      <c r="H262" s="252"/>
      <c r="I262" s="252"/>
      <c r="J262" s="252"/>
      <c r="K262" s="252"/>
      <c r="L262" s="252"/>
      <c r="M262" s="252"/>
      <c r="N262" s="1181" t="s">
        <v>802</v>
      </c>
      <c r="O262" s="1181"/>
      <c r="P262" s="1181"/>
      <c r="Q262" s="1181"/>
      <c r="R262" s="1181"/>
      <c r="S262" s="1181"/>
      <c r="T262" s="1181"/>
      <c r="U262" s="1181"/>
      <c r="V262" s="1181"/>
      <c r="W262" s="1181"/>
      <c r="X262" s="1181"/>
      <c r="Y262" s="252"/>
      <c r="Z262" s="252"/>
      <c r="AA262" s="252"/>
      <c r="AB262" s="252"/>
      <c r="AC262" s="252"/>
      <c r="AD262" s="252"/>
      <c r="AE262" s="252"/>
      <c r="AF262" s="252"/>
      <c r="AG262" s="252"/>
      <c r="AH262" s="252"/>
      <c r="AI262" s="252"/>
      <c r="AJ262" s="252"/>
      <c r="AK262" s="252"/>
      <c r="AL262" s="252"/>
      <c r="AM262" s="252"/>
      <c r="AN262" s="1181" t="s">
        <v>802</v>
      </c>
      <c r="AO262" s="1181"/>
      <c r="AP262" s="1181"/>
      <c r="AQ262" s="1181"/>
      <c r="AR262" s="1181"/>
      <c r="AS262" s="1181"/>
      <c r="AT262" s="1181"/>
      <c r="AU262" s="1181"/>
      <c r="AV262" s="1181"/>
      <c r="AW262" s="1181"/>
      <c r="AX262" s="1181"/>
      <c r="AY262" s="252"/>
      <c r="AZ262" s="252"/>
      <c r="BA262" s="252"/>
      <c r="BB262" s="252"/>
      <c r="BC262" s="252"/>
      <c r="BD262" s="252"/>
      <c r="BE262" s="252"/>
      <c r="BF262" s="252"/>
      <c r="BG262" s="311"/>
      <c r="BI262" s="487"/>
      <c r="BJ262" s="252"/>
      <c r="BK262" s="252"/>
      <c r="BL262" s="252"/>
      <c r="BM262" s="252"/>
      <c r="BN262" s="252"/>
      <c r="BO262" s="252"/>
      <c r="BP262" s="252"/>
      <c r="BQ262" s="252"/>
      <c r="BR262" s="252"/>
      <c r="BS262" s="252"/>
      <c r="BT262" s="252"/>
      <c r="BU262" s="252"/>
      <c r="BV262" s="252"/>
      <c r="BW262" s="252"/>
      <c r="BX262" s="252"/>
      <c r="BY262" s="252"/>
      <c r="BZ262" s="252"/>
      <c r="CA262" s="252"/>
      <c r="CB262" s="252"/>
      <c r="CC262" s="252"/>
      <c r="CD262" s="252"/>
      <c r="CE262" s="252"/>
      <c r="CF262" s="252"/>
      <c r="CG262" s="252"/>
      <c r="CH262" s="252"/>
      <c r="CI262" s="252"/>
      <c r="CJ262" s="252"/>
      <c r="CK262" s="252"/>
      <c r="CL262" s="252"/>
      <c r="CM262" s="252"/>
      <c r="CN262" s="252"/>
      <c r="CO262" s="252"/>
      <c r="CP262" s="252"/>
      <c r="CQ262" s="252"/>
      <c r="CR262" s="252"/>
      <c r="CS262" s="252"/>
      <c r="CT262" s="252"/>
      <c r="CU262" s="252"/>
      <c r="CV262" s="252"/>
      <c r="CW262" s="252"/>
      <c r="CX262" s="252"/>
      <c r="CY262" s="252"/>
      <c r="CZ262" s="252"/>
      <c r="DA262" s="252"/>
      <c r="DB262" s="252"/>
      <c r="DC262" s="252"/>
      <c r="DD262" s="252"/>
      <c r="DE262" s="252"/>
      <c r="DF262" s="252"/>
      <c r="DG262" s="252"/>
      <c r="DH262" s="252"/>
      <c r="DI262" s="252"/>
      <c r="DJ262" s="252"/>
      <c r="DK262" s="252"/>
      <c r="DL262" s="252"/>
      <c r="DM262" s="252"/>
      <c r="DN262" s="252"/>
      <c r="DO262" s="252"/>
      <c r="DP262" s="252"/>
      <c r="DQ262" s="252"/>
      <c r="DR262" s="252"/>
      <c r="DS262" s="252"/>
      <c r="DT262" s="252"/>
      <c r="DU262" s="252"/>
      <c r="DV262" s="488"/>
    </row>
    <row r="263" spans="2:126" x14ac:dyDescent="0.15">
      <c r="B263" s="31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c r="BC263" s="252"/>
      <c r="BD263" s="252"/>
      <c r="BE263" s="252"/>
      <c r="BF263" s="252"/>
      <c r="BG263" s="311"/>
      <c r="BI263" s="487"/>
      <c r="BJ263" s="252"/>
      <c r="BK263" s="252"/>
      <c r="BL263" s="252"/>
      <c r="BM263" s="252"/>
      <c r="BN263" s="252"/>
      <c r="BO263" s="252"/>
      <c r="BP263" s="252"/>
      <c r="BQ263" s="252"/>
      <c r="BR263" s="252"/>
      <c r="BS263" s="252"/>
      <c r="BT263" s="252"/>
      <c r="BU263" s="252"/>
      <c r="BV263" s="252"/>
      <c r="BW263" s="252"/>
      <c r="BX263" s="252"/>
      <c r="BY263" s="252"/>
      <c r="BZ263" s="252"/>
      <c r="CA263" s="252"/>
      <c r="CB263" s="252"/>
      <c r="CC263" s="252"/>
      <c r="CD263" s="252"/>
      <c r="CE263" s="252"/>
      <c r="CF263" s="252"/>
      <c r="CG263" s="252"/>
      <c r="CH263" s="252"/>
      <c r="CI263" s="252"/>
      <c r="CJ263" s="252"/>
      <c r="CK263" s="252"/>
      <c r="CL263" s="252"/>
      <c r="CM263" s="252"/>
      <c r="CN263" s="252"/>
      <c r="CO263" s="252"/>
      <c r="CP263" s="252"/>
      <c r="CQ263" s="252"/>
      <c r="CR263" s="252"/>
      <c r="CS263" s="252"/>
      <c r="CT263" s="252"/>
      <c r="CU263" s="252"/>
      <c r="CV263" s="252"/>
      <c r="CW263" s="252"/>
      <c r="CX263" s="252"/>
      <c r="CY263" s="252"/>
      <c r="CZ263" s="252"/>
      <c r="DA263" s="252"/>
      <c r="DB263" s="252"/>
      <c r="DC263" s="252"/>
      <c r="DD263" s="252"/>
      <c r="DE263" s="252"/>
      <c r="DF263" s="252"/>
      <c r="DG263" s="252"/>
      <c r="DH263" s="252"/>
      <c r="DI263" s="252"/>
      <c r="DJ263" s="252"/>
      <c r="DK263" s="252"/>
      <c r="DL263" s="252"/>
      <c r="DM263" s="252"/>
      <c r="DN263" s="252"/>
      <c r="DO263" s="252"/>
      <c r="DP263" s="252"/>
      <c r="DQ263" s="252"/>
      <c r="DR263" s="252"/>
      <c r="DS263" s="252"/>
      <c r="DT263" s="252"/>
      <c r="DU263" s="252"/>
      <c r="DV263" s="488"/>
    </row>
    <row r="264" spans="2:126" x14ac:dyDescent="0.15">
      <c r="B264" s="31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c r="BC264" s="252"/>
      <c r="BD264" s="252"/>
      <c r="BE264" s="252"/>
      <c r="BF264" s="252"/>
      <c r="BG264" s="311"/>
      <c r="BI264" s="487"/>
      <c r="BJ264" s="252"/>
      <c r="BK264" s="252"/>
      <c r="BL264" s="252"/>
      <c r="BM264" s="252"/>
      <c r="BN264" s="252"/>
      <c r="BO264" s="252"/>
      <c r="BP264" s="252"/>
      <c r="BQ264" s="252"/>
      <c r="BR264" s="252"/>
      <c r="BS264" s="252"/>
      <c r="BT264" s="252"/>
      <c r="BU264" s="252"/>
      <c r="BV264" s="252"/>
      <c r="BW264" s="252"/>
      <c r="BX264" s="252"/>
      <c r="BY264" s="252"/>
      <c r="BZ264" s="252"/>
      <c r="CA264" s="252"/>
      <c r="CB264" s="252"/>
      <c r="CC264" s="252"/>
      <c r="CD264" s="252"/>
      <c r="CE264" s="252"/>
      <c r="CF264" s="252"/>
      <c r="CG264" s="252"/>
      <c r="CH264" s="252"/>
      <c r="CI264" s="252"/>
      <c r="CJ264" s="252"/>
      <c r="CK264" s="252"/>
      <c r="CL264" s="252"/>
      <c r="CM264" s="252"/>
      <c r="CN264" s="252"/>
      <c r="CO264" s="252"/>
      <c r="CP264" s="252"/>
      <c r="CQ264" s="252"/>
      <c r="CR264" s="252"/>
      <c r="CS264" s="252"/>
      <c r="CT264" s="252"/>
      <c r="CU264" s="252"/>
      <c r="CV264" s="252"/>
      <c r="CW264" s="252"/>
      <c r="CX264" s="252"/>
      <c r="CY264" s="252"/>
      <c r="CZ264" s="252"/>
      <c r="DA264" s="252"/>
      <c r="DB264" s="252"/>
      <c r="DC264" s="252"/>
      <c r="DD264" s="252"/>
      <c r="DE264" s="252"/>
      <c r="DF264" s="252"/>
      <c r="DG264" s="252"/>
      <c r="DH264" s="252"/>
      <c r="DI264" s="252"/>
      <c r="DJ264" s="252"/>
      <c r="DK264" s="252"/>
      <c r="DL264" s="252"/>
      <c r="DM264" s="252"/>
      <c r="DN264" s="252"/>
      <c r="DO264" s="252"/>
      <c r="DP264" s="252"/>
      <c r="DQ264" s="252"/>
      <c r="DR264" s="252"/>
      <c r="DS264" s="252"/>
      <c r="DT264" s="252"/>
      <c r="DU264" s="252"/>
      <c r="DV264" s="488"/>
    </row>
    <row r="265" spans="2:126" x14ac:dyDescent="0.15">
      <c r="B265" s="312"/>
      <c r="C265" s="252"/>
      <c r="D265" s="252"/>
      <c r="E265" s="252"/>
      <c r="F265" s="252"/>
      <c r="G265" s="252"/>
      <c r="H265" s="252"/>
      <c r="I265" s="252"/>
      <c r="J265" s="1163"/>
      <c r="K265" s="1163"/>
      <c r="L265" s="1163"/>
      <c r="M265" s="1163"/>
      <c r="N265" s="1163"/>
      <c r="O265" s="1163"/>
      <c r="P265" s="1163"/>
      <c r="Q265" s="1163"/>
      <c r="R265" s="1163"/>
      <c r="S265" s="1163"/>
      <c r="T265" s="1163"/>
      <c r="U265" s="1163"/>
      <c r="V265" s="1163"/>
      <c r="W265" s="1163"/>
      <c r="X265" s="1163"/>
      <c r="Y265" s="1163"/>
      <c r="Z265" s="1163"/>
      <c r="AA265" s="1163"/>
      <c r="AB265" s="1163"/>
      <c r="AC265" s="252"/>
      <c r="AD265" s="252"/>
      <c r="AE265" s="252"/>
      <c r="AF265" s="252"/>
      <c r="AG265" s="252"/>
      <c r="AH265" s="252"/>
      <c r="AI265" s="252"/>
      <c r="AJ265" s="1163"/>
      <c r="AK265" s="1163"/>
      <c r="AL265" s="1163"/>
      <c r="AM265" s="1163"/>
      <c r="AN265" s="1163"/>
      <c r="AO265" s="1163"/>
      <c r="AP265" s="1163"/>
      <c r="AQ265" s="1163"/>
      <c r="AR265" s="1163"/>
      <c r="AS265" s="1163"/>
      <c r="AT265" s="1163"/>
      <c r="AU265" s="1163"/>
      <c r="AV265" s="1163"/>
      <c r="AW265" s="1163"/>
      <c r="AX265" s="1163"/>
      <c r="AY265" s="1163"/>
      <c r="AZ265" s="1163"/>
      <c r="BA265" s="1163"/>
      <c r="BB265" s="1163"/>
      <c r="BC265" s="252"/>
      <c r="BD265" s="252"/>
      <c r="BE265" s="252"/>
      <c r="BF265" s="252"/>
      <c r="BG265" s="311"/>
      <c r="BI265" s="487"/>
      <c r="BJ265" s="252"/>
      <c r="BK265" s="252"/>
      <c r="BL265" s="252"/>
      <c r="BM265" s="252"/>
      <c r="BN265" s="252"/>
      <c r="BO265" s="252"/>
      <c r="BP265" s="252"/>
      <c r="BQ265" s="252"/>
      <c r="BR265" s="252"/>
      <c r="BS265" s="252"/>
      <c r="BT265" s="252"/>
      <c r="BU265" s="252"/>
      <c r="BV265" s="252"/>
      <c r="BW265" s="252"/>
      <c r="BX265" s="252"/>
      <c r="BY265" s="252"/>
      <c r="BZ265" s="252"/>
      <c r="CA265" s="252"/>
      <c r="CB265" s="252"/>
      <c r="CC265" s="252"/>
      <c r="CD265" s="252"/>
      <c r="CE265" s="252"/>
      <c r="CF265" s="252"/>
      <c r="CG265" s="252"/>
      <c r="CH265" s="252"/>
      <c r="CI265" s="252"/>
      <c r="CJ265" s="252"/>
      <c r="CK265" s="252"/>
      <c r="CL265" s="252"/>
      <c r="CM265" s="252"/>
      <c r="CN265" s="252"/>
      <c r="CO265" s="252"/>
      <c r="CP265" s="252"/>
      <c r="CQ265" s="252"/>
      <c r="CR265" s="252"/>
      <c r="CS265" s="252"/>
      <c r="CT265" s="252"/>
      <c r="CU265" s="252"/>
      <c r="CV265" s="252"/>
      <c r="CW265" s="252"/>
      <c r="CX265" s="252"/>
      <c r="CY265" s="252"/>
      <c r="CZ265" s="252"/>
      <c r="DA265" s="252"/>
      <c r="DB265" s="252"/>
      <c r="DC265" s="252"/>
      <c r="DD265" s="252"/>
      <c r="DE265" s="252"/>
      <c r="DF265" s="252"/>
      <c r="DG265" s="252"/>
      <c r="DH265" s="252"/>
      <c r="DI265" s="252"/>
      <c r="DJ265" s="252"/>
      <c r="DK265" s="252"/>
      <c r="DL265" s="252"/>
      <c r="DM265" s="252"/>
      <c r="DN265" s="252"/>
      <c r="DO265" s="252"/>
      <c r="DP265" s="252"/>
      <c r="DQ265" s="252"/>
      <c r="DR265" s="252"/>
      <c r="DS265" s="252"/>
      <c r="DT265" s="252"/>
      <c r="DU265" s="252"/>
      <c r="DV265" s="488"/>
    </row>
    <row r="266" spans="2:126" x14ac:dyDescent="0.15">
      <c r="B266" s="312"/>
      <c r="C266" s="252"/>
      <c r="D266" s="252"/>
      <c r="E266" s="252"/>
      <c r="F266" s="252"/>
      <c r="G266" s="252"/>
      <c r="H266" s="252"/>
      <c r="I266" s="252"/>
      <c r="J266" s="252"/>
      <c r="K266" s="252"/>
      <c r="L266" s="252"/>
      <c r="M266" s="252"/>
      <c r="N266" s="1163"/>
      <c r="O266" s="1163"/>
      <c r="P266" s="1163"/>
      <c r="Q266" s="1163"/>
      <c r="R266" s="1163"/>
      <c r="S266" s="1163"/>
      <c r="T266" s="1163"/>
      <c r="U266" s="1163"/>
      <c r="V266" s="1163"/>
      <c r="W266" s="1163"/>
      <c r="X266" s="1163"/>
      <c r="Y266" s="252"/>
      <c r="Z266" s="252"/>
      <c r="AA266" s="252"/>
      <c r="AB266" s="252"/>
      <c r="AC266" s="252"/>
      <c r="AD266" s="252"/>
      <c r="AE266" s="252"/>
      <c r="AF266" s="252"/>
      <c r="AG266" s="252"/>
      <c r="AH266" s="252"/>
      <c r="AI266" s="252"/>
      <c r="AJ266" s="252"/>
      <c r="AK266" s="252"/>
      <c r="AL266" s="252"/>
      <c r="AM266" s="252"/>
      <c r="AN266" s="1163"/>
      <c r="AO266" s="1163"/>
      <c r="AP266" s="1163"/>
      <c r="AQ266" s="1163"/>
      <c r="AR266" s="1163"/>
      <c r="AS266" s="1163"/>
      <c r="AT266" s="1163"/>
      <c r="AU266" s="1163"/>
      <c r="AV266" s="1163"/>
      <c r="AW266" s="1163"/>
      <c r="AX266" s="1163"/>
      <c r="AY266" s="252"/>
      <c r="AZ266" s="252"/>
      <c r="BA266" s="252"/>
      <c r="BB266" s="252"/>
      <c r="BC266" s="252"/>
      <c r="BD266" s="252"/>
      <c r="BE266" s="252"/>
      <c r="BF266" s="252"/>
      <c r="BG266" s="311"/>
      <c r="BI266" s="487"/>
      <c r="BJ266" s="252"/>
      <c r="BK266" s="252"/>
      <c r="BL266" s="252"/>
      <c r="BM266" s="252"/>
      <c r="BN266" s="252"/>
      <c r="BO266" s="252"/>
      <c r="BP266" s="252"/>
      <c r="BQ266" s="252"/>
      <c r="BR266" s="252"/>
      <c r="BS266" s="252"/>
      <c r="BT266" s="252"/>
      <c r="BU266" s="252"/>
      <c r="BV266" s="252"/>
      <c r="BW266" s="252"/>
      <c r="BX266" s="252"/>
      <c r="BY266" s="252"/>
      <c r="BZ266" s="252"/>
      <c r="CA266" s="252"/>
      <c r="CB266" s="252"/>
      <c r="CC266" s="252"/>
      <c r="CD266" s="252"/>
      <c r="CE266" s="252"/>
      <c r="CF266" s="252"/>
      <c r="CG266" s="252"/>
      <c r="CH266" s="252"/>
      <c r="CI266" s="252"/>
      <c r="CJ266" s="252"/>
      <c r="CK266" s="252"/>
      <c r="CL266" s="252"/>
      <c r="CM266" s="252"/>
      <c r="CN266" s="252"/>
      <c r="CO266" s="252"/>
      <c r="CP266" s="252"/>
      <c r="CQ266" s="252"/>
      <c r="CR266" s="252"/>
      <c r="CS266" s="252"/>
      <c r="CT266" s="252"/>
      <c r="CU266" s="252"/>
      <c r="CV266" s="252"/>
      <c r="CW266" s="252"/>
      <c r="CX266" s="252"/>
      <c r="CY266" s="252"/>
      <c r="CZ266" s="252"/>
      <c r="DA266" s="252"/>
      <c r="DB266" s="252"/>
      <c r="DC266" s="252"/>
      <c r="DD266" s="252"/>
      <c r="DE266" s="252"/>
      <c r="DF266" s="252"/>
      <c r="DG266" s="252"/>
      <c r="DH266" s="252"/>
      <c r="DI266" s="252"/>
      <c r="DJ266" s="252"/>
      <c r="DK266" s="252"/>
      <c r="DL266" s="252"/>
      <c r="DM266" s="252"/>
      <c r="DN266" s="252"/>
      <c r="DO266" s="252"/>
      <c r="DP266" s="252"/>
      <c r="DQ266" s="252"/>
      <c r="DR266" s="252"/>
      <c r="DS266" s="252"/>
      <c r="DT266" s="252"/>
      <c r="DU266" s="252"/>
      <c r="DV266" s="488"/>
    </row>
    <row r="267" spans="2:126" ht="15" thickBot="1" x14ac:dyDescent="0.2">
      <c r="B267" s="315"/>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320"/>
      <c r="AE267" s="320"/>
      <c r="AF267" s="320"/>
      <c r="AG267" s="320"/>
      <c r="AH267" s="320"/>
      <c r="AI267" s="320"/>
      <c r="AJ267" s="320"/>
      <c r="AK267" s="320"/>
      <c r="AL267" s="320"/>
      <c r="AM267" s="320"/>
      <c r="AN267" s="320"/>
      <c r="AO267" s="320"/>
      <c r="AP267" s="320"/>
      <c r="AQ267" s="320"/>
      <c r="AR267" s="320"/>
      <c r="AS267" s="320"/>
      <c r="AT267" s="320"/>
      <c r="AU267" s="320"/>
      <c r="AV267" s="320"/>
      <c r="AW267" s="320"/>
      <c r="AX267" s="320"/>
      <c r="AY267" s="320"/>
      <c r="AZ267" s="320"/>
      <c r="BA267" s="320"/>
      <c r="BB267" s="320"/>
      <c r="BC267" s="320"/>
      <c r="BD267" s="320"/>
      <c r="BE267" s="320"/>
      <c r="BF267" s="320"/>
      <c r="BG267" s="321"/>
      <c r="BI267" s="490"/>
      <c r="BJ267" s="491"/>
      <c r="BK267" s="491"/>
      <c r="BL267" s="491"/>
      <c r="BM267" s="491"/>
      <c r="BN267" s="491"/>
      <c r="BO267" s="491"/>
      <c r="BP267" s="491"/>
      <c r="BQ267" s="491"/>
      <c r="BR267" s="491"/>
      <c r="BS267" s="491"/>
      <c r="BT267" s="491"/>
      <c r="BU267" s="491"/>
      <c r="BV267" s="491"/>
      <c r="BW267" s="491"/>
      <c r="BX267" s="491"/>
      <c r="BY267" s="491"/>
      <c r="BZ267" s="491"/>
      <c r="CA267" s="491"/>
      <c r="CB267" s="491"/>
      <c r="CC267" s="491"/>
      <c r="CD267" s="491"/>
      <c r="CE267" s="491"/>
      <c r="CF267" s="491"/>
      <c r="CG267" s="491"/>
      <c r="CH267" s="491"/>
      <c r="CI267" s="491"/>
      <c r="CJ267" s="491"/>
      <c r="CK267" s="491"/>
      <c r="CL267" s="491"/>
      <c r="CM267" s="491"/>
      <c r="CN267" s="491"/>
      <c r="CO267" s="491"/>
      <c r="CP267" s="491"/>
      <c r="CQ267" s="491"/>
      <c r="CR267" s="491"/>
      <c r="CS267" s="491"/>
      <c r="CT267" s="491"/>
      <c r="CU267" s="491"/>
      <c r="CV267" s="491"/>
      <c r="CW267" s="491"/>
      <c r="CX267" s="491"/>
      <c r="CY267" s="491"/>
      <c r="CZ267" s="491"/>
      <c r="DA267" s="491"/>
      <c r="DB267" s="491"/>
      <c r="DC267" s="491"/>
      <c r="DD267" s="491"/>
      <c r="DE267" s="491"/>
      <c r="DF267" s="491"/>
      <c r="DG267" s="491"/>
      <c r="DH267" s="491"/>
      <c r="DI267" s="491"/>
      <c r="DJ267" s="491"/>
      <c r="DK267" s="491"/>
      <c r="DL267" s="491"/>
      <c r="DM267" s="491"/>
      <c r="DN267" s="491"/>
      <c r="DO267" s="491"/>
      <c r="DP267" s="491"/>
      <c r="DQ267" s="491"/>
      <c r="DR267" s="491"/>
      <c r="DS267" s="491"/>
      <c r="DT267" s="491"/>
      <c r="DU267" s="491"/>
      <c r="DV267" s="492"/>
    </row>
  </sheetData>
  <sheetProtection algorithmName="SHA-512" hashValue="wRJmJhrYzqxVjkJwYIXu/0t7eze++dao5X9JU6gXBWy0Wu+VBEyY50SG3vtibTrtaB3i//G2FzmszVqm0AaiZg==" saltValue="q5cT2j42DKJf8DpdDngJuA==" spinCount="100000" sheet="1" objects="1" scenarios="1"/>
  <mergeCells count="817">
    <mergeCell ref="CK172:CV172"/>
    <mergeCell ref="CK171:CV171"/>
    <mergeCell ref="CK170:CV170"/>
    <mergeCell ref="CK169:CV169"/>
    <mergeCell ref="CK168:CV168"/>
    <mergeCell ref="CK167:CV167"/>
    <mergeCell ref="E173:AN173"/>
    <mergeCell ref="AP173:BF173"/>
    <mergeCell ref="BI175:BJ175"/>
    <mergeCell ref="AN177:AR177"/>
    <mergeCell ref="AS177:AW177"/>
    <mergeCell ref="AN179:AR179"/>
    <mergeCell ref="AS179:AW179"/>
    <mergeCell ref="CX88:DI88"/>
    <mergeCell ref="CX89:DI89"/>
    <mergeCell ref="CX103:DI103"/>
    <mergeCell ref="CX104:DI104"/>
    <mergeCell ref="CX105:DI105"/>
    <mergeCell ref="CX106:DI106"/>
    <mergeCell ref="CK106:CV106"/>
    <mergeCell ref="CX99:DI99"/>
    <mergeCell ref="CX100:DI100"/>
    <mergeCell ref="CX101:DI101"/>
    <mergeCell ref="CX102:DI102"/>
    <mergeCell ref="CK101:CV101"/>
    <mergeCell ref="CK91:CV91"/>
    <mergeCell ref="BX104:CI104"/>
    <mergeCell ref="BX105:CI105"/>
    <mergeCell ref="CK102:CV102"/>
    <mergeCell ref="CK103:CV103"/>
    <mergeCell ref="BK105:BV105"/>
    <mergeCell ref="C121:BF121"/>
    <mergeCell ref="C112:BF112"/>
    <mergeCell ref="B2:BG3"/>
    <mergeCell ref="AT110:BG110"/>
    <mergeCell ref="CX90:DI90"/>
    <mergeCell ref="CX91:DI91"/>
    <mergeCell ref="CX92:DI92"/>
    <mergeCell ref="CX93:DI93"/>
    <mergeCell ref="CX94:DI94"/>
    <mergeCell ref="CX95:DI95"/>
    <mergeCell ref="CX96:DI96"/>
    <mergeCell ref="CX97:DI97"/>
    <mergeCell ref="CX98:DI98"/>
    <mergeCell ref="CX81:DI81"/>
    <mergeCell ref="CX82:DI82"/>
    <mergeCell ref="CX83:DI83"/>
    <mergeCell ref="CX84:DI84"/>
    <mergeCell ref="CX85:DI85"/>
    <mergeCell ref="CX86:DI86"/>
    <mergeCell ref="CX87:DI87"/>
    <mergeCell ref="CK92:CV92"/>
    <mergeCell ref="CK81:CV81"/>
    <mergeCell ref="CK82:CV82"/>
    <mergeCell ref="CK83:CV83"/>
    <mergeCell ref="CK84:CV84"/>
    <mergeCell ref="CK85:CV85"/>
    <mergeCell ref="CK86:CV86"/>
    <mergeCell ref="CK87:CV87"/>
    <mergeCell ref="CK88:CV88"/>
    <mergeCell ref="CK89:CV89"/>
    <mergeCell ref="CK93:CV93"/>
    <mergeCell ref="CK94:CV94"/>
    <mergeCell ref="DK81:DV81"/>
    <mergeCell ref="DK82:DV82"/>
    <mergeCell ref="DK83:DV83"/>
    <mergeCell ref="DK84:DV84"/>
    <mergeCell ref="DK85:DV85"/>
    <mergeCell ref="DK86:DV86"/>
    <mergeCell ref="DK87:DV87"/>
    <mergeCell ref="DK88:DV88"/>
    <mergeCell ref="DK89:DV89"/>
    <mergeCell ref="DK106:DV106"/>
    <mergeCell ref="BX91:CI91"/>
    <mergeCell ref="BX92:CI92"/>
    <mergeCell ref="BX93:CI93"/>
    <mergeCell ref="BX94:CI94"/>
    <mergeCell ref="BX95:CI95"/>
    <mergeCell ref="BX106:CI106"/>
    <mergeCell ref="BK96:BV96"/>
    <mergeCell ref="CK95:CV95"/>
    <mergeCell ref="DK100:DV100"/>
    <mergeCell ref="DK101:DV101"/>
    <mergeCell ref="DK91:DV91"/>
    <mergeCell ref="DK92:DV92"/>
    <mergeCell ref="DK93:DV93"/>
    <mergeCell ref="DK94:DV94"/>
    <mergeCell ref="DK95:DV95"/>
    <mergeCell ref="DK96:DV96"/>
    <mergeCell ref="DK97:DV97"/>
    <mergeCell ref="DK98:DV98"/>
    <mergeCell ref="CK98:CV98"/>
    <mergeCell ref="CK99:CV99"/>
    <mergeCell ref="CK100:CV100"/>
    <mergeCell ref="CK104:CV104"/>
    <mergeCell ref="BX87:CI87"/>
    <mergeCell ref="BX88:CI88"/>
    <mergeCell ref="BX89:CI89"/>
    <mergeCell ref="BX90:CI90"/>
    <mergeCell ref="DK102:DV102"/>
    <mergeCell ref="DK103:DV103"/>
    <mergeCell ref="DK104:DV104"/>
    <mergeCell ref="DK105:DV105"/>
    <mergeCell ref="BX96:CI96"/>
    <mergeCell ref="BX97:CI97"/>
    <mergeCell ref="BX98:CI98"/>
    <mergeCell ref="BX99:CI99"/>
    <mergeCell ref="BX100:CI100"/>
    <mergeCell ref="DK99:DV99"/>
    <mergeCell ref="CK90:CV90"/>
    <mergeCell ref="CK96:CV96"/>
    <mergeCell ref="CK97:CV97"/>
    <mergeCell ref="DK90:DV90"/>
    <mergeCell ref="CK105:CV105"/>
    <mergeCell ref="BX81:CI81"/>
    <mergeCell ref="BX82:CI82"/>
    <mergeCell ref="BX83:CI83"/>
    <mergeCell ref="BX84:CI84"/>
    <mergeCell ref="BX85:CI85"/>
    <mergeCell ref="C102:BF102"/>
    <mergeCell ref="C103:BF103"/>
    <mergeCell ref="BK97:BV97"/>
    <mergeCell ref="BK98:BV98"/>
    <mergeCell ref="BK99:BV99"/>
    <mergeCell ref="BK90:BV90"/>
    <mergeCell ref="BK91:BV91"/>
    <mergeCell ref="BK92:BV92"/>
    <mergeCell ref="BK93:BV93"/>
    <mergeCell ref="BK94:BV94"/>
    <mergeCell ref="BK85:BV85"/>
    <mergeCell ref="BK86:BV86"/>
    <mergeCell ref="BK87:BV87"/>
    <mergeCell ref="BK88:BV88"/>
    <mergeCell ref="BK89:BV89"/>
    <mergeCell ref="BX103:CI103"/>
    <mergeCell ref="BX101:CI101"/>
    <mergeCell ref="BX102:CI102"/>
    <mergeCell ref="BX86:CI86"/>
    <mergeCell ref="P16:S16"/>
    <mergeCell ref="A7:D7"/>
    <mergeCell ref="C24:T24"/>
    <mergeCell ref="BK106:BV106"/>
    <mergeCell ref="C85:BF85"/>
    <mergeCell ref="C86:BF86"/>
    <mergeCell ref="C87:BF87"/>
    <mergeCell ref="C88:BF88"/>
    <mergeCell ref="C89:BF89"/>
    <mergeCell ref="C90:BF90"/>
    <mergeCell ref="C91:BF91"/>
    <mergeCell ref="C92:BF92"/>
    <mergeCell ref="C93:BF93"/>
    <mergeCell ref="C94:BF94"/>
    <mergeCell ref="C95:BF95"/>
    <mergeCell ref="C96:BF96"/>
    <mergeCell ref="C97:BF97"/>
    <mergeCell ref="C98:BF98"/>
    <mergeCell ref="BK100:BV100"/>
    <mergeCell ref="BK101:BV101"/>
    <mergeCell ref="BK102:BV102"/>
    <mergeCell ref="BK103:BV103"/>
    <mergeCell ref="BK104:BV104"/>
    <mergeCell ref="BK95:BV95"/>
    <mergeCell ref="X24:AL24"/>
    <mergeCell ref="AO24:BF24"/>
    <mergeCell ref="C27:T27"/>
    <mergeCell ref="X27:AL27"/>
    <mergeCell ref="BK81:BV81"/>
    <mergeCell ref="BK82:BV82"/>
    <mergeCell ref="BK83:BV83"/>
    <mergeCell ref="BK84:BV84"/>
    <mergeCell ref="A4:D4"/>
    <mergeCell ref="A5:D5"/>
    <mergeCell ref="A6:D6"/>
    <mergeCell ref="D21:AC21"/>
    <mergeCell ref="AF21:AP21"/>
    <mergeCell ref="S5:AQ5"/>
    <mergeCell ref="C13:T13"/>
    <mergeCell ref="AR13:BD13"/>
    <mergeCell ref="B8:BG8"/>
    <mergeCell ref="C10:BF10"/>
    <mergeCell ref="D17:N19"/>
    <mergeCell ref="P18:S18"/>
    <mergeCell ref="U18:AY18"/>
    <mergeCell ref="BA18:BF18"/>
    <mergeCell ref="E36:BE36"/>
    <mergeCell ref="E37:BE37"/>
    <mergeCell ref="E38:BE38"/>
    <mergeCell ref="E40:BE40"/>
    <mergeCell ref="E42:BE42"/>
    <mergeCell ref="E44:BE44"/>
    <mergeCell ref="C30:T30"/>
    <mergeCell ref="X30:AL30"/>
    <mergeCell ref="AO30:BF30"/>
    <mergeCell ref="C33:T33"/>
    <mergeCell ref="X33:AL33"/>
    <mergeCell ref="C54:BF54"/>
    <mergeCell ref="C55:BF55"/>
    <mergeCell ref="C56:BF56"/>
    <mergeCell ref="C57:BF57"/>
    <mergeCell ref="E46:BE46"/>
    <mergeCell ref="E47:BE47"/>
    <mergeCell ref="C52:BG52"/>
    <mergeCell ref="C53:BF53"/>
    <mergeCell ref="C66:BF66"/>
    <mergeCell ref="C58:BF58"/>
    <mergeCell ref="C59:BF59"/>
    <mergeCell ref="C60:BF60"/>
    <mergeCell ref="C64:BF64"/>
    <mergeCell ref="C65:BF65"/>
    <mergeCell ref="B48:BG48"/>
    <mergeCell ref="C61:BF61"/>
    <mergeCell ref="C62:BF62"/>
    <mergeCell ref="C63:BF63"/>
    <mergeCell ref="C50:BF50"/>
    <mergeCell ref="C68:BF68"/>
    <mergeCell ref="C69:BF69"/>
    <mergeCell ref="C67:BF67"/>
    <mergeCell ref="B108:BG108"/>
    <mergeCell ref="C110:U110"/>
    <mergeCell ref="B80:BG80"/>
    <mergeCell ref="C82:T82"/>
    <mergeCell ref="C99:BF99"/>
    <mergeCell ref="C100:BF100"/>
    <mergeCell ref="C101:BF101"/>
    <mergeCell ref="C107:BF107"/>
    <mergeCell ref="C106:BF106"/>
    <mergeCell ref="C104:BF104"/>
    <mergeCell ref="C105:BF105"/>
    <mergeCell ref="C109:BF109"/>
    <mergeCell ref="C113:BF113"/>
    <mergeCell ref="C116:BF116"/>
    <mergeCell ref="C117:BF117"/>
    <mergeCell ref="C118:BF118"/>
    <mergeCell ref="C119:BF119"/>
    <mergeCell ref="C120:BF120"/>
    <mergeCell ref="C114:BF114"/>
    <mergeCell ref="C115:BF115"/>
    <mergeCell ref="X110:AS110"/>
    <mergeCell ref="X111:AT111"/>
    <mergeCell ref="AU111:BF111"/>
    <mergeCell ref="C133:BF133"/>
    <mergeCell ref="C122:BF122"/>
    <mergeCell ref="C123:BF123"/>
    <mergeCell ref="C124:BF124"/>
    <mergeCell ref="C125:BF125"/>
    <mergeCell ref="C126:BF126"/>
    <mergeCell ref="C127:BF127"/>
    <mergeCell ref="C128:BF128"/>
    <mergeCell ref="C129:BF129"/>
    <mergeCell ref="C130:BF130"/>
    <mergeCell ref="C131:BF131"/>
    <mergeCell ref="C132:BF132"/>
    <mergeCell ref="C135:BF135"/>
    <mergeCell ref="C136:BF136"/>
    <mergeCell ref="C155:BF155"/>
    <mergeCell ref="C157:BF157"/>
    <mergeCell ref="C137:BF137"/>
    <mergeCell ref="C138:BF138"/>
    <mergeCell ref="C139:BF139"/>
    <mergeCell ref="C140:BF140"/>
    <mergeCell ref="C141:BF141"/>
    <mergeCell ref="C142:BF142"/>
    <mergeCell ref="C143:BF143"/>
    <mergeCell ref="C144:BF144"/>
    <mergeCell ref="C145:BF145"/>
    <mergeCell ref="C146:BF146"/>
    <mergeCell ref="C147:BF147"/>
    <mergeCell ref="C148:BF148"/>
    <mergeCell ref="C149:BF149"/>
    <mergeCell ref="C150:BF150"/>
    <mergeCell ref="C151:BF151"/>
    <mergeCell ref="C152:BF152"/>
    <mergeCell ref="C153:BF153"/>
    <mergeCell ref="C154:BF154"/>
    <mergeCell ref="B156:BG156"/>
    <mergeCell ref="BK113:BV113"/>
    <mergeCell ref="BK114:BV114"/>
    <mergeCell ref="BK115:BV115"/>
    <mergeCell ref="BK116:BV116"/>
    <mergeCell ref="BK117:BV117"/>
    <mergeCell ref="BK118:BV118"/>
    <mergeCell ref="BK119:BV119"/>
    <mergeCell ref="BK120:BV120"/>
    <mergeCell ref="BK121:BV121"/>
    <mergeCell ref="BK122:BV122"/>
    <mergeCell ref="BK123:BV123"/>
    <mergeCell ref="BK124:BV124"/>
    <mergeCell ref="BK125:BV125"/>
    <mergeCell ref="BK126:BV126"/>
    <mergeCell ref="BK127:BV127"/>
    <mergeCell ref="BK128:BV128"/>
    <mergeCell ref="BK129:BV129"/>
    <mergeCell ref="BK130:BV130"/>
    <mergeCell ref="BK131:BV131"/>
    <mergeCell ref="BK132:BV132"/>
    <mergeCell ref="BK133:BV133"/>
    <mergeCell ref="BK134:BV134"/>
    <mergeCell ref="BK135:BV135"/>
    <mergeCell ref="BK136:BV136"/>
    <mergeCell ref="BK155:BV155"/>
    <mergeCell ref="BK156:BV156"/>
    <mergeCell ref="BK157:BV157"/>
    <mergeCell ref="BK137:BV137"/>
    <mergeCell ref="BK138:BV138"/>
    <mergeCell ref="BK139:BV139"/>
    <mergeCell ref="BK140:BV140"/>
    <mergeCell ref="BK141:BV141"/>
    <mergeCell ref="BK142:BV142"/>
    <mergeCell ref="BK143:BV143"/>
    <mergeCell ref="BK144:BV144"/>
    <mergeCell ref="BK145:BV145"/>
    <mergeCell ref="BK146:BV146"/>
    <mergeCell ref="BK147:BV147"/>
    <mergeCell ref="BK148:BV148"/>
    <mergeCell ref="BK149:BV149"/>
    <mergeCell ref="BK150:BV150"/>
    <mergeCell ref="BK151:BV151"/>
    <mergeCell ref="BX112:CI112"/>
    <mergeCell ref="BX113:CI113"/>
    <mergeCell ref="BX114:CI114"/>
    <mergeCell ref="BX115:CI115"/>
    <mergeCell ref="BX116:CI116"/>
    <mergeCell ref="BX117:CI117"/>
    <mergeCell ref="BX118:CI118"/>
    <mergeCell ref="BX119:CI119"/>
    <mergeCell ref="BX120:CI120"/>
    <mergeCell ref="BX136:CI136"/>
    <mergeCell ref="BX155:CI155"/>
    <mergeCell ref="BX156:CI156"/>
    <mergeCell ref="BX137:CI137"/>
    <mergeCell ref="BX138:CI138"/>
    <mergeCell ref="BX139:CI139"/>
    <mergeCell ref="BX140:CI140"/>
    <mergeCell ref="BX141:CI141"/>
    <mergeCell ref="BX142:CI142"/>
    <mergeCell ref="BX143:CI143"/>
    <mergeCell ref="BX144:CI144"/>
    <mergeCell ref="BX145:CI145"/>
    <mergeCell ref="BX146:CI146"/>
    <mergeCell ref="BX147:CI147"/>
    <mergeCell ref="BX148:CI148"/>
    <mergeCell ref="BX149:CI149"/>
    <mergeCell ref="BX150:CI150"/>
    <mergeCell ref="BX151:CI151"/>
    <mergeCell ref="CX131:DI131"/>
    <mergeCell ref="CX132:DI132"/>
    <mergeCell ref="CK113:CV113"/>
    <mergeCell ref="BX130:CI130"/>
    <mergeCell ref="BX131:CI131"/>
    <mergeCell ref="BX132:CI132"/>
    <mergeCell ref="BX133:CI133"/>
    <mergeCell ref="BX134:CI134"/>
    <mergeCell ref="BX135:CI135"/>
    <mergeCell ref="BX121:CI121"/>
    <mergeCell ref="BX122:CI122"/>
    <mergeCell ref="BX123:CI123"/>
    <mergeCell ref="BX124:CI124"/>
    <mergeCell ref="BX125:CI125"/>
    <mergeCell ref="BX126:CI126"/>
    <mergeCell ref="BX127:CI127"/>
    <mergeCell ref="BX128:CI128"/>
    <mergeCell ref="BX129:CI129"/>
    <mergeCell ref="CX122:DI122"/>
    <mergeCell ref="CX123:DI123"/>
    <mergeCell ref="CX124:DI124"/>
    <mergeCell ref="CX125:DI125"/>
    <mergeCell ref="CX126:DI126"/>
    <mergeCell ref="CX127:DI127"/>
    <mergeCell ref="CX128:DI128"/>
    <mergeCell ref="CX129:DI129"/>
    <mergeCell ref="CX130:DI130"/>
    <mergeCell ref="CX113:DI113"/>
    <mergeCell ref="CX114:DI114"/>
    <mergeCell ref="CX115:DI115"/>
    <mergeCell ref="CX116:DI116"/>
    <mergeCell ref="CX117:DI117"/>
    <mergeCell ref="CX118:DI118"/>
    <mergeCell ref="CX119:DI119"/>
    <mergeCell ref="CX120:DI120"/>
    <mergeCell ref="CX121:DI121"/>
    <mergeCell ref="DK121:DV121"/>
    <mergeCell ref="DK122:DV122"/>
    <mergeCell ref="DK123:DV123"/>
    <mergeCell ref="DK124:DV124"/>
    <mergeCell ref="DK125:DV125"/>
    <mergeCell ref="DK126:DV126"/>
    <mergeCell ref="DK127:DV127"/>
    <mergeCell ref="DK128:DV128"/>
    <mergeCell ref="CK136:CV136"/>
    <mergeCell ref="CK121:CV121"/>
    <mergeCell ref="CK122:CV122"/>
    <mergeCell ref="CK123:CV123"/>
    <mergeCell ref="CK124:CV124"/>
    <mergeCell ref="CK125:CV125"/>
    <mergeCell ref="CK126:CV126"/>
    <mergeCell ref="CK127:CV127"/>
    <mergeCell ref="CK128:CV128"/>
    <mergeCell ref="CK129:CV129"/>
    <mergeCell ref="CK130:CV130"/>
    <mergeCell ref="CK131:CV131"/>
    <mergeCell ref="CK132:CV132"/>
    <mergeCell ref="CK133:CV133"/>
    <mergeCell ref="CK134:CV134"/>
    <mergeCell ref="CK135:CV135"/>
    <mergeCell ref="DK112:DV112"/>
    <mergeCell ref="DK113:DV113"/>
    <mergeCell ref="DK114:DV114"/>
    <mergeCell ref="DK115:DV115"/>
    <mergeCell ref="DK116:DV116"/>
    <mergeCell ref="DK117:DV117"/>
    <mergeCell ref="DK118:DV118"/>
    <mergeCell ref="DK119:DV119"/>
    <mergeCell ref="DK120:DV120"/>
    <mergeCell ref="CX133:DI133"/>
    <mergeCell ref="CX134:DI134"/>
    <mergeCell ref="CX135:DI135"/>
    <mergeCell ref="CX136:DI136"/>
    <mergeCell ref="CX155:DI155"/>
    <mergeCell ref="CX156:DI156"/>
    <mergeCell ref="CX157:DI157"/>
    <mergeCell ref="DK152:DV152"/>
    <mergeCell ref="DK153:DV153"/>
    <mergeCell ref="DK154:DV154"/>
    <mergeCell ref="CX137:DI137"/>
    <mergeCell ref="CX138:DI138"/>
    <mergeCell ref="CX139:DI139"/>
    <mergeCell ref="CX140:DI140"/>
    <mergeCell ref="CX141:DI141"/>
    <mergeCell ref="CX142:DI142"/>
    <mergeCell ref="CX143:DI143"/>
    <mergeCell ref="CX144:DI144"/>
    <mergeCell ref="CX145:DI145"/>
    <mergeCell ref="CX146:DI146"/>
    <mergeCell ref="CX147:DI147"/>
    <mergeCell ref="CX148:DI148"/>
    <mergeCell ref="CX149:DI149"/>
    <mergeCell ref="CX150:DI150"/>
    <mergeCell ref="DK129:DV129"/>
    <mergeCell ref="DK130:DV130"/>
    <mergeCell ref="DK131:DV131"/>
    <mergeCell ref="DK132:DV132"/>
    <mergeCell ref="DK133:DV133"/>
    <mergeCell ref="DK134:DV134"/>
    <mergeCell ref="DK135:DV135"/>
    <mergeCell ref="DK136:DV136"/>
    <mergeCell ref="DK155:DV155"/>
    <mergeCell ref="DK137:DV137"/>
    <mergeCell ref="DK138:DV138"/>
    <mergeCell ref="DK139:DV139"/>
    <mergeCell ref="DK140:DV140"/>
    <mergeCell ref="DK141:DV141"/>
    <mergeCell ref="DK142:DV142"/>
    <mergeCell ref="DK143:DV143"/>
    <mergeCell ref="DK144:DV144"/>
    <mergeCell ref="DK145:DV145"/>
    <mergeCell ref="DK146:DV146"/>
    <mergeCell ref="DK147:DV147"/>
    <mergeCell ref="DK148:DV148"/>
    <mergeCell ref="DK149:DV149"/>
    <mergeCell ref="DK150:DV150"/>
    <mergeCell ref="DK151:DV151"/>
    <mergeCell ref="BK177:BV177"/>
    <mergeCell ref="BK178:BV178"/>
    <mergeCell ref="BK179:BV179"/>
    <mergeCell ref="BK180:BV180"/>
    <mergeCell ref="BK181:BV181"/>
    <mergeCell ref="BK182:BV182"/>
    <mergeCell ref="BK183:BV183"/>
    <mergeCell ref="BK184:BV184"/>
    <mergeCell ref="BK167:BV167"/>
    <mergeCell ref="BK168:BV168"/>
    <mergeCell ref="BK169:BV169"/>
    <mergeCell ref="BK170:BV170"/>
    <mergeCell ref="BK171:BV171"/>
    <mergeCell ref="BK172:BV172"/>
    <mergeCell ref="BK173:BV173"/>
    <mergeCell ref="BK174:BV174"/>
    <mergeCell ref="BK175:BV175"/>
    <mergeCell ref="BK185:BV185"/>
    <mergeCell ref="BK186:BV186"/>
    <mergeCell ref="BK187:BV187"/>
    <mergeCell ref="BK188:BV188"/>
    <mergeCell ref="BX160:CI160"/>
    <mergeCell ref="BX161:CI161"/>
    <mergeCell ref="BX162:CI162"/>
    <mergeCell ref="BX163:CI163"/>
    <mergeCell ref="BX164:CI164"/>
    <mergeCell ref="BX165:CI165"/>
    <mergeCell ref="BX166:CI166"/>
    <mergeCell ref="BX167:CI167"/>
    <mergeCell ref="BX168:CI168"/>
    <mergeCell ref="BX169:CI169"/>
    <mergeCell ref="BX170:CI170"/>
    <mergeCell ref="BX171:CI171"/>
    <mergeCell ref="BX172:CI172"/>
    <mergeCell ref="BX174:CI174"/>
    <mergeCell ref="BX175:CI175"/>
    <mergeCell ref="BX176:CI176"/>
    <mergeCell ref="BX177:CI177"/>
    <mergeCell ref="BX178:CI178"/>
    <mergeCell ref="BX179:CI179"/>
    <mergeCell ref="BK176:BV176"/>
    <mergeCell ref="BX199:CI199"/>
    <mergeCell ref="BX200:CI200"/>
    <mergeCell ref="BX173:CI173"/>
    <mergeCell ref="BX189:CI189"/>
    <mergeCell ref="BX190:CI190"/>
    <mergeCell ref="BX191:CI191"/>
    <mergeCell ref="CK173:CV173"/>
    <mergeCell ref="CK174:CV174"/>
    <mergeCell ref="CK175:CV175"/>
    <mergeCell ref="CK176:CV176"/>
    <mergeCell ref="CK177:CV177"/>
    <mergeCell ref="CK178:CV178"/>
    <mergeCell ref="CK179:CV179"/>
    <mergeCell ref="CK180:CV180"/>
    <mergeCell ref="CK181:CV181"/>
    <mergeCell ref="CK187:CV187"/>
    <mergeCell ref="CK188:CV188"/>
    <mergeCell ref="BX185:CI185"/>
    <mergeCell ref="BX186:CI186"/>
    <mergeCell ref="BX187:CI187"/>
    <mergeCell ref="BX188:CI188"/>
    <mergeCell ref="BX201:CI201"/>
    <mergeCell ref="BX202:CI202"/>
    <mergeCell ref="BX203:CI203"/>
    <mergeCell ref="BX204:CI204"/>
    <mergeCell ref="BX205:CI205"/>
    <mergeCell ref="CX160:DI160"/>
    <mergeCell ref="CX161:DI161"/>
    <mergeCell ref="CX162:DI162"/>
    <mergeCell ref="CX163:DI163"/>
    <mergeCell ref="CX164:DI164"/>
    <mergeCell ref="CX165:DI165"/>
    <mergeCell ref="CX166:DI166"/>
    <mergeCell ref="CX167:DI167"/>
    <mergeCell ref="CX168:DI168"/>
    <mergeCell ref="CX169:DI169"/>
    <mergeCell ref="CX170:DI170"/>
    <mergeCell ref="CX171:DI171"/>
    <mergeCell ref="CX172:DI172"/>
    <mergeCell ref="CX173:DI173"/>
    <mergeCell ref="CX174:DI174"/>
    <mergeCell ref="CX175:DI175"/>
    <mergeCell ref="CX176:DI176"/>
    <mergeCell ref="CX177:DI177"/>
    <mergeCell ref="BX198:CI198"/>
    <mergeCell ref="DK174:DV174"/>
    <mergeCell ref="DK175:DV175"/>
    <mergeCell ref="DK176:DV176"/>
    <mergeCell ref="DK177:DV177"/>
    <mergeCell ref="DK178:DV178"/>
    <mergeCell ref="DK179:DV179"/>
    <mergeCell ref="DK180:DV180"/>
    <mergeCell ref="DK181:DV181"/>
    <mergeCell ref="CX179:DI179"/>
    <mergeCell ref="CX180:DI180"/>
    <mergeCell ref="CX181:DI181"/>
    <mergeCell ref="CX178:DI178"/>
    <mergeCell ref="DK167:DV167"/>
    <mergeCell ref="DK156:DV156"/>
    <mergeCell ref="DK157:DV157"/>
    <mergeCell ref="DK168:DV168"/>
    <mergeCell ref="DK169:DV169"/>
    <mergeCell ref="DK170:DV170"/>
    <mergeCell ref="DK171:DV171"/>
    <mergeCell ref="DK172:DV172"/>
    <mergeCell ref="DK173:DV173"/>
    <mergeCell ref="DK160:DV160"/>
    <mergeCell ref="DK161:DV161"/>
    <mergeCell ref="DK162:DV162"/>
    <mergeCell ref="DK163:DV163"/>
    <mergeCell ref="DK164:DV164"/>
    <mergeCell ref="DK165:DV165"/>
    <mergeCell ref="DK166:DV166"/>
    <mergeCell ref="CK165:CV165"/>
    <mergeCell ref="CK166:CV166"/>
    <mergeCell ref="BX195:CI195"/>
    <mergeCell ref="BX196:CI196"/>
    <mergeCell ref="BX197:CI197"/>
    <mergeCell ref="BK165:BV165"/>
    <mergeCell ref="BK166:BV166"/>
    <mergeCell ref="BX157:CI157"/>
    <mergeCell ref="CK160:CV160"/>
    <mergeCell ref="CK161:CV161"/>
    <mergeCell ref="CK162:CV162"/>
    <mergeCell ref="CK163:CV163"/>
    <mergeCell ref="CK164:CV164"/>
    <mergeCell ref="CK157:CV157"/>
    <mergeCell ref="CK182:CV182"/>
    <mergeCell ref="CK183:CV183"/>
    <mergeCell ref="CK184:CV184"/>
    <mergeCell ref="CK185:CV185"/>
    <mergeCell ref="CK186:CV186"/>
    <mergeCell ref="BX180:CI180"/>
    <mergeCell ref="BX181:CI181"/>
    <mergeCell ref="BX182:CI182"/>
    <mergeCell ref="BX183:CI183"/>
    <mergeCell ref="BX184:CI184"/>
    <mergeCell ref="BK197:BV197"/>
    <mergeCell ref="BK198:BV198"/>
    <mergeCell ref="BK199:BV199"/>
    <mergeCell ref="DK182:DV182"/>
    <mergeCell ref="DK183:DV183"/>
    <mergeCell ref="DK184:DV184"/>
    <mergeCell ref="DK185:DV185"/>
    <mergeCell ref="DK186:DV186"/>
    <mergeCell ref="DK187:DV187"/>
    <mergeCell ref="DK188:DV188"/>
    <mergeCell ref="BK189:BV189"/>
    <mergeCell ref="BK190:BV190"/>
    <mergeCell ref="CX189:DI189"/>
    <mergeCell ref="CX190:DI190"/>
    <mergeCell ref="CX188:DI188"/>
    <mergeCell ref="CX183:DI183"/>
    <mergeCell ref="CX184:DI184"/>
    <mergeCell ref="CX185:DI185"/>
    <mergeCell ref="CX186:DI186"/>
    <mergeCell ref="CX187:DI187"/>
    <mergeCell ref="BX192:CI192"/>
    <mergeCell ref="BX193:CI193"/>
    <mergeCell ref="BX194:CI194"/>
    <mergeCell ref="CX182:DI182"/>
    <mergeCell ref="CX197:DI197"/>
    <mergeCell ref="CX198:DI198"/>
    <mergeCell ref="CX199:DI199"/>
    <mergeCell ref="BK200:BV200"/>
    <mergeCell ref="BK201:BV201"/>
    <mergeCell ref="CK189:CV189"/>
    <mergeCell ref="CK190:CV190"/>
    <mergeCell ref="CK191:CV191"/>
    <mergeCell ref="CK192:CV192"/>
    <mergeCell ref="CK193:CV193"/>
    <mergeCell ref="CK194:CV194"/>
    <mergeCell ref="CK195:CV195"/>
    <mergeCell ref="CK196:CV196"/>
    <mergeCell ref="CK197:CV197"/>
    <mergeCell ref="CK198:CV198"/>
    <mergeCell ref="CK199:CV199"/>
    <mergeCell ref="CK200:CV200"/>
    <mergeCell ref="CK201:CV201"/>
    <mergeCell ref="BK191:BV191"/>
    <mergeCell ref="BK192:BV192"/>
    <mergeCell ref="BK193:BV193"/>
    <mergeCell ref="BK194:BV194"/>
    <mergeCell ref="BK195:BV195"/>
    <mergeCell ref="BK196:BV196"/>
    <mergeCell ref="CK155:CV155"/>
    <mergeCell ref="CK156:CV156"/>
    <mergeCell ref="E166:BF166"/>
    <mergeCell ref="CX200:DI200"/>
    <mergeCell ref="CX201:DI201"/>
    <mergeCell ref="DK189:DV189"/>
    <mergeCell ref="DK190:DV190"/>
    <mergeCell ref="DK191:DV191"/>
    <mergeCell ref="DK192:DV192"/>
    <mergeCell ref="DK193:DV193"/>
    <mergeCell ref="DK194:DV194"/>
    <mergeCell ref="DK195:DV195"/>
    <mergeCell ref="DK196:DV196"/>
    <mergeCell ref="DK197:DV197"/>
    <mergeCell ref="DK198:DV198"/>
    <mergeCell ref="DK199:DV199"/>
    <mergeCell ref="DK200:DV200"/>
    <mergeCell ref="DK201:DV201"/>
    <mergeCell ref="CX191:DI191"/>
    <mergeCell ref="CX192:DI192"/>
    <mergeCell ref="CX193:DI193"/>
    <mergeCell ref="CX194:DI194"/>
    <mergeCell ref="CX195:DI195"/>
    <mergeCell ref="CX196:DI196"/>
    <mergeCell ref="BK152:BV152"/>
    <mergeCell ref="BK153:BV153"/>
    <mergeCell ref="BK154:BV154"/>
    <mergeCell ref="BK160:BV160"/>
    <mergeCell ref="BK161:BV161"/>
    <mergeCell ref="BK162:BV162"/>
    <mergeCell ref="BK163:BV163"/>
    <mergeCell ref="D175:E175"/>
    <mergeCell ref="G175:P175"/>
    <mergeCell ref="R175:AA175"/>
    <mergeCell ref="AC175:AL175"/>
    <mergeCell ref="AN175:AW175"/>
    <mergeCell ref="AY175:BF175"/>
    <mergeCell ref="BK164:BV164"/>
    <mergeCell ref="E164:U164"/>
    <mergeCell ref="D177:E177"/>
    <mergeCell ref="G177:P177"/>
    <mergeCell ref="R177:AA177"/>
    <mergeCell ref="AC177:AL177"/>
    <mergeCell ref="AY177:BF177"/>
    <mergeCell ref="D179:E179"/>
    <mergeCell ref="G179:P179"/>
    <mergeCell ref="CK107:CV107"/>
    <mergeCell ref="CK137:CV137"/>
    <mergeCell ref="CK138:CV138"/>
    <mergeCell ref="CK139:CV139"/>
    <mergeCell ref="CK140:CV140"/>
    <mergeCell ref="CK141:CV141"/>
    <mergeCell ref="CK142:CV142"/>
    <mergeCell ref="CK143:CV143"/>
    <mergeCell ref="CK144:CV144"/>
    <mergeCell ref="CK114:CV114"/>
    <mergeCell ref="CK115:CV115"/>
    <mergeCell ref="CK116:CV116"/>
    <mergeCell ref="CK117:CV117"/>
    <mergeCell ref="CK118:CV118"/>
    <mergeCell ref="CK119:CV119"/>
    <mergeCell ref="CK120:CV120"/>
    <mergeCell ref="C134:BF134"/>
    <mergeCell ref="CX151:DI151"/>
    <mergeCell ref="CX152:DI152"/>
    <mergeCell ref="CX153:DI153"/>
    <mergeCell ref="CX154:DI154"/>
    <mergeCell ref="CK145:CV145"/>
    <mergeCell ref="CK146:CV146"/>
    <mergeCell ref="E167:BF167"/>
    <mergeCell ref="E169:U169"/>
    <mergeCell ref="X169:AF169"/>
    <mergeCell ref="AJ169:AR169"/>
    <mergeCell ref="BX152:CI152"/>
    <mergeCell ref="BX153:CI153"/>
    <mergeCell ref="BX154:CI154"/>
    <mergeCell ref="CK147:CV147"/>
    <mergeCell ref="CK148:CV148"/>
    <mergeCell ref="CK149:CV149"/>
    <mergeCell ref="CK150:CV150"/>
    <mergeCell ref="CK151:CV151"/>
    <mergeCell ref="CK152:CV152"/>
    <mergeCell ref="CK153:CV153"/>
    <mergeCell ref="CK154:CV154"/>
    <mergeCell ref="E161:BF161"/>
    <mergeCell ref="E162:BF162"/>
    <mergeCell ref="C160:BF160"/>
    <mergeCell ref="C202:BF202"/>
    <mergeCell ref="C203:BF203"/>
    <mergeCell ref="C204:BF204"/>
    <mergeCell ref="C205:BF205"/>
    <mergeCell ref="C188:BF188"/>
    <mergeCell ref="C183:BF183"/>
    <mergeCell ref="C184:BF184"/>
    <mergeCell ref="B186:BG186"/>
    <mergeCell ref="C70:BF70"/>
    <mergeCell ref="C71:BF71"/>
    <mergeCell ref="C72:BF72"/>
    <mergeCell ref="C73:BF73"/>
    <mergeCell ref="C74:BF74"/>
    <mergeCell ref="C75:BF75"/>
    <mergeCell ref="C76:BF76"/>
    <mergeCell ref="C77:BF77"/>
    <mergeCell ref="E78:BF78"/>
    <mergeCell ref="E79:BF79"/>
    <mergeCell ref="E172:BF172"/>
    <mergeCell ref="C171:BF171"/>
    <mergeCell ref="X164:AF164"/>
    <mergeCell ref="AJ164:AR164"/>
    <mergeCell ref="C158:BF158"/>
    <mergeCell ref="R179:AA179"/>
    <mergeCell ref="C213:BF213"/>
    <mergeCell ref="C214:BF214"/>
    <mergeCell ref="AT21:BF21"/>
    <mergeCell ref="BI4:DV4"/>
    <mergeCell ref="N262:X262"/>
    <mergeCell ref="AJ261:BB261"/>
    <mergeCell ref="AN262:AX262"/>
    <mergeCell ref="J265:AB265"/>
    <mergeCell ref="N266:X266"/>
    <mergeCell ref="AJ265:BB265"/>
    <mergeCell ref="AN266:AX266"/>
    <mergeCell ref="X13:AN13"/>
    <mergeCell ref="J253:AB253"/>
    <mergeCell ref="N254:X254"/>
    <mergeCell ref="AJ253:BB253"/>
    <mergeCell ref="AN254:AX254"/>
    <mergeCell ref="J257:AB257"/>
    <mergeCell ref="N258:X258"/>
    <mergeCell ref="AJ257:BB257"/>
    <mergeCell ref="AN258:AX258"/>
    <mergeCell ref="J261:AB261"/>
    <mergeCell ref="C189:BF201"/>
    <mergeCell ref="H244:T244"/>
    <mergeCell ref="C215:BF215"/>
    <mergeCell ref="AG246:BF246"/>
    <mergeCell ref="AG247:BF247"/>
    <mergeCell ref="C218:BF220"/>
    <mergeCell ref="E221:AB221"/>
    <mergeCell ref="E222:AB222"/>
    <mergeCell ref="C223:BF224"/>
    <mergeCell ref="AC179:AL179"/>
    <mergeCell ref="AY179:BF179"/>
    <mergeCell ref="D181:E181"/>
    <mergeCell ref="G181:P181"/>
    <mergeCell ref="R181:AA181"/>
    <mergeCell ref="AC181:AL181"/>
    <mergeCell ref="AY181:BF181"/>
    <mergeCell ref="AN181:AR181"/>
    <mergeCell ref="AS181:AW181"/>
    <mergeCell ref="C216:BF216"/>
    <mergeCell ref="C217:BF217"/>
    <mergeCell ref="C206:BF206"/>
    <mergeCell ref="C207:BF207"/>
    <mergeCell ref="C208:BF208"/>
    <mergeCell ref="C209:BF209"/>
    <mergeCell ref="C210:BF210"/>
    <mergeCell ref="C211:BF211"/>
    <mergeCell ref="C212:BF212"/>
    <mergeCell ref="E236:AB236"/>
    <mergeCell ref="E237:AB237"/>
    <mergeCell ref="E238:AB238"/>
    <mergeCell ref="E239:AB239"/>
    <mergeCell ref="E240:AB240"/>
    <mergeCell ref="C241:BF241"/>
    <mergeCell ref="C226:BF228"/>
    <mergeCell ref="C230:BF231"/>
    <mergeCell ref="C233:BF233"/>
    <mergeCell ref="E234:AB234"/>
    <mergeCell ref="E235:AB235"/>
  </mergeCells>
  <conditionalFormatting sqref="B128:B132">
    <cfRule type="expression" dxfId="46" priority="23">
      <formula>$BI$113&lt;&gt;7</formula>
    </cfRule>
  </conditionalFormatting>
  <conditionalFormatting sqref="B134:B135">
    <cfRule type="expression" dxfId="45" priority="22">
      <formula>+$BI$113&lt;&gt;7</formula>
    </cfRule>
  </conditionalFormatting>
  <conditionalFormatting sqref="B126:B127">
    <cfRule type="expression" dxfId="44" priority="21">
      <formula>$BI$113&lt;&gt;9</formula>
    </cfRule>
  </conditionalFormatting>
  <conditionalFormatting sqref="C160:BF170">
    <cfRule type="expression" dxfId="43" priority="14">
      <formula>$BI$113=10</formula>
    </cfRule>
    <cfRule type="expression" dxfId="42" priority="15">
      <formula>$BI$113=9</formula>
    </cfRule>
    <cfRule type="expression" dxfId="41" priority="16">
      <formula>$BI$113=7</formula>
    </cfRule>
    <cfRule type="expression" dxfId="40" priority="17">
      <formula>$BI$113=5</formula>
    </cfRule>
    <cfRule type="expression" dxfId="39" priority="18">
      <formula>$BI$113=4</formula>
    </cfRule>
    <cfRule type="expression" dxfId="38" priority="19">
      <formula>$BI$113=3</formula>
    </cfRule>
    <cfRule type="expression" dxfId="37" priority="20">
      <formula>$BI$113=2</formula>
    </cfRule>
  </conditionalFormatting>
  <conditionalFormatting sqref="X111:AT111">
    <cfRule type="expression" dxfId="36" priority="12">
      <formula>$C$110="kitöltendő legördülő cella"</formula>
    </cfRule>
    <cfRule type="expression" dxfId="35" priority="13">
      <formula>$C$110="igen"</formula>
    </cfRule>
  </conditionalFormatting>
  <conditionalFormatting sqref="B112:BG155">
    <cfRule type="expression" dxfId="34" priority="10">
      <formula>$C$110="nem"</formula>
    </cfRule>
  </conditionalFormatting>
  <conditionalFormatting sqref="AT110:BG110">
    <cfRule type="expression" dxfId="33" priority="9">
      <formula>$C$110="igen"</formula>
    </cfRule>
  </conditionalFormatting>
  <conditionalFormatting sqref="BH110">
    <cfRule type="expression" dxfId="32" priority="8">
      <formula>$C$110="igen"</formula>
    </cfRule>
  </conditionalFormatting>
  <conditionalFormatting sqref="E250:BE266">
    <cfRule type="expression" dxfId="31" priority="3">
      <formula>+gazform="zártkörűen működő részvénytársaság"</formula>
    </cfRule>
    <cfRule type="expression" dxfId="30" priority="4">
      <formula>+gazform="nyílvánosan működő részvénytársaság"</formula>
    </cfRule>
    <cfRule type="expression" dxfId="29" priority="5">
      <formula>+gazform="közkereseti társaság"</formula>
    </cfRule>
    <cfRule type="expression" dxfId="28" priority="6">
      <formula>+gazform="korlátolt felelősségű társaság"</formula>
    </cfRule>
    <cfRule type="expression" dxfId="27" priority="7">
      <formula>+gazform="betéti társaság"</formula>
    </cfRule>
  </conditionalFormatting>
  <dataValidations count="1">
    <dataValidation type="list" allowBlank="1" showInputMessage="1" showErrorMessage="1" sqref="AC181:AL181 AC177:AL177 AC179:AL179" xr:uid="{00000000-0002-0000-0A00-000000000000}">
      <formula1>$BI$176:$BI$183</formula1>
    </dataValidation>
  </dataValidations>
  <hyperlinks>
    <hyperlink ref="AT110:BG110" location="'Támogatási Nyilatkozatok_all'!A1" display="Kattintson ide és nyomtassa ki a lehetséges kategóriákat!" xr:uid="{00000000-0004-0000-0A00-000000000000}"/>
    <hyperlink ref="AP173:BF173" location="'Nyilatkozat igénybe vett tám'!A1" display="Több, mint 3 támogatás esetén kattintson ide!" xr:uid="{00000000-0004-0000-0A00-000001000000}"/>
  </hyperlinks>
  <pageMargins left="0" right="0" top="0" bottom="0" header="0" footer="0"/>
  <pageSetup paperSize="9" scale="37" fitToHeight="0" orientation="portrait" r:id="rId1"/>
  <rowBreaks count="4" manualBreakCount="4">
    <brk id="67" max="126" man="1"/>
    <brk id="107" max="16383" man="1"/>
    <brk id="155" max="16383" man="1"/>
    <brk id="215" max="126" man="1"/>
  </rowBreaks>
  <drawing r:id="rId2"/>
  <legacyDrawing r:id="rId3"/>
  <mc:AlternateContent xmlns:mc="http://schemas.openxmlformats.org/markup-compatibility/2006">
    <mc:Choice Requires="x14">
      <controls>
        <mc:AlternateContent xmlns:mc="http://schemas.openxmlformats.org/markup-compatibility/2006">
          <mc:Choice Requires="x14">
            <control shapeId="21513" r:id="rId4" name="Option Button 9">
              <controlPr defaultSize="0" autoFill="0" autoLine="0" autoPict="0">
                <anchor moveWithCells="1">
                  <from>
                    <xdr:col>2</xdr:col>
                    <xdr:colOff>63500</xdr:colOff>
                    <xdr:row>37</xdr:row>
                    <xdr:rowOff>12700</xdr:rowOff>
                  </from>
                  <to>
                    <xdr:col>3</xdr:col>
                    <xdr:colOff>139700</xdr:colOff>
                    <xdr:row>38</xdr:row>
                    <xdr:rowOff>63500</xdr:rowOff>
                  </to>
                </anchor>
              </controlPr>
            </control>
          </mc:Choice>
        </mc:AlternateContent>
        <mc:AlternateContent xmlns:mc="http://schemas.openxmlformats.org/markup-compatibility/2006">
          <mc:Choice Requires="x14">
            <control shapeId="21514" r:id="rId5" name="Option Button 10">
              <controlPr defaultSize="0" autoFill="0" autoLine="0" autoPict="0">
                <anchor moveWithCells="1">
                  <from>
                    <xdr:col>2</xdr:col>
                    <xdr:colOff>63500</xdr:colOff>
                    <xdr:row>39</xdr:row>
                    <xdr:rowOff>0</xdr:rowOff>
                  </from>
                  <to>
                    <xdr:col>3</xdr:col>
                    <xdr:colOff>101600</xdr:colOff>
                    <xdr:row>40</xdr:row>
                    <xdr:rowOff>25400</xdr:rowOff>
                  </to>
                </anchor>
              </controlPr>
            </control>
          </mc:Choice>
        </mc:AlternateContent>
        <mc:AlternateContent xmlns:mc="http://schemas.openxmlformats.org/markup-compatibility/2006">
          <mc:Choice Requires="x14">
            <control shapeId="21515" r:id="rId6" name="Option Button 11">
              <controlPr defaultSize="0" autoFill="0" autoLine="0" autoPict="0">
                <anchor moveWithCells="1">
                  <from>
                    <xdr:col>2</xdr:col>
                    <xdr:colOff>63500</xdr:colOff>
                    <xdr:row>40</xdr:row>
                    <xdr:rowOff>177800</xdr:rowOff>
                  </from>
                  <to>
                    <xdr:col>3</xdr:col>
                    <xdr:colOff>139700</xdr:colOff>
                    <xdr:row>42</xdr:row>
                    <xdr:rowOff>38100</xdr:rowOff>
                  </to>
                </anchor>
              </controlPr>
            </control>
          </mc:Choice>
        </mc:AlternateContent>
        <mc:AlternateContent xmlns:mc="http://schemas.openxmlformats.org/markup-compatibility/2006">
          <mc:Choice Requires="x14">
            <control shapeId="21516" r:id="rId7" name="Option Button 12">
              <controlPr defaultSize="0" autoFill="0" autoLine="0" autoPict="0">
                <anchor moveWithCells="1">
                  <from>
                    <xdr:col>2</xdr:col>
                    <xdr:colOff>63500</xdr:colOff>
                    <xdr:row>43</xdr:row>
                    <xdr:rowOff>101600</xdr:rowOff>
                  </from>
                  <to>
                    <xdr:col>3</xdr:col>
                    <xdr:colOff>139700</xdr:colOff>
                    <xdr:row>43</xdr:row>
                    <xdr:rowOff>330200</xdr:rowOff>
                  </to>
                </anchor>
              </controlPr>
            </control>
          </mc:Choice>
        </mc:AlternateContent>
        <mc:AlternateContent xmlns:mc="http://schemas.openxmlformats.org/markup-compatibility/2006">
          <mc:Choice Requires="x14">
            <control shapeId="21517" r:id="rId8" name="Option Button 13">
              <controlPr defaultSize="0" autoFill="0" autoLine="0" autoPict="0">
                <anchor moveWithCells="1">
                  <from>
                    <xdr:col>2</xdr:col>
                    <xdr:colOff>88900</xdr:colOff>
                    <xdr:row>45</xdr:row>
                    <xdr:rowOff>63500</xdr:rowOff>
                  </from>
                  <to>
                    <xdr:col>3</xdr:col>
                    <xdr:colOff>152400</xdr:colOff>
                    <xdr:row>45</xdr:row>
                    <xdr:rowOff>292100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2">
    <tabColor theme="3" tint="0.79998168889431442"/>
  </sheetPr>
  <dimension ref="A1:BO131"/>
  <sheetViews>
    <sheetView view="pageBreakPreview" zoomScale="80" zoomScaleNormal="70" zoomScaleSheetLayoutView="80" workbookViewId="0">
      <selection activeCell="BP46" sqref="BP46"/>
    </sheetView>
  </sheetViews>
  <sheetFormatPr baseColWidth="10" defaultColWidth="9.1640625" defaultRowHeight="15" x14ac:dyDescent="0.2"/>
  <cols>
    <col min="1" max="2" width="2.5" style="271" customWidth="1"/>
    <col min="3" max="36" width="2.83203125" style="271" customWidth="1"/>
    <col min="37" max="37" width="8.5" style="271" customWidth="1"/>
    <col min="38" max="58" width="2.83203125" style="271" customWidth="1"/>
    <col min="59" max="59" width="13.6640625" style="271" customWidth="1"/>
    <col min="60" max="60" width="0" style="271" hidden="1" customWidth="1"/>
    <col min="61" max="66" width="9.1640625" style="271" hidden="1" customWidth="1"/>
    <col min="67" max="67" width="28.6640625" style="271" hidden="1" customWidth="1"/>
    <col min="68" max="16384" width="9.1640625" style="271"/>
  </cols>
  <sheetData>
    <row r="1" spans="1:67" ht="15.75" customHeight="1" thickBot="1" x14ac:dyDescent="0.25">
      <c r="A1" s="223"/>
      <c r="B1" s="530"/>
      <c r="C1" s="530"/>
      <c r="D1" s="530"/>
      <c r="E1" s="530"/>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row>
    <row r="2" spans="1:67" ht="20" x14ac:dyDescent="0.2">
      <c r="A2" s="223"/>
      <c r="B2" s="1742" t="str">
        <f>+IF(Hitelprog_Rovid="","",Hitelprog_Rovid)</f>
        <v/>
      </c>
      <c r="C2" s="1742"/>
      <c r="D2" s="1742"/>
      <c r="E2" s="1742"/>
      <c r="F2" s="1742"/>
      <c r="G2" s="1742"/>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I2" s="1149" t="s">
        <v>530</v>
      </c>
      <c r="BJ2" s="1150"/>
      <c r="BK2" s="1150"/>
      <c r="BL2" s="1150"/>
      <c r="BM2" s="1150"/>
      <c r="BN2" s="1150"/>
      <c r="BO2" s="1151"/>
    </row>
    <row r="3" spans="1:67" x14ac:dyDescent="0.2">
      <c r="A3" s="223"/>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1742"/>
      <c r="AO3" s="1742"/>
      <c r="AP3" s="1742"/>
      <c r="AQ3" s="1742"/>
      <c r="AR3" s="1742"/>
      <c r="AS3" s="1742"/>
      <c r="AT3" s="1742"/>
      <c r="AU3" s="1742"/>
      <c r="AV3" s="1742"/>
      <c r="AW3" s="1742"/>
      <c r="AX3" s="1742"/>
      <c r="AY3" s="1742"/>
      <c r="AZ3" s="1742"/>
      <c r="BA3" s="1742"/>
      <c r="BB3" s="1742"/>
      <c r="BC3" s="1742"/>
      <c r="BD3" s="1742"/>
      <c r="BE3" s="1742"/>
      <c r="BF3" s="1742"/>
      <c r="BG3" s="1742"/>
      <c r="BI3" s="499"/>
      <c r="BJ3" s="278"/>
      <c r="BK3" s="278"/>
      <c r="BL3" s="278"/>
      <c r="BM3" s="278"/>
      <c r="BN3" s="278"/>
      <c r="BO3" s="500"/>
    </row>
    <row r="4" spans="1:67" x14ac:dyDescent="0.2">
      <c r="A4" s="1691"/>
      <c r="B4" s="1691"/>
      <c r="C4" s="1691"/>
      <c r="D4" s="1691"/>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I4" s="499"/>
      <c r="BJ4" s="278"/>
      <c r="BK4" s="278"/>
      <c r="BL4" s="278"/>
      <c r="BM4" s="278"/>
      <c r="BN4" s="278"/>
      <c r="BO4" s="500"/>
    </row>
    <row r="5" spans="1:67" ht="16" thickBot="1" x14ac:dyDescent="0.25">
      <c r="A5" s="1691"/>
      <c r="B5" s="1691"/>
      <c r="C5" s="1691"/>
      <c r="D5" s="1691"/>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I5" s="499"/>
      <c r="BJ5" s="278"/>
      <c r="BK5" s="278"/>
      <c r="BL5" s="278"/>
      <c r="BM5" s="278"/>
      <c r="BN5" s="278"/>
      <c r="BO5" s="500"/>
    </row>
    <row r="6" spans="1:67" ht="28.5" customHeight="1" thickBot="1" x14ac:dyDescent="0.25">
      <c r="A6" s="1691"/>
      <c r="B6" s="1691"/>
      <c r="C6" s="1691"/>
      <c r="D6" s="1691"/>
      <c r="E6" s="223"/>
      <c r="F6" s="223"/>
      <c r="G6" s="223"/>
      <c r="H6" s="223"/>
      <c r="I6" s="223"/>
      <c r="J6" s="223"/>
      <c r="K6" s="223"/>
      <c r="L6" s="223"/>
      <c r="M6" s="223"/>
      <c r="N6" s="223"/>
      <c r="O6" s="223"/>
      <c r="P6" s="223"/>
      <c r="Q6" s="1192" t="s">
        <v>1024</v>
      </c>
      <c r="R6" s="1193"/>
      <c r="S6" s="1193"/>
      <c r="T6" s="1193"/>
      <c r="U6" s="1193"/>
      <c r="V6" s="1193"/>
      <c r="W6" s="1193"/>
      <c r="X6" s="1193"/>
      <c r="Y6" s="1193"/>
      <c r="Z6" s="1193"/>
      <c r="AA6" s="1193"/>
      <c r="AB6" s="1193"/>
      <c r="AC6" s="1193"/>
      <c r="AD6" s="1193"/>
      <c r="AE6" s="1193"/>
      <c r="AF6" s="1193"/>
      <c r="AG6" s="1193"/>
      <c r="AH6" s="1193"/>
      <c r="AI6" s="1193"/>
      <c r="AJ6" s="1193"/>
      <c r="AK6" s="1193"/>
      <c r="AL6" s="1193"/>
      <c r="AM6" s="1193"/>
      <c r="AN6" s="1193"/>
      <c r="AO6" s="1193"/>
      <c r="AP6" s="1193"/>
      <c r="AQ6" s="1193"/>
      <c r="AR6" s="1193"/>
      <c r="AS6" s="1193"/>
      <c r="AT6" s="1194"/>
      <c r="AU6" s="223"/>
      <c r="AV6" s="223"/>
      <c r="AW6" s="223"/>
      <c r="AX6" s="223"/>
      <c r="AY6" s="223"/>
      <c r="AZ6" s="223"/>
      <c r="BA6" s="223"/>
      <c r="BB6" s="223"/>
      <c r="BC6" s="223"/>
      <c r="BD6" s="223"/>
      <c r="BE6" s="223"/>
      <c r="BF6" s="223"/>
      <c r="BG6" s="223"/>
      <c r="BI6" s="499"/>
      <c r="BJ6" s="278"/>
      <c r="BK6" s="278"/>
      <c r="BL6" s="278"/>
      <c r="BM6" s="278"/>
      <c r="BN6" s="278"/>
      <c r="BO6" s="500"/>
    </row>
    <row r="7" spans="1:67" x14ac:dyDescent="0.2">
      <c r="A7" s="1691"/>
      <c r="B7" s="1691"/>
      <c r="C7" s="1691"/>
      <c r="D7" s="1691"/>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I7" s="499"/>
      <c r="BJ7" s="278"/>
      <c r="BK7" s="278"/>
      <c r="BL7" s="278"/>
      <c r="BM7" s="278"/>
      <c r="BN7" s="278"/>
      <c r="BO7" s="500"/>
    </row>
    <row r="8" spans="1:67" x14ac:dyDescent="0.2">
      <c r="A8" s="250"/>
      <c r="B8" s="1738" t="s">
        <v>841</v>
      </c>
      <c r="C8" s="1739"/>
      <c r="D8" s="1739"/>
      <c r="E8" s="1739"/>
      <c r="F8" s="1739"/>
      <c r="G8" s="1739"/>
      <c r="H8" s="1739"/>
      <c r="I8" s="1739"/>
      <c r="J8" s="1739"/>
      <c r="K8" s="1739"/>
      <c r="L8" s="1739"/>
      <c r="M8" s="1739"/>
      <c r="N8" s="1739"/>
      <c r="O8" s="1739"/>
      <c r="P8" s="1739"/>
      <c r="Q8" s="1739"/>
      <c r="R8" s="1739"/>
      <c r="S8" s="1739"/>
      <c r="T8" s="1739"/>
      <c r="U8" s="1739"/>
      <c r="V8" s="1739"/>
      <c r="W8" s="1739"/>
      <c r="X8" s="1739"/>
      <c r="Y8" s="1739"/>
      <c r="Z8" s="1739"/>
      <c r="AA8" s="1739"/>
      <c r="AB8" s="1739"/>
      <c r="AC8" s="1739"/>
      <c r="AD8" s="1739"/>
      <c r="AE8" s="1739"/>
      <c r="AF8" s="1739"/>
      <c r="AG8" s="1739"/>
      <c r="AH8" s="1739"/>
      <c r="AI8" s="1739"/>
      <c r="AJ8" s="1739"/>
      <c r="AK8" s="1739"/>
      <c r="AL8" s="1739"/>
      <c r="AM8" s="1739"/>
      <c r="AN8" s="1739"/>
      <c r="AO8" s="1739"/>
      <c r="AP8" s="1739"/>
      <c r="AQ8" s="1739"/>
      <c r="AR8" s="1739"/>
      <c r="AS8" s="1739"/>
      <c r="AT8" s="1739"/>
      <c r="AU8" s="1739"/>
      <c r="AV8" s="1739"/>
      <c r="AW8" s="1739"/>
      <c r="AX8" s="1739"/>
      <c r="AY8" s="1739"/>
      <c r="AZ8" s="1739"/>
      <c r="BA8" s="1739"/>
      <c r="BB8" s="1739"/>
      <c r="BC8" s="1739"/>
      <c r="BD8" s="1739"/>
      <c r="BE8" s="1739"/>
      <c r="BF8" s="1739"/>
      <c r="BG8" s="1740"/>
      <c r="BI8" s="499"/>
      <c r="BJ8" s="278"/>
      <c r="BK8" s="278"/>
      <c r="BL8" s="278"/>
      <c r="BM8" s="278"/>
      <c r="BN8" s="278"/>
      <c r="BO8" s="500"/>
    </row>
    <row r="9" spans="1:67" ht="16" thickBot="1" x14ac:dyDescent="0.25">
      <c r="A9" s="250"/>
      <c r="B9" s="310"/>
      <c r="C9" s="251"/>
      <c r="D9" s="251"/>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311"/>
      <c r="BI9" s="499"/>
      <c r="BJ9" s="278"/>
      <c r="BK9" s="278"/>
      <c r="BL9" s="278"/>
      <c r="BM9" s="278"/>
      <c r="BN9" s="278"/>
      <c r="BO9" s="500"/>
    </row>
    <row r="10" spans="1:67" ht="16" thickBot="1" x14ac:dyDescent="0.25">
      <c r="A10" s="250"/>
      <c r="B10" s="310"/>
      <c r="C10" s="1695" t="str">
        <f>+IF('Refinanszírozási kérelem'!C28:BF28="","",'Refinanszírozási kérelem'!C28:BF28)</f>
        <v/>
      </c>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c r="AA10" s="1696"/>
      <c r="AB10" s="1696"/>
      <c r="AC10" s="1696"/>
      <c r="AD10" s="1696"/>
      <c r="AE10" s="1696"/>
      <c r="AF10" s="1696"/>
      <c r="AG10" s="1696"/>
      <c r="AH10" s="1696"/>
      <c r="AI10" s="1696"/>
      <c r="AJ10" s="1696"/>
      <c r="AK10" s="1696"/>
      <c r="AL10" s="1696"/>
      <c r="AM10" s="1696"/>
      <c r="AN10" s="1696"/>
      <c r="AO10" s="1696"/>
      <c r="AP10" s="1696"/>
      <c r="AQ10" s="1696"/>
      <c r="AR10" s="1696"/>
      <c r="AS10" s="1696"/>
      <c r="AT10" s="1696"/>
      <c r="AU10" s="1696"/>
      <c r="AV10" s="1696"/>
      <c r="AW10" s="1696"/>
      <c r="AX10" s="1696"/>
      <c r="AY10" s="1696"/>
      <c r="AZ10" s="1696"/>
      <c r="BA10" s="1696"/>
      <c r="BB10" s="1696"/>
      <c r="BC10" s="1696"/>
      <c r="BD10" s="1696"/>
      <c r="BE10" s="1696"/>
      <c r="BF10" s="1697"/>
      <c r="BG10" s="311"/>
      <c r="BI10" s="499"/>
      <c r="BJ10" s="278"/>
      <c r="BK10" s="278"/>
      <c r="BL10" s="278"/>
      <c r="BM10" s="278"/>
      <c r="BN10" s="278"/>
      <c r="BO10" s="500"/>
    </row>
    <row r="11" spans="1:67" x14ac:dyDescent="0.2">
      <c r="A11" s="250"/>
      <c r="B11" s="310"/>
      <c r="C11" s="251"/>
      <c r="D11" s="274" t="s">
        <v>370</v>
      </c>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311"/>
      <c r="BI11" s="499"/>
      <c r="BJ11" s="278"/>
      <c r="BK11" s="278"/>
      <c r="BL11" s="278"/>
      <c r="BM11" s="278"/>
      <c r="BN11" s="278"/>
      <c r="BO11" s="500"/>
    </row>
    <row r="12" spans="1:67" ht="16" thickBot="1" x14ac:dyDescent="0.25">
      <c r="A12" s="250"/>
      <c r="B12" s="310"/>
      <c r="C12" s="251"/>
      <c r="D12" s="251"/>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311"/>
      <c r="BI12" s="499"/>
      <c r="BJ12" s="278"/>
      <c r="BK12" s="278"/>
      <c r="BL12" s="278"/>
      <c r="BM12" s="278"/>
      <c r="BN12" s="278"/>
      <c r="BO12" s="500"/>
    </row>
    <row r="13" spans="1:67" ht="16" thickBot="1" x14ac:dyDescent="0.25">
      <c r="A13" s="250"/>
      <c r="B13" s="310"/>
      <c r="C13" s="1734" t="str">
        <f>+IF(Nyilatkozatok!C13="","",Nyilatkozatok!C13)</f>
        <v/>
      </c>
      <c r="D13" s="1735"/>
      <c r="E13" s="1735"/>
      <c r="F13" s="1735"/>
      <c r="G13" s="1735"/>
      <c r="H13" s="1735"/>
      <c r="I13" s="1735"/>
      <c r="J13" s="1735"/>
      <c r="K13" s="1735"/>
      <c r="L13" s="1735"/>
      <c r="M13" s="1735"/>
      <c r="N13" s="1735"/>
      <c r="O13" s="1735"/>
      <c r="P13" s="1735"/>
      <c r="Q13" s="1735"/>
      <c r="R13" s="1735"/>
      <c r="S13" s="1735"/>
      <c r="T13" s="1736"/>
      <c r="U13" s="252"/>
      <c r="V13" s="252"/>
      <c r="W13" s="252"/>
      <c r="X13" s="1734" t="str">
        <f>+IF(Nyilatkozatok!X13="","",Nyilatkozatok!X13)</f>
        <v/>
      </c>
      <c r="Y13" s="1735"/>
      <c r="Z13" s="1735"/>
      <c r="AA13" s="1735"/>
      <c r="AB13" s="1735"/>
      <c r="AC13" s="1735"/>
      <c r="AD13" s="1735"/>
      <c r="AE13" s="1735"/>
      <c r="AF13" s="1735"/>
      <c r="AG13" s="1735"/>
      <c r="AH13" s="1735"/>
      <c r="AI13" s="1735"/>
      <c r="AJ13" s="1735"/>
      <c r="AK13" s="1735"/>
      <c r="AL13" s="1735"/>
      <c r="AM13" s="1735"/>
      <c r="AN13" s="1736"/>
      <c r="AO13" s="251"/>
      <c r="AP13" s="251"/>
      <c r="AQ13" s="252"/>
      <c r="AR13" s="1734" t="str">
        <f>+IF(Nyilatkozatok!AR13="","",Nyilatkozatok!AR13)</f>
        <v/>
      </c>
      <c r="AS13" s="1735"/>
      <c r="AT13" s="1735"/>
      <c r="AU13" s="1735"/>
      <c r="AV13" s="1735"/>
      <c r="AW13" s="1735"/>
      <c r="AX13" s="1735"/>
      <c r="AY13" s="1735"/>
      <c r="AZ13" s="1735"/>
      <c r="BA13" s="1735"/>
      <c r="BB13" s="1735"/>
      <c r="BC13" s="1735"/>
      <c r="BD13" s="1736"/>
      <c r="BE13" s="252"/>
      <c r="BF13" s="252"/>
      <c r="BG13" s="311"/>
      <c r="BI13" s="499"/>
      <c r="BJ13" s="278"/>
      <c r="BK13" s="278"/>
      <c r="BL13" s="278"/>
      <c r="BM13" s="278"/>
      <c r="BN13" s="278"/>
      <c r="BO13" s="500"/>
    </row>
    <row r="14" spans="1:67" x14ac:dyDescent="0.2">
      <c r="A14" s="250"/>
      <c r="B14" s="310"/>
      <c r="C14" s="251" t="s">
        <v>581</v>
      </c>
      <c r="D14" s="251"/>
      <c r="E14" s="252"/>
      <c r="F14" s="252"/>
      <c r="G14" s="252"/>
      <c r="H14" s="252"/>
      <c r="I14" s="252"/>
      <c r="J14" s="252"/>
      <c r="K14" s="252"/>
      <c r="L14" s="252"/>
      <c r="M14" s="252"/>
      <c r="N14" s="252"/>
      <c r="O14" s="252"/>
      <c r="P14" s="252"/>
      <c r="Q14" s="252"/>
      <c r="R14" s="252"/>
      <c r="S14" s="252"/>
      <c r="T14" s="252"/>
      <c r="U14" s="252"/>
      <c r="V14" s="252"/>
      <c r="W14" s="252"/>
      <c r="X14" s="252" t="s">
        <v>582</v>
      </c>
      <c r="Y14" s="252"/>
      <c r="Z14" s="252"/>
      <c r="AA14" s="252"/>
      <c r="AB14" s="252"/>
      <c r="AC14" s="252"/>
      <c r="AD14" s="252"/>
      <c r="AE14" s="252"/>
      <c r="AF14" s="252"/>
      <c r="AG14" s="252"/>
      <c r="AH14" s="252"/>
      <c r="AI14" s="252"/>
      <c r="AJ14" s="252"/>
      <c r="AK14" s="252"/>
      <c r="AL14" s="252"/>
      <c r="AM14" s="252"/>
      <c r="AN14" s="252"/>
      <c r="AO14" s="252"/>
      <c r="AP14" s="252"/>
      <c r="AQ14" s="252"/>
      <c r="AR14" s="252" t="s">
        <v>583</v>
      </c>
      <c r="AS14" s="252"/>
      <c r="AT14" s="252"/>
      <c r="AU14" s="252"/>
      <c r="AV14" s="252"/>
      <c r="AW14" s="252"/>
      <c r="AX14" s="252"/>
      <c r="AY14" s="252"/>
      <c r="AZ14" s="252"/>
      <c r="BA14" s="252"/>
      <c r="BB14" s="252"/>
      <c r="BC14" s="252"/>
      <c r="BD14" s="252"/>
      <c r="BE14" s="252"/>
      <c r="BF14" s="252"/>
      <c r="BG14" s="311"/>
      <c r="BI14" s="499"/>
      <c r="BJ14" s="278"/>
      <c r="BK14" s="278"/>
      <c r="BL14" s="278"/>
      <c r="BM14" s="278"/>
      <c r="BN14" s="278"/>
      <c r="BO14" s="500"/>
    </row>
    <row r="15" spans="1:67" ht="16" thickBot="1" x14ac:dyDescent="0.25">
      <c r="A15" s="250"/>
      <c r="B15" s="310"/>
      <c r="C15" s="251"/>
      <c r="D15" s="251"/>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311"/>
      <c r="BI15" s="499"/>
      <c r="BJ15" s="278"/>
      <c r="BK15" s="278"/>
      <c r="BL15" s="278"/>
      <c r="BM15" s="278"/>
      <c r="BN15" s="278"/>
      <c r="BO15" s="500"/>
    </row>
    <row r="16" spans="1:67" ht="16" thickBot="1" x14ac:dyDescent="0.25">
      <c r="A16" s="250"/>
      <c r="B16" s="310"/>
      <c r="C16" s="251"/>
      <c r="D16" s="251"/>
      <c r="E16" s="252"/>
      <c r="F16" s="252"/>
      <c r="G16" s="252"/>
      <c r="H16" s="252"/>
      <c r="I16" s="252"/>
      <c r="J16" s="252"/>
      <c r="K16" s="252"/>
      <c r="L16" s="252"/>
      <c r="M16" s="252"/>
      <c r="N16" s="252"/>
      <c r="O16" s="252"/>
      <c r="P16" s="1734" t="str">
        <f>+IF(Nyilatkozatok!P16="","",Nyilatkozatok!P16)</f>
        <v>HU</v>
      </c>
      <c r="Q16" s="1735"/>
      <c r="R16" s="1735"/>
      <c r="S16" s="1736"/>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311"/>
      <c r="BI16" s="499"/>
      <c r="BJ16" s="278"/>
      <c r="BK16" s="278"/>
      <c r="BL16" s="278"/>
      <c r="BM16" s="278"/>
      <c r="BN16" s="278"/>
      <c r="BO16" s="500"/>
    </row>
    <row r="17" spans="1:67" ht="16" thickBot="1" x14ac:dyDescent="0.25">
      <c r="A17" s="250"/>
      <c r="B17" s="310"/>
      <c r="C17" s="251"/>
      <c r="D17" s="1188" t="s">
        <v>584</v>
      </c>
      <c r="E17" s="1188"/>
      <c r="F17" s="1188"/>
      <c r="G17" s="1188"/>
      <c r="H17" s="1188"/>
      <c r="I17" s="1188"/>
      <c r="J17" s="1188"/>
      <c r="K17" s="1188"/>
      <c r="L17" s="1188"/>
      <c r="M17" s="1188"/>
      <c r="N17" s="1188"/>
      <c r="O17" s="276"/>
      <c r="P17" s="276" t="s">
        <v>297</v>
      </c>
      <c r="Q17" s="276"/>
      <c r="R17" s="276"/>
      <c r="S17" s="274"/>
      <c r="T17" s="276"/>
      <c r="U17" s="276"/>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311"/>
      <c r="BI17" s="499"/>
      <c r="BJ17" s="278"/>
      <c r="BK17" s="278"/>
      <c r="BL17" s="278"/>
      <c r="BM17" s="278"/>
      <c r="BN17" s="278"/>
      <c r="BO17" s="500"/>
    </row>
    <row r="18" spans="1:67" ht="16" thickBot="1" x14ac:dyDescent="0.25">
      <c r="A18" s="250"/>
      <c r="B18" s="310"/>
      <c r="C18" s="251"/>
      <c r="D18" s="1188"/>
      <c r="E18" s="1188"/>
      <c r="F18" s="1188"/>
      <c r="G18" s="1188"/>
      <c r="H18" s="1188"/>
      <c r="I18" s="1188"/>
      <c r="J18" s="1188"/>
      <c r="K18" s="1188"/>
      <c r="L18" s="1188"/>
      <c r="M18" s="1188"/>
      <c r="N18" s="1188"/>
      <c r="O18" s="291"/>
      <c r="P18" s="1692" t="str">
        <f>+IF('Refinanszírozási kérelem'!P31:S31="","",'Refinanszírozási kérelem'!P31:S31)</f>
        <v/>
      </c>
      <c r="Q18" s="1693"/>
      <c r="R18" s="1693"/>
      <c r="S18" s="1694"/>
      <c r="T18" s="274"/>
      <c r="U18" s="1743" t="str">
        <f>+IF('Refinanszírozási kérelem'!U31:AY31="","",'Refinanszírozási kérelem'!U31:AY31)</f>
        <v/>
      </c>
      <c r="V18" s="1744"/>
      <c r="W18" s="1744"/>
      <c r="X18" s="1744"/>
      <c r="Y18" s="1744"/>
      <c r="Z18" s="1744"/>
      <c r="AA18" s="1744"/>
      <c r="AB18" s="1744"/>
      <c r="AC18" s="1744"/>
      <c r="AD18" s="1744"/>
      <c r="AE18" s="1744"/>
      <c r="AF18" s="1744"/>
      <c r="AG18" s="1744"/>
      <c r="AH18" s="1744"/>
      <c r="AI18" s="1744"/>
      <c r="AJ18" s="1744"/>
      <c r="AK18" s="1744"/>
      <c r="AL18" s="1744"/>
      <c r="AM18" s="1744"/>
      <c r="AN18" s="1744"/>
      <c r="AO18" s="1744"/>
      <c r="AP18" s="1744"/>
      <c r="AQ18" s="1744"/>
      <c r="AR18" s="1744"/>
      <c r="AS18" s="1744"/>
      <c r="AT18" s="1744"/>
      <c r="AU18" s="1744"/>
      <c r="AV18" s="1744"/>
      <c r="AW18" s="1744"/>
      <c r="AX18" s="1744"/>
      <c r="AY18" s="1745"/>
      <c r="AZ18" s="274"/>
      <c r="BA18" s="1743" t="str">
        <f>+IF('Refinanszírozási kérelem'!BA31:BF31="","",'Refinanszírozási kérelem'!BA31:BF31)</f>
        <v/>
      </c>
      <c r="BB18" s="1744"/>
      <c r="BC18" s="1744"/>
      <c r="BD18" s="1744"/>
      <c r="BE18" s="1744"/>
      <c r="BF18" s="1745"/>
      <c r="BG18" s="311"/>
      <c r="BI18" s="499"/>
      <c r="BJ18" s="278"/>
      <c r="BK18" s="278"/>
      <c r="BL18" s="278"/>
      <c r="BM18" s="278"/>
      <c r="BN18" s="278"/>
      <c r="BO18" s="500"/>
    </row>
    <row r="19" spans="1:67" x14ac:dyDescent="0.2">
      <c r="A19" s="250"/>
      <c r="B19" s="310"/>
      <c r="C19" s="251"/>
      <c r="D19" s="1188"/>
      <c r="E19" s="1188"/>
      <c r="F19" s="1188"/>
      <c r="G19" s="1188"/>
      <c r="H19" s="1188"/>
      <c r="I19" s="1188"/>
      <c r="J19" s="1188"/>
      <c r="K19" s="1188"/>
      <c r="L19" s="1188"/>
      <c r="M19" s="1188"/>
      <c r="N19" s="1188"/>
      <c r="O19" s="274"/>
      <c r="P19" s="274" t="s">
        <v>146</v>
      </c>
      <c r="Q19" s="274"/>
      <c r="R19" s="274"/>
      <c r="S19" s="274"/>
      <c r="T19" s="274"/>
      <c r="U19" s="274" t="s">
        <v>147</v>
      </c>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t="s">
        <v>148</v>
      </c>
      <c r="BB19" s="274"/>
      <c r="BC19" s="274"/>
      <c r="BD19" s="274"/>
      <c r="BE19" s="274"/>
      <c r="BF19" s="274"/>
      <c r="BG19" s="311"/>
      <c r="BI19" s="499"/>
      <c r="BJ19" s="278"/>
      <c r="BK19" s="278"/>
      <c r="BL19" s="278"/>
      <c r="BM19" s="278"/>
      <c r="BN19" s="278"/>
      <c r="BO19" s="500"/>
    </row>
    <row r="20" spans="1:67" ht="16" thickBot="1" x14ac:dyDescent="0.25">
      <c r="A20" s="250"/>
      <c r="B20" s="310"/>
      <c r="C20" s="251"/>
      <c r="D20" s="228"/>
      <c r="E20" s="228"/>
      <c r="F20" s="228"/>
      <c r="G20" s="228"/>
      <c r="H20" s="228"/>
      <c r="I20" s="228"/>
      <c r="J20" s="228"/>
      <c r="K20" s="228"/>
      <c r="L20" s="228"/>
      <c r="M20" s="228"/>
      <c r="N20" s="228"/>
      <c r="O20" s="226"/>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311"/>
      <c r="BI20" s="499"/>
      <c r="BJ20" s="278"/>
      <c r="BK20" s="278"/>
      <c r="BL20" s="278"/>
      <c r="BM20" s="278"/>
      <c r="BN20" s="278"/>
      <c r="BO20" s="500"/>
    </row>
    <row r="21" spans="1:67" ht="16" thickBot="1" x14ac:dyDescent="0.25">
      <c r="A21" s="223"/>
      <c r="B21" s="312"/>
      <c r="C21" s="252"/>
      <c r="D21" s="1692" t="str">
        <f>+IF(koztneve="","",koztneve)</f>
        <v/>
      </c>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4"/>
      <c r="AD21" s="292"/>
      <c r="AE21" s="277"/>
      <c r="AF21" s="1692" t="str">
        <f>+IF(jelleg="","",jelleg)</f>
        <v>legördülő cella</v>
      </c>
      <c r="AG21" s="1693"/>
      <c r="AH21" s="1693"/>
      <c r="AI21" s="1693"/>
      <c r="AJ21" s="1693"/>
      <c r="AK21" s="1693"/>
      <c r="AL21" s="1693"/>
      <c r="AM21" s="1693"/>
      <c r="AN21" s="1693"/>
      <c r="AO21" s="1693"/>
      <c r="AP21" s="1694"/>
      <c r="AQ21" s="292"/>
      <c r="AR21" s="291"/>
      <c r="AS21" s="291"/>
      <c r="AT21" s="291"/>
      <c r="AU21" s="291"/>
      <c r="AV21" s="291"/>
      <c r="AW21" s="291"/>
      <c r="AX21" s="1624" t="str">
        <f>+IF(hazszam="","",hazszam)</f>
        <v/>
      </c>
      <c r="AY21" s="1625"/>
      <c r="AZ21" s="1625"/>
      <c r="BA21" s="1625"/>
      <c r="BB21" s="1625"/>
      <c r="BC21" s="1625"/>
      <c r="BD21" s="1625"/>
      <c r="BE21" s="1625"/>
      <c r="BF21" s="1626"/>
      <c r="BG21" s="311"/>
      <c r="BI21" s="499"/>
      <c r="BJ21" s="278"/>
      <c r="BK21" s="278"/>
      <c r="BL21" s="278"/>
      <c r="BM21" s="278"/>
      <c r="BN21" s="278"/>
      <c r="BO21" s="500"/>
    </row>
    <row r="22" spans="1:67" x14ac:dyDescent="0.2">
      <c r="A22" s="223"/>
      <c r="B22" s="312"/>
      <c r="C22" s="252"/>
      <c r="D22" s="274" t="s">
        <v>149</v>
      </c>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t="s">
        <v>150</v>
      </c>
      <c r="AG22" s="274"/>
      <c r="AH22" s="274"/>
      <c r="AI22" s="274"/>
      <c r="AJ22" s="277"/>
      <c r="AK22" s="274"/>
      <c r="AL22" s="274"/>
      <c r="AM22" s="274"/>
      <c r="AN22" s="274"/>
      <c r="AO22" s="274"/>
      <c r="AP22" s="274"/>
      <c r="AQ22" s="277"/>
      <c r="AR22" s="274"/>
      <c r="AS22" s="274"/>
      <c r="AT22" s="274"/>
      <c r="AU22" s="274"/>
      <c r="AV22" s="274"/>
      <c r="AW22" s="274"/>
      <c r="AX22" s="276" t="s">
        <v>151</v>
      </c>
      <c r="AY22" s="276"/>
      <c r="AZ22" s="276"/>
      <c r="BA22" s="276"/>
      <c r="BB22" s="276"/>
      <c r="BC22" s="276"/>
      <c r="BD22" s="276"/>
      <c r="BE22" s="276"/>
      <c r="BF22" s="276"/>
      <c r="BG22" s="311"/>
      <c r="BI22" s="499"/>
      <c r="BJ22" s="278"/>
      <c r="BK22" s="278"/>
      <c r="BL22" s="278"/>
      <c r="BM22" s="278"/>
      <c r="BN22" s="278"/>
      <c r="BO22" s="500"/>
    </row>
    <row r="23" spans="1:67" ht="16" thickBot="1" x14ac:dyDescent="0.25">
      <c r="A23" s="223"/>
      <c r="B23" s="31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311"/>
      <c r="BI23" s="499"/>
      <c r="BJ23" s="278"/>
      <c r="BK23" s="278"/>
      <c r="BL23" s="278"/>
      <c r="BM23" s="278"/>
      <c r="BN23" s="278"/>
      <c r="BO23" s="500"/>
    </row>
    <row r="24" spans="1:67" ht="16" thickBot="1" x14ac:dyDescent="0.25">
      <c r="A24" s="223"/>
      <c r="B24" s="312"/>
      <c r="C24" s="1734" t="str">
        <f>+IF(Nyilatkozatok!C24="","",Nyilatkozatok!C24)</f>
        <v/>
      </c>
      <c r="D24" s="1735"/>
      <c r="E24" s="1735"/>
      <c r="F24" s="1735"/>
      <c r="G24" s="1735"/>
      <c r="H24" s="1735"/>
      <c r="I24" s="1735"/>
      <c r="J24" s="1735"/>
      <c r="K24" s="1735"/>
      <c r="L24" s="1735"/>
      <c r="M24" s="1735"/>
      <c r="N24" s="1735"/>
      <c r="O24" s="1735"/>
      <c r="P24" s="1735"/>
      <c r="Q24" s="1735"/>
      <c r="R24" s="1735"/>
      <c r="S24" s="1735"/>
      <c r="T24" s="1736"/>
      <c r="U24" s="252"/>
      <c r="V24" s="252"/>
      <c r="W24" s="252"/>
      <c r="X24" s="1734" t="str">
        <f>+IF(Nyilatkozatok!X24="","",Nyilatkozatok!X24)</f>
        <v/>
      </c>
      <c r="Y24" s="1735"/>
      <c r="Z24" s="1735"/>
      <c r="AA24" s="1735"/>
      <c r="AB24" s="1735"/>
      <c r="AC24" s="1735"/>
      <c r="AD24" s="1735"/>
      <c r="AE24" s="1735"/>
      <c r="AF24" s="1735"/>
      <c r="AG24" s="1735"/>
      <c r="AH24" s="1735"/>
      <c r="AI24" s="1735"/>
      <c r="AJ24" s="1735"/>
      <c r="AK24" s="1735"/>
      <c r="AL24" s="1736"/>
      <c r="AM24" s="252"/>
      <c r="AN24" s="252"/>
      <c r="AO24" s="1734" t="str">
        <f>+IF(Nyilatkozatok!AO24="","",Nyilatkozatok!AO24)</f>
        <v/>
      </c>
      <c r="AP24" s="1735"/>
      <c r="AQ24" s="1735"/>
      <c r="AR24" s="1735"/>
      <c r="AS24" s="1735"/>
      <c r="AT24" s="1735"/>
      <c r="AU24" s="1735"/>
      <c r="AV24" s="1735"/>
      <c r="AW24" s="1735"/>
      <c r="AX24" s="1735"/>
      <c r="AY24" s="1735"/>
      <c r="AZ24" s="1735"/>
      <c r="BA24" s="1735"/>
      <c r="BB24" s="1735"/>
      <c r="BC24" s="1735"/>
      <c r="BD24" s="1735"/>
      <c r="BE24" s="1735"/>
      <c r="BF24" s="1736"/>
      <c r="BG24" s="311"/>
      <c r="BI24" s="499"/>
      <c r="BJ24" s="278"/>
      <c r="BK24" s="278"/>
      <c r="BL24" s="278"/>
      <c r="BM24" s="278"/>
      <c r="BN24" s="278"/>
      <c r="BO24" s="500"/>
    </row>
    <row r="25" spans="1:67" x14ac:dyDescent="0.2">
      <c r="A25" s="223"/>
      <c r="B25" s="312"/>
      <c r="C25" s="252" t="s">
        <v>590</v>
      </c>
      <c r="D25" s="252"/>
      <c r="E25" s="252"/>
      <c r="F25" s="252"/>
      <c r="G25" s="252"/>
      <c r="H25" s="252"/>
      <c r="I25" s="252"/>
      <c r="J25" s="252"/>
      <c r="K25" s="252"/>
      <c r="L25" s="252"/>
      <c r="M25" s="252"/>
      <c r="N25" s="252"/>
      <c r="O25" s="252"/>
      <c r="P25" s="252"/>
      <c r="Q25" s="252"/>
      <c r="R25" s="252"/>
      <c r="S25" s="252"/>
      <c r="T25" s="252"/>
      <c r="U25" s="252"/>
      <c r="V25" s="252"/>
      <c r="W25" s="252"/>
      <c r="X25" s="252" t="s">
        <v>591</v>
      </c>
      <c r="Y25" s="252"/>
      <c r="Z25" s="252"/>
      <c r="AA25" s="252"/>
      <c r="AB25" s="252"/>
      <c r="AC25" s="252"/>
      <c r="AD25" s="252"/>
      <c r="AE25" s="252"/>
      <c r="AF25" s="252"/>
      <c r="AG25" s="252"/>
      <c r="AH25" s="252"/>
      <c r="AI25" s="252"/>
      <c r="AJ25" s="252"/>
      <c r="AK25" s="252"/>
      <c r="AL25" s="252"/>
      <c r="AM25" s="252"/>
      <c r="AN25" s="252"/>
      <c r="AO25" s="252" t="s">
        <v>592</v>
      </c>
      <c r="AP25" s="252"/>
      <c r="AQ25" s="252"/>
      <c r="AR25" s="252"/>
      <c r="AS25" s="252"/>
      <c r="AT25" s="252"/>
      <c r="AU25" s="252"/>
      <c r="AV25" s="252"/>
      <c r="AW25" s="252"/>
      <c r="AX25" s="252"/>
      <c r="AY25" s="252"/>
      <c r="AZ25" s="252"/>
      <c r="BA25" s="252"/>
      <c r="BB25" s="252"/>
      <c r="BC25" s="252"/>
      <c r="BD25" s="252"/>
      <c r="BE25" s="252"/>
      <c r="BF25" s="252"/>
      <c r="BG25" s="311"/>
      <c r="BI25" s="499"/>
      <c r="BJ25" s="278"/>
      <c r="BK25" s="278"/>
      <c r="BL25" s="278"/>
      <c r="BM25" s="278"/>
      <c r="BN25" s="278"/>
      <c r="BO25" s="500"/>
    </row>
    <row r="26" spans="1:67" ht="16" thickBot="1" x14ac:dyDescent="0.25">
      <c r="A26" s="223"/>
      <c r="B26" s="31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311"/>
      <c r="BI26" s="499"/>
      <c r="BJ26" s="278"/>
      <c r="BK26" s="278"/>
      <c r="BL26" s="278"/>
      <c r="BM26" s="278"/>
      <c r="BN26" s="278"/>
      <c r="BO26" s="500"/>
    </row>
    <row r="27" spans="1:67" ht="16" thickBot="1" x14ac:dyDescent="0.25">
      <c r="A27" s="223"/>
      <c r="B27" s="312"/>
      <c r="C27" s="1734" t="str">
        <f>+Nyilatkozatok!C27</f>
        <v>legördülő cella</v>
      </c>
      <c r="D27" s="1735"/>
      <c r="E27" s="1735"/>
      <c r="F27" s="1735"/>
      <c r="G27" s="1735"/>
      <c r="H27" s="1735"/>
      <c r="I27" s="1735"/>
      <c r="J27" s="1735"/>
      <c r="K27" s="1735"/>
      <c r="L27" s="1735"/>
      <c r="M27" s="1735"/>
      <c r="N27" s="1735"/>
      <c r="O27" s="1735"/>
      <c r="P27" s="1735"/>
      <c r="Q27" s="1735"/>
      <c r="R27" s="1735"/>
      <c r="S27" s="1735"/>
      <c r="T27" s="1736"/>
      <c r="U27" s="252"/>
      <c r="V27" s="252"/>
      <c r="W27" s="252"/>
      <c r="X27" s="1734" t="str">
        <f>+Nyilatkozatok!X27</f>
        <v>legördülő cella</v>
      </c>
      <c r="Y27" s="1735"/>
      <c r="Z27" s="1735"/>
      <c r="AA27" s="1735"/>
      <c r="AB27" s="1735"/>
      <c r="AC27" s="1735"/>
      <c r="AD27" s="1735"/>
      <c r="AE27" s="1735"/>
      <c r="AF27" s="1735"/>
      <c r="AG27" s="1735"/>
      <c r="AH27" s="1735"/>
      <c r="AI27" s="1735"/>
      <c r="AJ27" s="1735"/>
      <c r="AK27" s="1735"/>
      <c r="AL27" s="1736"/>
      <c r="AM27" s="252"/>
      <c r="AN27" s="252"/>
      <c r="AO27" s="252"/>
      <c r="AP27" s="252"/>
      <c r="AQ27" s="252"/>
      <c r="AR27" s="252"/>
      <c r="AS27" s="252"/>
      <c r="AT27" s="252"/>
      <c r="AU27" s="252"/>
      <c r="AV27" s="252"/>
      <c r="AW27" s="252"/>
      <c r="AX27" s="252"/>
      <c r="AY27" s="252"/>
      <c r="AZ27" s="252"/>
      <c r="BA27" s="252"/>
      <c r="BB27" s="252"/>
      <c r="BC27" s="252"/>
      <c r="BD27" s="252"/>
      <c r="BE27" s="252"/>
      <c r="BF27" s="252"/>
      <c r="BG27" s="311"/>
      <c r="BI27" s="499"/>
      <c r="BJ27" s="278"/>
      <c r="BK27" s="278"/>
      <c r="BL27" s="278"/>
      <c r="BM27" s="278"/>
      <c r="BN27" s="278"/>
      <c r="BO27" s="500"/>
    </row>
    <row r="28" spans="1:67" x14ac:dyDescent="0.2">
      <c r="A28" s="223"/>
      <c r="B28" s="312"/>
      <c r="C28" s="252" t="s">
        <v>593</v>
      </c>
      <c r="D28" s="252"/>
      <c r="E28" s="252"/>
      <c r="F28" s="252"/>
      <c r="G28" s="252"/>
      <c r="H28" s="252"/>
      <c r="I28" s="252"/>
      <c r="J28" s="252"/>
      <c r="K28" s="252"/>
      <c r="L28" s="252"/>
      <c r="M28" s="252"/>
      <c r="N28" s="252"/>
      <c r="O28" s="252"/>
      <c r="P28" s="252"/>
      <c r="Q28" s="252"/>
      <c r="R28" s="252"/>
      <c r="S28" s="252"/>
      <c r="T28" s="252"/>
      <c r="U28" s="252"/>
      <c r="V28" s="252"/>
      <c r="W28" s="252"/>
      <c r="X28" s="252" t="s">
        <v>594</v>
      </c>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311"/>
      <c r="BI28" s="499"/>
      <c r="BJ28" s="278"/>
      <c r="BK28" s="278"/>
      <c r="BL28" s="278"/>
      <c r="BM28" s="278"/>
      <c r="BN28" s="278"/>
      <c r="BO28" s="500"/>
    </row>
    <row r="29" spans="1:67" ht="16" thickBot="1" x14ac:dyDescent="0.25">
      <c r="A29" s="223"/>
      <c r="B29" s="31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311"/>
      <c r="BI29" s="499"/>
      <c r="BJ29" s="278"/>
      <c r="BK29" s="278"/>
      <c r="BL29" s="278"/>
      <c r="BM29" s="278"/>
      <c r="BN29" s="278"/>
      <c r="BO29" s="500"/>
    </row>
    <row r="30" spans="1:67" ht="16" thickBot="1" x14ac:dyDescent="0.25">
      <c r="A30" s="223"/>
      <c r="B30" s="312"/>
      <c r="C30" s="1734" t="str">
        <f>+IF(Nyilatkozatok!C30="","",Nyilatkozatok!C30)</f>
        <v/>
      </c>
      <c r="D30" s="1735"/>
      <c r="E30" s="1735"/>
      <c r="F30" s="1735"/>
      <c r="G30" s="1735"/>
      <c r="H30" s="1735"/>
      <c r="I30" s="1735"/>
      <c r="J30" s="1735"/>
      <c r="K30" s="1735"/>
      <c r="L30" s="1735"/>
      <c r="M30" s="1735"/>
      <c r="N30" s="1735"/>
      <c r="O30" s="1735"/>
      <c r="P30" s="1735"/>
      <c r="Q30" s="1735"/>
      <c r="R30" s="1735"/>
      <c r="S30" s="1735"/>
      <c r="T30" s="1736"/>
      <c r="U30" s="252"/>
      <c r="V30" s="252"/>
      <c r="W30" s="252"/>
      <c r="X30" s="1734" t="str">
        <f>+IF(Nyilatkozatok!X30="","",Nyilatkozatok!X30)</f>
        <v/>
      </c>
      <c r="Y30" s="1735"/>
      <c r="Z30" s="1735"/>
      <c r="AA30" s="1735"/>
      <c r="AB30" s="1735"/>
      <c r="AC30" s="1735"/>
      <c r="AD30" s="1735"/>
      <c r="AE30" s="1735"/>
      <c r="AF30" s="1735"/>
      <c r="AG30" s="1735"/>
      <c r="AH30" s="1735"/>
      <c r="AI30" s="1735"/>
      <c r="AJ30" s="1735"/>
      <c r="AK30" s="1735"/>
      <c r="AL30" s="1736"/>
      <c r="AM30" s="252"/>
      <c r="AN30" s="252"/>
      <c r="AO30" s="1734" t="str">
        <f>+IF(Nyilatkozatok!AO30="","",Nyilatkozatok!AO30)</f>
        <v/>
      </c>
      <c r="AP30" s="1735"/>
      <c r="AQ30" s="1735"/>
      <c r="AR30" s="1735"/>
      <c r="AS30" s="1735"/>
      <c r="AT30" s="1735"/>
      <c r="AU30" s="1735"/>
      <c r="AV30" s="1735"/>
      <c r="AW30" s="1735"/>
      <c r="AX30" s="1735"/>
      <c r="AY30" s="1735"/>
      <c r="AZ30" s="1735"/>
      <c r="BA30" s="1735"/>
      <c r="BB30" s="1735"/>
      <c r="BC30" s="1735"/>
      <c r="BD30" s="1735"/>
      <c r="BE30" s="1735"/>
      <c r="BF30" s="1736"/>
      <c r="BG30" s="311"/>
      <c r="BI30" s="499"/>
      <c r="BJ30" s="278"/>
      <c r="BK30" s="278"/>
      <c r="BL30" s="278"/>
      <c r="BM30" s="278"/>
      <c r="BN30" s="278"/>
      <c r="BO30" s="500"/>
    </row>
    <row r="31" spans="1:67" x14ac:dyDescent="0.2">
      <c r="A31" s="223"/>
      <c r="B31" s="312"/>
      <c r="C31" s="252" t="s">
        <v>587</v>
      </c>
      <c r="D31" s="252"/>
      <c r="E31" s="252"/>
      <c r="F31" s="252"/>
      <c r="G31" s="252"/>
      <c r="H31" s="252"/>
      <c r="I31" s="252"/>
      <c r="J31" s="252"/>
      <c r="K31" s="252"/>
      <c r="L31" s="252"/>
      <c r="M31" s="252"/>
      <c r="N31" s="252"/>
      <c r="O31" s="252"/>
      <c r="P31" s="252"/>
      <c r="Q31" s="252"/>
      <c r="R31" s="252"/>
      <c r="S31" s="252"/>
      <c r="T31" s="252"/>
      <c r="U31" s="252"/>
      <c r="V31" s="252"/>
      <c r="W31" s="252"/>
      <c r="X31" s="252" t="s">
        <v>586</v>
      </c>
      <c r="Y31" s="252"/>
      <c r="Z31" s="252"/>
      <c r="AA31" s="252"/>
      <c r="AB31" s="252"/>
      <c r="AC31" s="252"/>
      <c r="AD31" s="252"/>
      <c r="AE31" s="252"/>
      <c r="AF31" s="252"/>
      <c r="AG31" s="252"/>
      <c r="AH31" s="252"/>
      <c r="AI31" s="252"/>
      <c r="AJ31" s="252"/>
      <c r="AK31" s="252"/>
      <c r="AL31" s="252"/>
      <c r="AM31" s="252"/>
      <c r="AN31" s="252"/>
      <c r="AO31" s="252" t="s">
        <v>585</v>
      </c>
      <c r="AP31" s="252"/>
      <c r="AQ31" s="252"/>
      <c r="AR31" s="252"/>
      <c r="AS31" s="252"/>
      <c r="AT31" s="252"/>
      <c r="AU31" s="252"/>
      <c r="AV31" s="252"/>
      <c r="AW31" s="252"/>
      <c r="AX31" s="252"/>
      <c r="AY31" s="252"/>
      <c r="AZ31" s="252"/>
      <c r="BA31" s="252"/>
      <c r="BB31" s="252"/>
      <c r="BC31" s="252"/>
      <c r="BD31" s="252"/>
      <c r="BE31" s="252"/>
      <c r="BF31" s="252"/>
      <c r="BG31" s="311"/>
      <c r="BI31" s="499"/>
      <c r="BJ31" s="278"/>
      <c r="BK31" s="278"/>
      <c r="BL31" s="278"/>
      <c r="BM31" s="278"/>
      <c r="BN31" s="278"/>
      <c r="BO31" s="500"/>
    </row>
    <row r="32" spans="1:67" ht="16" thickBot="1" x14ac:dyDescent="0.25">
      <c r="A32" s="223"/>
      <c r="B32" s="31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311"/>
      <c r="BI32" s="499"/>
      <c r="BJ32" s="278"/>
      <c r="BK32" s="278"/>
      <c r="BL32" s="278"/>
      <c r="BM32" s="278"/>
      <c r="BN32" s="278"/>
      <c r="BO32" s="500"/>
    </row>
    <row r="33" spans="1:67" ht="16" thickBot="1" x14ac:dyDescent="0.25">
      <c r="A33" s="223"/>
      <c r="B33" s="312"/>
      <c r="C33" s="1734" t="str">
        <f>+IF(Nyilatkozatok!C33="","",Nyilatkozatok!C33)</f>
        <v/>
      </c>
      <c r="D33" s="1735"/>
      <c r="E33" s="1735"/>
      <c r="F33" s="1735"/>
      <c r="G33" s="1735"/>
      <c r="H33" s="1735"/>
      <c r="I33" s="1735"/>
      <c r="J33" s="1735"/>
      <c r="K33" s="1735"/>
      <c r="L33" s="1735"/>
      <c r="M33" s="1735"/>
      <c r="N33" s="1735"/>
      <c r="O33" s="1735"/>
      <c r="P33" s="1735"/>
      <c r="Q33" s="1735"/>
      <c r="R33" s="1735"/>
      <c r="S33" s="1735"/>
      <c r="T33" s="1736"/>
      <c r="U33" s="252"/>
      <c r="V33" s="252"/>
      <c r="W33" s="252"/>
      <c r="X33" s="1734" t="str">
        <f>+IF(Nyilatkozatok!X33="","",Nyilatkozatok!X33)</f>
        <v/>
      </c>
      <c r="Y33" s="1735"/>
      <c r="Z33" s="1735"/>
      <c r="AA33" s="1735"/>
      <c r="AB33" s="1735"/>
      <c r="AC33" s="1735"/>
      <c r="AD33" s="1735"/>
      <c r="AE33" s="1735"/>
      <c r="AF33" s="1735"/>
      <c r="AG33" s="1735"/>
      <c r="AH33" s="1735"/>
      <c r="AI33" s="1735"/>
      <c r="AJ33" s="1735"/>
      <c r="AK33" s="1735"/>
      <c r="AL33" s="1736"/>
      <c r="AM33" s="252"/>
      <c r="AN33" s="252"/>
      <c r="AO33" s="252"/>
      <c r="AP33" s="252"/>
      <c r="AQ33" s="252"/>
      <c r="AR33" s="252"/>
      <c r="AS33" s="252"/>
      <c r="AT33" s="252"/>
      <c r="AU33" s="252"/>
      <c r="AV33" s="252"/>
      <c r="AW33" s="252"/>
      <c r="AX33" s="252"/>
      <c r="AY33" s="252"/>
      <c r="AZ33" s="252"/>
      <c r="BA33" s="252"/>
      <c r="BB33" s="252"/>
      <c r="BC33" s="252"/>
      <c r="BD33" s="252"/>
      <c r="BE33" s="252"/>
      <c r="BF33" s="252"/>
      <c r="BG33" s="311"/>
      <c r="BI33" s="499"/>
      <c r="BJ33" s="278"/>
      <c r="BK33" s="278"/>
      <c r="BL33" s="278"/>
      <c r="BM33" s="278"/>
      <c r="BN33" s="278"/>
      <c r="BO33" s="500"/>
    </row>
    <row r="34" spans="1:67" x14ac:dyDescent="0.2">
      <c r="A34" s="223"/>
      <c r="B34" s="312"/>
      <c r="C34" s="252" t="s">
        <v>588</v>
      </c>
      <c r="D34" s="252"/>
      <c r="E34" s="252"/>
      <c r="F34" s="252"/>
      <c r="G34" s="252"/>
      <c r="H34" s="252"/>
      <c r="I34" s="252"/>
      <c r="J34" s="252"/>
      <c r="K34" s="252"/>
      <c r="L34" s="252"/>
      <c r="M34" s="252"/>
      <c r="N34" s="252"/>
      <c r="O34" s="252"/>
      <c r="P34" s="252"/>
      <c r="Q34" s="252"/>
      <c r="R34" s="252"/>
      <c r="S34" s="252"/>
      <c r="T34" s="252"/>
      <c r="U34" s="252"/>
      <c r="V34" s="252"/>
      <c r="W34" s="252"/>
      <c r="X34" s="252" t="s">
        <v>589</v>
      </c>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311"/>
      <c r="BI34" s="499"/>
      <c r="BJ34" s="278"/>
      <c r="BK34" s="278"/>
      <c r="BL34" s="278"/>
      <c r="BM34" s="278"/>
      <c r="BN34" s="278"/>
      <c r="BO34" s="500"/>
    </row>
    <row r="35" spans="1:67" ht="16" thickBot="1" x14ac:dyDescent="0.25">
      <c r="A35" s="223"/>
      <c r="B35" s="31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311"/>
      <c r="BI35" s="499"/>
      <c r="BJ35" s="278"/>
      <c r="BK35" s="278"/>
      <c r="BL35" s="278"/>
      <c r="BM35" s="278"/>
      <c r="BN35" s="278"/>
      <c r="BO35" s="500"/>
    </row>
    <row r="36" spans="1:67" ht="16" thickBot="1" x14ac:dyDescent="0.25">
      <c r="A36" s="223"/>
      <c r="B36" s="312"/>
      <c r="C36" s="1734" t="str">
        <f>+IF(letszam="","",letszam)</f>
        <v/>
      </c>
      <c r="D36" s="1735"/>
      <c r="E36" s="1735"/>
      <c r="F36" s="1735"/>
      <c r="G36" s="1735"/>
      <c r="H36" s="1735"/>
      <c r="I36" s="1735"/>
      <c r="J36" s="1735"/>
      <c r="K36" s="1735"/>
      <c r="L36" s="1735"/>
      <c r="M36" s="1735"/>
      <c r="N36" s="1735"/>
      <c r="O36" s="1735"/>
      <c r="P36" s="1735"/>
      <c r="Q36" s="1735"/>
      <c r="R36" s="1735"/>
      <c r="S36" s="1735"/>
      <c r="T36" s="1736"/>
      <c r="U36" s="252"/>
      <c r="V36" s="252"/>
      <c r="W36" s="252"/>
      <c r="X36" s="1734" t="str">
        <f>+IF(letszamno="","",letszamno)</f>
        <v/>
      </c>
      <c r="Y36" s="1735"/>
      <c r="Z36" s="1735"/>
      <c r="AA36" s="1735"/>
      <c r="AB36" s="1735"/>
      <c r="AC36" s="1735"/>
      <c r="AD36" s="1735"/>
      <c r="AE36" s="1735"/>
      <c r="AF36" s="1735"/>
      <c r="AG36" s="1735"/>
      <c r="AH36" s="1735"/>
      <c r="AI36" s="1735"/>
      <c r="AJ36" s="1735"/>
      <c r="AK36" s="1735"/>
      <c r="AL36" s="1736"/>
      <c r="AM36" s="252"/>
      <c r="AN36" s="252"/>
      <c r="AO36" s="252"/>
      <c r="AP36" s="252"/>
      <c r="AQ36" s="252"/>
      <c r="AR36" s="252"/>
      <c r="AS36" s="252"/>
      <c r="AT36" s="252"/>
      <c r="AU36" s="252"/>
      <c r="AV36" s="252"/>
      <c r="AW36" s="252"/>
      <c r="AX36" s="252"/>
      <c r="AY36" s="252"/>
      <c r="AZ36" s="252"/>
      <c r="BA36" s="252"/>
      <c r="BB36" s="252"/>
      <c r="BC36" s="252"/>
      <c r="BD36" s="252"/>
      <c r="BE36" s="252"/>
      <c r="BF36" s="252"/>
      <c r="BG36" s="311"/>
      <c r="BI36" s="499"/>
      <c r="BJ36" s="278"/>
      <c r="BK36" s="278"/>
      <c r="BL36" s="278"/>
      <c r="BM36" s="278"/>
      <c r="BN36" s="278"/>
      <c r="BO36" s="500"/>
    </row>
    <row r="37" spans="1:67" x14ac:dyDescent="0.2">
      <c r="A37" s="223"/>
      <c r="B37" s="312"/>
      <c r="C37" s="69" t="s">
        <v>1023</v>
      </c>
      <c r="D37" s="252"/>
      <c r="E37" s="252"/>
      <c r="F37" s="252"/>
      <c r="G37" s="252"/>
      <c r="H37" s="252"/>
      <c r="I37" s="252"/>
      <c r="J37" s="252"/>
      <c r="K37" s="252"/>
      <c r="L37" s="252"/>
      <c r="M37" s="252"/>
      <c r="N37" s="252"/>
      <c r="O37" s="252"/>
      <c r="P37" s="252"/>
      <c r="Q37" s="252"/>
      <c r="R37" s="252"/>
      <c r="S37" s="252"/>
      <c r="T37" s="252"/>
      <c r="U37" s="252"/>
      <c r="V37" s="252"/>
      <c r="W37" s="252"/>
      <c r="X37" s="69" t="s">
        <v>1006</v>
      </c>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311"/>
      <c r="BI37" s="499"/>
      <c r="BJ37" s="278"/>
      <c r="BK37" s="278"/>
      <c r="BL37" s="278"/>
      <c r="BM37" s="278"/>
      <c r="BN37" s="278"/>
      <c r="BO37" s="500"/>
    </row>
    <row r="38" spans="1:67" ht="16" thickBot="1" x14ac:dyDescent="0.25">
      <c r="A38" s="223"/>
      <c r="B38" s="31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311"/>
      <c r="BI38" s="499"/>
      <c r="BJ38" s="278"/>
      <c r="BK38" s="278"/>
      <c r="BL38" s="278"/>
      <c r="BM38" s="278"/>
      <c r="BN38" s="278"/>
      <c r="BO38" s="500"/>
    </row>
    <row r="39" spans="1:67" ht="16" thickBot="1" x14ac:dyDescent="0.25">
      <c r="A39" s="223"/>
      <c r="B39" s="312"/>
      <c r="C39" s="1734" t="str">
        <f>+IF(tulno="","",tulno)</f>
        <v/>
      </c>
      <c r="D39" s="1735"/>
      <c r="E39" s="1735"/>
      <c r="F39" s="1735"/>
      <c r="G39" s="1735"/>
      <c r="H39" s="1735"/>
      <c r="I39" s="1735"/>
      <c r="J39" s="1735"/>
      <c r="K39" s="1735"/>
      <c r="L39" s="1735"/>
      <c r="M39" s="1735"/>
      <c r="N39" s="1735"/>
      <c r="O39" s="1735"/>
      <c r="P39" s="1735"/>
      <c r="Q39" s="1735"/>
      <c r="R39" s="1735"/>
      <c r="S39" s="1735"/>
      <c r="T39" s="1736"/>
      <c r="U39" s="252"/>
      <c r="V39" s="252"/>
      <c r="W39" s="252"/>
      <c r="X39" s="1734" t="str">
        <f>+IF(menno="","",menno)</f>
        <v/>
      </c>
      <c r="Y39" s="1735"/>
      <c r="Z39" s="1735"/>
      <c r="AA39" s="1735"/>
      <c r="AB39" s="1735"/>
      <c r="AC39" s="1735"/>
      <c r="AD39" s="1735"/>
      <c r="AE39" s="1735"/>
      <c r="AF39" s="1735"/>
      <c r="AG39" s="1735"/>
      <c r="AH39" s="1735"/>
      <c r="AI39" s="1735"/>
      <c r="AJ39" s="1735"/>
      <c r="AK39" s="1735"/>
      <c r="AL39" s="1736"/>
      <c r="AM39" s="252"/>
      <c r="AN39" s="252"/>
      <c r="AO39" s="252"/>
      <c r="AP39" s="252"/>
      <c r="AQ39" s="252"/>
      <c r="AR39" s="252"/>
      <c r="AS39" s="252"/>
      <c r="AT39" s="252"/>
      <c r="AU39" s="252"/>
      <c r="AV39" s="252"/>
      <c r="AW39" s="252"/>
      <c r="AX39" s="252"/>
      <c r="AY39" s="252"/>
      <c r="AZ39" s="252"/>
      <c r="BA39" s="252"/>
      <c r="BB39" s="252"/>
      <c r="BC39" s="252"/>
      <c r="BD39" s="252"/>
      <c r="BE39" s="252"/>
      <c r="BF39" s="252"/>
      <c r="BG39" s="311"/>
      <c r="BI39" s="499"/>
      <c r="BJ39" s="278"/>
      <c r="BK39" s="278"/>
      <c r="BL39" s="278"/>
      <c r="BM39" s="278"/>
      <c r="BN39" s="278"/>
      <c r="BO39" s="500"/>
    </row>
    <row r="40" spans="1:67" x14ac:dyDescent="0.2">
      <c r="A40" s="223"/>
      <c r="B40" s="312"/>
      <c r="C40" s="69" t="s">
        <v>1007</v>
      </c>
      <c r="D40" s="252"/>
      <c r="E40" s="252"/>
      <c r="F40" s="252"/>
      <c r="G40" s="252"/>
      <c r="H40" s="252"/>
      <c r="I40" s="252"/>
      <c r="J40" s="252"/>
      <c r="K40" s="252"/>
      <c r="L40" s="252"/>
      <c r="M40" s="252"/>
      <c r="N40" s="252"/>
      <c r="O40" s="252"/>
      <c r="P40" s="252"/>
      <c r="Q40" s="252"/>
      <c r="R40" s="252"/>
      <c r="S40" s="252"/>
      <c r="T40" s="252"/>
      <c r="U40" s="252"/>
      <c r="V40" s="252"/>
      <c r="W40" s="252"/>
      <c r="X40" s="69" t="s">
        <v>1008</v>
      </c>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2"/>
      <c r="BG40" s="311"/>
      <c r="BI40" s="499"/>
      <c r="BJ40" s="278"/>
      <c r="BK40" s="278"/>
      <c r="BL40" s="278"/>
      <c r="BM40" s="278"/>
      <c r="BN40" s="278"/>
      <c r="BO40" s="500"/>
    </row>
    <row r="41" spans="1:67" ht="16" thickBot="1" x14ac:dyDescent="0.25">
      <c r="A41" s="223"/>
      <c r="B41" s="31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311"/>
      <c r="BI41" s="499"/>
      <c r="BJ41" s="278"/>
      <c r="BK41" s="278"/>
      <c r="BL41" s="278"/>
      <c r="BM41" s="278"/>
      <c r="BN41" s="278"/>
      <c r="BO41" s="500"/>
    </row>
    <row r="42" spans="1:67" ht="16" thickBot="1" x14ac:dyDescent="0.25">
      <c r="A42" s="223"/>
      <c r="B42" s="312"/>
      <c r="C42" s="1734" t="str">
        <f>+IF(ujmunkahely="","",ujmunkahely)</f>
        <v/>
      </c>
      <c r="D42" s="1735"/>
      <c r="E42" s="1735"/>
      <c r="F42" s="1735"/>
      <c r="G42" s="1735"/>
      <c r="H42" s="1735"/>
      <c r="I42" s="1735"/>
      <c r="J42" s="1735"/>
      <c r="K42" s="1735"/>
      <c r="L42" s="1735"/>
      <c r="M42" s="1735"/>
      <c r="N42" s="1735"/>
      <c r="O42" s="1735"/>
      <c r="P42" s="1735"/>
      <c r="Q42" s="1735"/>
      <c r="R42" s="1735"/>
      <c r="S42" s="1735"/>
      <c r="T42" s="1736"/>
      <c r="U42" s="252"/>
      <c r="V42" s="252"/>
      <c r="W42" s="252"/>
      <c r="X42" s="1734"/>
      <c r="Y42" s="1735"/>
      <c r="Z42" s="1735"/>
      <c r="AA42" s="1735"/>
      <c r="AB42" s="1735"/>
      <c r="AC42" s="1735"/>
      <c r="AD42" s="1735"/>
      <c r="AE42" s="1735"/>
      <c r="AF42" s="1735"/>
      <c r="AG42" s="1735"/>
      <c r="AH42" s="1735"/>
      <c r="AI42" s="1735"/>
      <c r="AJ42" s="1735"/>
      <c r="AK42" s="1735"/>
      <c r="AL42" s="1736"/>
      <c r="AM42" s="252"/>
      <c r="AN42" s="252"/>
      <c r="AO42" s="252"/>
      <c r="AP42" s="252"/>
      <c r="AQ42" s="252"/>
      <c r="AR42" s="252"/>
      <c r="AS42" s="252"/>
      <c r="AT42" s="252"/>
      <c r="AU42" s="252"/>
      <c r="AV42" s="252"/>
      <c r="AW42" s="252"/>
      <c r="AX42" s="252"/>
      <c r="AY42" s="252"/>
      <c r="AZ42" s="252"/>
      <c r="BA42" s="252"/>
      <c r="BB42" s="252"/>
      <c r="BC42" s="252"/>
      <c r="BD42" s="252"/>
      <c r="BE42" s="252"/>
      <c r="BF42" s="252"/>
      <c r="BG42" s="311"/>
      <c r="BI42" s="499"/>
      <c r="BJ42" s="278"/>
      <c r="BK42" s="278"/>
      <c r="BL42" s="278"/>
      <c r="BM42" s="278"/>
      <c r="BN42" s="278"/>
      <c r="BO42" s="500"/>
    </row>
    <row r="43" spans="1:67" x14ac:dyDescent="0.2">
      <c r="A43" s="223"/>
      <c r="B43" s="312"/>
      <c r="C43" s="69" t="s">
        <v>1010</v>
      </c>
      <c r="D43" s="252"/>
      <c r="E43" s="252"/>
      <c r="F43" s="252"/>
      <c r="G43" s="252"/>
      <c r="H43" s="252"/>
      <c r="I43" s="252"/>
      <c r="J43" s="252"/>
      <c r="K43" s="252"/>
      <c r="L43" s="252"/>
      <c r="M43" s="252"/>
      <c r="N43" s="252"/>
      <c r="O43" s="252"/>
      <c r="P43" s="252"/>
      <c r="Q43" s="252"/>
      <c r="R43" s="252"/>
      <c r="S43" s="252"/>
      <c r="T43" s="252"/>
      <c r="U43" s="252"/>
      <c r="V43" s="252"/>
      <c r="W43" s="252"/>
      <c r="X43" s="69" t="s">
        <v>1011</v>
      </c>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311"/>
      <c r="BI43" s="499"/>
      <c r="BJ43" s="278"/>
      <c r="BK43" s="278"/>
      <c r="BL43" s="278"/>
      <c r="BM43" s="278"/>
      <c r="BN43" s="278"/>
      <c r="BO43" s="500"/>
    </row>
    <row r="44" spans="1:67" x14ac:dyDescent="0.2">
      <c r="A44" s="223"/>
      <c r="B44" s="315"/>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c r="BC44" s="320"/>
      <c r="BD44" s="320"/>
      <c r="BE44" s="320"/>
      <c r="BF44" s="320"/>
      <c r="BG44" s="321"/>
      <c r="BI44" s="499"/>
      <c r="BJ44" s="278"/>
      <c r="BK44" s="278"/>
      <c r="BL44" s="278"/>
      <c r="BM44" s="278"/>
      <c r="BN44" s="278"/>
      <c r="BO44" s="500"/>
    </row>
    <row r="45" spans="1:67" x14ac:dyDescent="0.2">
      <c r="B45" s="1738" t="s">
        <v>1074</v>
      </c>
      <c r="C45" s="1739"/>
      <c r="D45" s="1739"/>
      <c r="E45" s="1739"/>
      <c r="F45" s="1739"/>
      <c r="G45" s="1739"/>
      <c r="H45" s="1739"/>
      <c r="I45" s="1739"/>
      <c r="J45" s="1739"/>
      <c r="K45" s="1739"/>
      <c r="L45" s="1739"/>
      <c r="M45" s="1739"/>
      <c r="N45" s="1739"/>
      <c r="O45" s="1739"/>
      <c r="P45" s="1739"/>
      <c r="Q45" s="1739"/>
      <c r="R45" s="1739"/>
      <c r="S45" s="1739"/>
      <c r="T45" s="1739"/>
      <c r="U45" s="1739"/>
      <c r="V45" s="1739"/>
      <c r="W45" s="1739"/>
      <c r="X45" s="1739"/>
      <c r="Y45" s="1739"/>
      <c r="Z45" s="1739"/>
      <c r="AA45" s="1739"/>
      <c r="AB45" s="1739"/>
      <c r="AC45" s="1739"/>
      <c r="AD45" s="1739"/>
      <c r="AE45" s="1739"/>
      <c r="AF45" s="1739"/>
      <c r="AG45" s="1739"/>
      <c r="AH45" s="1739"/>
      <c r="AI45" s="1739"/>
      <c r="AJ45" s="1739"/>
      <c r="AK45" s="1739"/>
      <c r="AL45" s="1739"/>
      <c r="AM45" s="1739"/>
      <c r="AN45" s="1739"/>
      <c r="AO45" s="1739"/>
      <c r="AP45" s="1739"/>
      <c r="AQ45" s="1739"/>
      <c r="AR45" s="1739"/>
      <c r="AS45" s="1739"/>
      <c r="AT45" s="1739"/>
      <c r="AU45" s="1739"/>
      <c r="AV45" s="1739"/>
      <c r="AW45" s="1739"/>
      <c r="AX45" s="1739"/>
      <c r="AY45" s="1739"/>
      <c r="AZ45" s="1739"/>
      <c r="BA45" s="1739"/>
      <c r="BB45" s="1739"/>
      <c r="BC45" s="1739"/>
      <c r="BD45" s="1739"/>
      <c r="BE45" s="1739"/>
      <c r="BF45" s="1739"/>
      <c r="BG45" s="1740"/>
      <c r="BI45" s="499"/>
      <c r="BJ45" s="278"/>
      <c r="BK45" s="278"/>
      <c r="BL45" s="278"/>
      <c r="BM45" s="278"/>
      <c r="BN45" s="278"/>
      <c r="BO45" s="500"/>
    </row>
    <row r="46" spans="1:67" ht="29.25" customHeight="1" x14ac:dyDescent="0.2">
      <c r="B46" s="322"/>
      <c r="C46" s="1731" t="s">
        <v>1075</v>
      </c>
      <c r="D46" s="1731"/>
      <c r="E46" s="1731"/>
      <c r="F46" s="1731"/>
      <c r="G46" s="1731"/>
      <c r="H46" s="1731"/>
      <c r="I46" s="1731"/>
      <c r="J46" s="1731"/>
      <c r="K46" s="1731"/>
      <c r="L46" s="1731"/>
      <c r="M46" s="1731"/>
      <c r="N46" s="1731"/>
      <c r="O46" s="1731"/>
      <c r="P46" s="1731"/>
      <c r="Q46" s="1731"/>
      <c r="R46" s="1731"/>
      <c r="S46" s="1731"/>
      <c r="T46" s="1731"/>
      <c r="U46" s="1731"/>
      <c r="V46" s="1731"/>
      <c r="W46" s="1731"/>
      <c r="X46" s="1731"/>
      <c r="Y46" s="1731"/>
      <c r="Z46" s="1731"/>
      <c r="AA46" s="1731"/>
      <c r="AB46" s="1731"/>
      <c r="AC46" s="1731"/>
      <c r="AD46" s="1731"/>
      <c r="AE46" s="1731"/>
      <c r="AF46" s="1731"/>
      <c r="AG46" s="1731"/>
      <c r="AH46" s="1731"/>
      <c r="AI46" s="1731"/>
      <c r="AJ46" s="1731"/>
      <c r="AK46" s="1731"/>
      <c r="AL46" s="1731"/>
      <c r="AM46" s="1731"/>
      <c r="AN46" s="1731"/>
      <c r="AO46" s="1731"/>
      <c r="AP46" s="1731"/>
      <c r="AQ46" s="1731"/>
      <c r="AR46" s="1731"/>
      <c r="AS46" s="1731"/>
      <c r="AT46" s="1731"/>
      <c r="AU46" s="1731"/>
      <c r="AV46" s="1731"/>
      <c r="AW46" s="1731"/>
      <c r="AX46" s="1731"/>
      <c r="AY46" s="1731"/>
      <c r="AZ46" s="1731"/>
      <c r="BA46" s="1731"/>
      <c r="BB46" s="1731"/>
      <c r="BC46" s="1731"/>
      <c r="BD46" s="1731"/>
      <c r="BE46" s="1731"/>
      <c r="BF46" s="1731"/>
      <c r="BG46" s="323"/>
      <c r="BI46" s="499"/>
      <c r="BJ46" s="278"/>
      <c r="BK46" s="278"/>
      <c r="BL46" s="278"/>
      <c r="BM46" s="278"/>
      <c r="BN46" s="278"/>
      <c r="BO46" s="500"/>
    </row>
    <row r="47" spans="1:67" x14ac:dyDescent="0.2">
      <c r="B47" s="324"/>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325"/>
      <c r="BI47" s="499"/>
      <c r="BJ47" s="278"/>
      <c r="BK47" s="278"/>
      <c r="BL47" s="278"/>
      <c r="BM47" s="278"/>
      <c r="BN47" s="278"/>
      <c r="BO47" s="500"/>
    </row>
    <row r="48" spans="1:67" x14ac:dyDescent="0.2">
      <c r="B48" s="324"/>
      <c r="C48" s="278"/>
      <c r="D48" s="1717" t="s">
        <v>803</v>
      </c>
      <c r="E48" s="1717"/>
      <c r="F48" s="1717"/>
      <c r="G48" s="1717"/>
      <c r="H48" s="1717"/>
      <c r="I48" s="1717"/>
      <c r="J48" s="1717"/>
      <c r="K48" s="1717"/>
      <c r="L48" s="1717"/>
      <c r="M48" s="1717"/>
      <c r="N48" s="1717"/>
      <c r="O48" s="1717"/>
      <c r="P48" s="1717"/>
      <c r="Q48" s="1717"/>
      <c r="R48" s="1717"/>
      <c r="S48" s="1717"/>
      <c r="T48" s="1717"/>
      <c r="U48" s="1717"/>
      <c r="V48" s="1717"/>
      <c r="W48" s="1717"/>
      <c r="X48" s="1717"/>
      <c r="Y48" s="1717"/>
      <c r="Z48" s="1717"/>
      <c r="AA48" s="1717"/>
      <c r="AB48" s="1717"/>
      <c r="AC48" s="1717"/>
      <c r="AD48" s="1717"/>
      <c r="AE48" s="1717"/>
      <c r="AF48" s="1717"/>
      <c r="AG48" s="1717"/>
      <c r="AH48" s="1717"/>
      <c r="AI48" s="1717"/>
      <c r="AJ48" s="1717"/>
      <c r="AK48" s="1717"/>
      <c r="AL48" s="1737"/>
      <c r="AM48" s="1737"/>
      <c r="AN48" s="1737"/>
      <c r="AO48" s="1737"/>
      <c r="AP48" s="1737"/>
      <c r="AQ48" s="1737"/>
      <c r="AR48" s="1737"/>
      <c r="AS48" s="1737"/>
      <c r="AT48" s="1737"/>
      <c r="AU48" s="1737"/>
      <c r="AV48" s="1737"/>
      <c r="AW48" s="1737"/>
      <c r="AX48" s="279"/>
      <c r="AY48" s="279"/>
      <c r="AZ48" s="279"/>
      <c r="BA48" s="279"/>
      <c r="BB48" s="279"/>
      <c r="BC48" s="279"/>
      <c r="BD48" s="279"/>
      <c r="BE48" s="279"/>
      <c r="BF48" s="279"/>
      <c r="BG48" s="325"/>
      <c r="BI48" s="501" t="s">
        <v>163</v>
      </c>
      <c r="BJ48" s="278"/>
      <c r="BK48" s="278"/>
      <c r="BL48" s="278"/>
      <c r="BM48" s="272" t="s">
        <v>163</v>
      </c>
      <c r="BN48" s="278"/>
      <c r="BO48" s="500"/>
    </row>
    <row r="49" spans="2:67" ht="28.5" customHeight="1" x14ac:dyDescent="0.2">
      <c r="B49" s="324"/>
      <c r="C49" s="278"/>
      <c r="D49" s="1716" t="s">
        <v>804</v>
      </c>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c r="AA49" s="1716"/>
      <c r="AB49" s="1716"/>
      <c r="AC49" s="1716"/>
      <c r="AD49" s="1716"/>
      <c r="AE49" s="1716"/>
      <c r="AF49" s="1716"/>
      <c r="AG49" s="1716"/>
      <c r="AH49" s="1716"/>
      <c r="AI49" s="1716"/>
      <c r="AJ49" s="1716"/>
      <c r="AK49" s="1716"/>
      <c r="AL49" s="1733" t="s">
        <v>163</v>
      </c>
      <c r="AM49" s="1733"/>
      <c r="AN49" s="1733"/>
      <c r="AO49" s="1733"/>
      <c r="AP49" s="1733"/>
      <c r="AQ49" s="1733"/>
      <c r="AR49" s="1733"/>
      <c r="AS49" s="1733"/>
      <c r="AT49" s="1733"/>
      <c r="AU49" s="1733"/>
      <c r="AV49" s="1733"/>
      <c r="AW49" s="1733"/>
      <c r="AX49" s="279"/>
      <c r="AY49" s="279"/>
      <c r="AZ49" s="279"/>
      <c r="BA49" s="279"/>
      <c r="BB49" s="279"/>
      <c r="BC49" s="279"/>
      <c r="BD49" s="279"/>
      <c r="BE49" s="279"/>
      <c r="BF49" s="279"/>
      <c r="BG49" s="325"/>
      <c r="BI49" s="501" t="s">
        <v>538</v>
      </c>
      <c r="BJ49" s="278"/>
      <c r="BK49" s="278"/>
      <c r="BL49" s="278"/>
      <c r="BM49" s="272" t="s">
        <v>815</v>
      </c>
      <c r="BN49" s="278"/>
      <c r="BO49" s="500"/>
    </row>
    <row r="50" spans="2:67" x14ac:dyDescent="0.2">
      <c r="B50" s="324"/>
      <c r="C50" s="278"/>
      <c r="D50" s="1717" t="s">
        <v>805</v>
      </c>
      <c r="E50" s="1717"/>
      <c r="F50" s="1717"/>
      <c r="G50" s="1717"/>
      <c r="H50" s="1717"/>
      <c r="I50" s="1717"/>
      <c r="J50" s="1717"/>
      <c r="K50" s="1717"/>
      <c r="L50" s="1717"/>
      <c r="M50" s="1717"/>
      <c r="N50" s="1717"/>
      <c r="O50" s="1717"/>
      <c r="P50" s="1717"/>
      <c r="Q50" s="1717"/>
      <c r="R50" s="1717"/>
      <c r="S50" s="1717"/>
      <c r="T50" s="1717"/>
      <c r="U50" s="1717"/>
      <c r="V50" s="1717"/>
      <c r="W50" s="1717"/>
      <c r="X50" s="1717"/>
      <c r="Y50" s="1717"/>
      <c r="Z50" s="1717"/>
      <c r="AA50" s="1717"/>
      <c r="AB50" s="1717"/>
      <c r="AC50" s="1717"/>
      <c r="AD50" s="1717"/>
      <c r="AE50" s="1717"/>
      <c r="AF50" s="1717"/>
      <c r="AG50" s="1717"/>
      <c r="AH50" s="1717"/>
      <c r="AI50" s="1717"/>
      <c r="AJ50" s="1717"/>
      <c r="AK50" s="1717"/>
      <c r="AL50" s="1720"/>
      <c r="AM50" s="1720"/>
      <c r="AN50" s="1720"/>
      <c r="AO50" s="1720"/>
      <c r="AP50" s="1720"/>
      <c r="AQ50" s="1720"/>
      <c r="AR50" s="1720"/>
      <c r="AS50" s="1720"/>
      <c r="AT50" s="1720"/>
      <c r="AU50" s="1720"/>
      <c r="AV50" s="1720"/>
      <c r="AW50" s="1720"/>
      <c r="AX50" s="279"/>
      <c r="AY50" s="279"/>
      <c r="AZ50" s="279"/>
      <c r="BA50" s="279"/>
      <c r="BB50" s="279"/>
      <c r="BC50" s="279"/>
      <c r="BD50" s="279"/>
      <c r="BE50" s="279"/>
      <c r="BF50" s="279"/>
      <c r="BG50" s="325"/>
      <c r="BI50" s="501" t="s">
        <v>539</v>
      </c>
      <c r="BJ50" s="278"/>
      <c r="BK50" s="278"/>
      <c r="BL50" s="278"/>
      <c r="BM50" s="273" t="s">
        <v>816</v>
      </c>
      <c r="BN50" s="278"/>
      <c r="BO50" s="500"/>
    </row>
    <row r="51" spans="2:67" x14ac:dyDescent="0.2">
      <c r="B51" s="324"/>
      <c r="C51" s="278"/>
      <c r="D51" s="1717" t="s">
        <v>807</v>
      </c>
      <c r="E51" s="1717"/>
      <c r="F51" s="1717"/>
      <c r="G51" s="1717"/>
      <c r="H51" s="1717"/>
      <c r="I51" s="1717"/>
      <c r="J51" s="1717"/>
      <c r="K51" s="1717"/>
      <c r="L51" s="1717"/>
      <c r="M51" s="1717"/>
      <c r="N51" s="1717"/>
      <c r="O51" s="1717"/>
      <c r="P51" s="1717"/>
      <c r="Q51" s="1717"/>
      <c r="R51" s="1717"/>
      <c r="S51" s="1717"/>
      <c r="T51" s="1717"/>
      <c r="U51" s="1717"/>
      <c r="V51" s="1717"/>
      <c r="W51" s="1717"/>
      <c r="X51" s="1717"/>
      <c r="Y51" s="1717"/>
      <c r="Z51" s="1717"/>
      <c r="AA51" s="1717"/>
      <c r="AB51" s="1717"/>
      <c r="AC51" s="1717"/>
      <c r="AD51" s="1717"/>
      <c r="AE51" s="1717"/>
      <c r="AF51" s="1717"/>
      <c r="AG51" s="1717"/>
      <c r="AH51" s="1717"/>
      <c r="AI51" s="1717"/>
      <c r="AJ51" s="1717"/>
      <c r="AK51" s="1717"/>
      <c r="AL51" s="1733" t="s">
        <v>163</v>
      </c>
      <c r="AM51" s="1733"/>
      <c r="AN51" s="1733"/>
      <c r="AO51" s="1733"/>
      <c r="AP51" s="1733"/>
      <c r="AQ51" s="1733"/>
      <c r="AR51" s="1733"/>
      <c r="AS51" s="1733"/>
      <c r="AT51" s="1733"/>
      <c r="AU51" s="1733"/>
      <c r="AV51" s="1733"/>
      <c r="AW51" s="1733"/>
      <c r="AX51" s="279"/>
      <c r="AY51" s="279"/>
      <c r="AZ51" s="279"/>
      <c r="BA51" s="279"/>
      <c r="BB51" s="279"/>
      <c r="BC51" s="279"/>
      <c r="BD51" s="279"/>
      <c r="BE51" s="279"/>
      <c r="BF51" s="279"/>
      <c r="BG51" s="325"/>
      <c r="BI51" s="499"/>
      <c r="BJ51" s="278"/>
      <c r="BK51" s="278"/>
      <c r="BL51" s="278"/>
      <c r="BM51" s="273" t="s">
        <v>817</v>
      </c>
      <c r="BN51" s="278"/>
      <c r="BO51" s="500"/>
    </row>
    <row r="52" spans="2:67" ht="54.75" customHeight="1" x14ac:dyDescent="0.2">
      <c r="B52" s="324"/>
      <c r="C52" s="278"/>
      <c r="D52" s="1716" t="s">
        <v>808</v>
      </c>
      <c r="E52" s="1716"/>
      <c r="F52" s="1716"/>
      <c r="G52" s="1716"/>
      <c r="H52" s="1716"/>
      <c r="I52" s="1716"/>
      <c r="J52" s="1716"/>
      <c r="K52" s="1716"/>
      <c r="L52" s="1716"/>
      <c r="M52" s="1716"/>
      <c r="N52" s="1716"/>
      <c r="O52" s="1716"/>
      <c r="P52" s="1716"/>
      <c r="Q52" s="1716"/>
      <c r="R52" s="1716"/>
      <c r="S52" s="1716"/>
      <c r="T52" s="1716"/>
      <c r="U52" s="1716"/>
      <c r="V52" s="1716"/>
      <c r="W52" s="1716"/>
      <c r="X52" s="1716"/>
      <c r="Y52" s="1716"/>
      <c r="Z52" s="1716"/>
      <c r="AA52" s="1716"/>
      <c r="AB52" s="1716"/>
      <c r="AC52" s="1716"/>
      <c r="AD52" s="1716"/>
      <c r="AE52" s="1716"/>
      <c r="AF52" s="1716"/>
      <c r="AG52" s="1716"/>
      <c r="AH52" s="1716"/>
      <c r="AI52" s="1716"/>
      <c r="AJ52" s="1716"/>
      <c r="AK52" s="1716"/>
      <c r="AL52" s="1733"/>
      <c r="AM52" s="1733"/>
      <c r="AN52" s="1733"/>
      <c r="AO52" s="1733"/>
      <c r="AP52" s="1733"/>
      <c r="AQ52" s="1733"/>
      <c r="AR52" s="1733"/>
      <c r="AS52" s="1733"/>
      <c r="AT52" s="1733"/>
      <c r="AU52" s="1733"/>
      <c r="AV52" s="1733"/>
      <c r="AW52" s="1733"/>
      <c r="AX52" s="279"/>
      <c r="AY52" s="279"/>
      <c r="AZ52" s="279"/>
      <c r="BA52" s="279"/>
      <c r="BB52" s="279"/>
      <c r="BC52" s="279"/>
      <c r="BD52" s="279"/>
      <c r="BE52" s="279"/>
      <c r="BF52" s="279"/>
      <c r="BG52" s="325"/>
      <c r="BI52" s="501" t="s">
        <v>163</v>
      </c>
      <c r="BJ52" s="278"/>
      <c r="BK52" s="278"/>
      <c r="BL52" s="278"/>
      <c r="BM52" s="273" t="s">
        <v>818</v>
      </c>
      <c r="BN52" s="278"/>
      <c r="BO52" s="500"/>
    </row>
    <row r="53" spans="2:67" x14ac:dyDescent="0.2">
      <c r="B53" s="324"/>
      <c r="C53" s="278"/>
      <c r="D53" s="1717" t="s">
        <v>809</v>
      </c>
      <c r="E53" s="1717"/>
      <c r="F53" s="1717"/>
      <c r="G53" s="1717"/>
      <c r="H53" s="1717"/>
      <c r="I53" s="1717"/>
      <c r="J53" s="1717"/>
      <c r="K53" s="1717"/>
      <c r="L53" s="1717"/>
      <c r="M53" s="1717"/>
      <c r="N53" s="1717"/>
      <c r="O53" s="1717"/>
      <c r="P53" s="1717"/>
      <c r="Q53" s="1717"/>
      <c r="R53" s="1717"/>
      <c r="S53" s="1717"/>
      <c r="T53" s="1717"/>
      <c r="U53" s="1717"/>
      <c r="V53" s="1717"/>
      <c r="W53" s="1717"/>
      <c r="X53" s="1717"/>
      <c r="Y53" s="1717"/>
      <c r="Z53" s="1717"/>
      <c r="AA53" s="1717"/>
      <c r="AB53" s="1717"/>
      <c r="AC53" s="1717"/>
      <c r="AD53" s="1717"/>
      <c r="AE53" s="1717"/>
      <c r="AF53" s="1717"/>
      <c r="AG53" s="1717"/>
      <c r="AH53" s="1717"/>
      <c r="AI53" s="1717"/>
      <c r="AJ53" s="1717"/>
      <c r="AK53" s="1717"/>
      <c r="AL53" s="1733"/>
      <c r="AM53" s="1733"/>
      <c r="AN53" s="1733"/>
      <c r="AO53" s="1733"/>
      <c r="AP53" s="1733"/>
      <c r="AQ53" s="1733"/>
      <c r="AR53" s="1733"/>
      <c r="AS53" s="1733"/>
      <c r="AT53" s="1733"/>
      <c r="AU53" s="1733"/>
      <c r="AV53" s="1733"/>
      <c r="AW53" s="1733"/>
      <c r="AX53" s="279"/>
      <c r="AY53" s="279"/>
      <c r="AZ53" s="279"/>
      <c r="BA53" s="279"/>
      <c r="BB53" s="279"/>
      <c r="BC53" s="279"/>
      <c r="BD53" s="279"/>
      <c r="BE53" s="279"/>
      <c r="BF53" s="279"/>
      <c r="BG53" s="325"/>
      <c r="BI53" s="501" t="s">
        <v>827</v>
      </c>
      <c r="BJ53" s="278"/>
      <c r="BK53" s="278"/>
      <c r="BL53" s="278"/>
      <c r="BM53" s="272" t="s">
        <v>819</v>
      </c>
      <c r="BN53" s="278"/>
      <c r="BO53" s="500"/>
    </row>
    <row r="54" spans="2:67" ht="57.75" customHeight="1" x14ac:dyDescent="0.2">
      <c r="B54" s="324"/>
      <c r="C54" s="278"/>
      <c r="D54" s="1716" t="s">
        <v>810</v>
      </c>
      <c r="E54" s="1716"/>
      <c r="F54" s="1716"/>
      <c r="G54" s="1716"/>
      <c r="H54" s="1716"/>
      <c r="I54" s="1716"/>
      <c r="J54" s="1716"/>
      <c r="K54" s="1716"/>
      <c r="L54" s="1716"/>
      <c r="M54" s="1716"/>
      <c r="N54" s="1716"/>
      <c r="O54" s="1716"/>
      <c r="P54" s="1716"/>
      <c r="Q54" s="1716"/>
      <c r="R54" s="1716"/>
      <c r="S54" s="1716"/>
      <c r="T54" s="1716"/>
      <c r="U54" s="1716"/>
      <c r="V54" s="1716"/>
      <c r="W54" s="1716"/>
      <c r="X54" s="1716"/>
      <c r="Y54" s="1716"/>
      <c r="Z54" s="1716"/>
      <c r="AA54" s="1716"/>
      <c r="AB54" s="1716"/>
      <c r="AC54" s="1716"/>
      <c r="AD54" s="1716"/>
      <c r="AE54" s="1716"/>
      <c r="AF54" s="1716"/>
      <c r="AG54" s="1716"/>
      <c r="AH54" s="1716"/>
      <c r="AI54" s="1716"/>
      <c r="AJ54" s="1716"/>
      <c r="AK54" s="1716"/>
      <c r="AL54" s="1733"/>
      <c r="AM54" s="1733"/>
      <c r="AN54" s="1733"/>
      <c r="AO54" s="1733"/>
      <c r="AP54" s="1733"/>
      <c r="AQ54" s="1733"/>
      <c r="AR54" s="1733"/>
      <c r="AS54" s="1733"/>
      <c r="AT54" s="1733"/>
      <c r="AU54" s="1733"/>
      <c r="AV54" s="1733"/>
      <c r="AW54" s="1733"/>
      <c r="AX54" s="279"/>
      <c r="AY54" s="279"/>
      <c r="AZ54" s="279"/>
      <c r="BA54" s="279"/>
      <c r="BB54" s="279"/>
      <c r="BC54" s="279"/>
      <c r="BD54" s="279"/>
      <c r="BE54" s="279"/>
      <c r="BF54" s="279"/>
      <c r="BG54" s="325"/>
      <c r="BI54" s="501" t="s">
        <v>828</v>
      </c>
      <c r="BJ54" s="278"/>
      <c r="BK54" s="278"/>
      <c r="BL54" s="278"/>
      <c r="BM54" s="272" t="s">
        <v>820</v>
      </c>
      <c r="BN54" s="278"/>
      <c r="BO54" s="500"/>
    </row>
    <row r="55" spans="2:67" ht="29.25" customHeight="1" x14ac:dyDescent="0.2">
      <c r="B55" s="324"/>
      <c r="C55" s="278"/>
      <c r="D55" s="1716" t="s">
        <v>811</v>
      </c>
      <c r="E55" s="1716"/>
      <c r="F55" s="1716"/>
      <c r="G55" s="1716"/>
      <c r="H55" s="1716"/>
      <c r="I55" s="1716"/>
      <c r="J55" s="1716"/>
      <c r="K55" s="1716"/>
      <c r="L55" s="1716"/>
      <c r="M55" s="1716"/>
      <c r="N55" s="1716"/>
      <c r="O55" s="1716"/>
      <c r="P55" s="1716"/>
      <c r="Q55" s="1716"/>
      <c r="R55" s="1716"/>
      <c r="S55" s="1716"/>
      <c r="T55" s="1716"/>
      <c r="U55" s="1716"/>
      <c r="V55" s="1716"/>
      <c r="W55" s="1716"/>
      <c r="X55" s="1716"/>
      <c r="Y55" s="1716"/>
      <c r="Z55" s="1716"/>
      <c r="AA55" s="1716"/>
      <c r="AB55" s="1716"/>
      <c r="AC55" s="1716"/>
      <c r="AD55" s="1716"/>
      <c r="AE55" s="1716"/>
      <c r="AF55" s="1716"/>
      <c r="AG55" s="1716"/>
      <c r="AH55" s="1716"/>
      <c r="AI55" s="1716"/>
      <c r="AJ55" s="1716"/>
      <c r="AK55" s="1716"/>
      <c r="AL55" s="1733"/>
      <c r="AM55" s="1733"/>
      <c r="AN55" s="1733"/>
      <c r="AO55" s="1733"/>
      <c r="AP55" s="1733"/>
      <c r="AQ55" s="1733"/>
      <c r="AR55" s="1733"/>
      <c r="AS55" s="1733"/>
      <c r="AT55" s="1733"/>
      <c r="AU55" s="1733"/>
      <c r="AV55" s="1733"/>
      <c r="AW55" s="1733"/>
      <c r="AX55" s="279"/>
      <c r="AY55" s="279"/>
      <c r="AZ55" s="279"/>
      <c r="BA55" s="279"/>
      <c r="BB55" s="279"/>
      <c r="BC55" s="279"/>
      <c r="BD55" s="279"/>
      <c r="BE55" s="279"/>
      <c r="BF55" s="279"/>
      <c r="BG55" s="325"/>
      <c r="BI55" s="499"/>
      <c r="BJ55" s="278"/>
      <c r="BK55" s="278"/>
      <c r="BL55" s="278"/>
      <c r="BM55" s="272" t="s">
        <v>821</v>
      </c>
      <c r="BN55" s="278"/>
      <c r="BO55" s="500"/>
    </row>
    <row r="56" spans="2:67" ht="29.25" customHeight="1" x14ac:dyDescent="0.2">
      <c r="B56" s="324"/>
      <c r="C56" s="278"/>
      <c r="D56" s="1716" t="s">
        <v>812</v>
      </c>
      <c r="E56" s="1716"/>
      <c r="F56" s="1716"/>
      <c r="G56" s="1716"/>
      <c r="H56" s="1716"/>
      <c r="I56" s="1716"/>
      <c r="J56" s="1716"/>
      <c r="K56" s="1716"/>
      <c r="L56" s="1716"/>
      <c r="M56" s="1716"/>
      <c r="N56" s="1716"/>
      <c r="O56" s="1716"/>
      <c r="P56" s="1716"/>
      <c r="Q56" s="1716"/>
      <c r="R56" s="1716"/>
      <c r="S56" s="1716"/>
      <c r="T56" s="1716"/>
      <c r="U56" s="1716"/>
      <c r="V56" s="1716"/>
      <c r="W56" s="1716"/>
      <c r="X56" s="1716"/>
      <c r="Y56" s="1716"/>
      <c r="Z56" s="1716"/>
      <c r="AA56" s="1716"/>
      <c r="AB56" s="1716"/>
      <c r="AC56" s="1716"/>
      <c r="AD56" s="1716"/>
      <c r="AE56" s="1716"/>
      <c r="AF56" s="1716"/>
      <c r="AG56" s="1716"/>
      <c r="AH56" s="1716"/>
      <c r="AI56" s="1716"/>
      <c r="AJ56" s="1716"/>
      <c r="AK56" s="1716"/>
      <c r="AL56" s="1733"/>
      <c r="AM56" s="1733"/>
      <c r="AN56" s="1733"/>
      <c r="AO56" s="1733"/>
      <c r="AP56" s="1733"/>
      <c r="AQ56" s="1733"/>
      <c r="AR56" s="1733"/>
      <c r="AS56" s="1733"/>
      <c r="AT56" s="1733"/>
      <c r="AU56" s="1733"/>
      <c r="AV56" s="1733"/>
      <c r="AW56" s="1733"/>
      <c r="AX56" s="279"/>
      <c r="AY56" s="279"/>
      <c r="AZ56" s="279"/>
      <c r="BA56" s="279"/>
      <c r="BB56" s="279"/>
      <c r="BC56" s="279"/>
      <c r="BD56" s="279"/>
      <c r="BE56" s="279"/>
      <c r="BF56" s="279"/>
      <c r="BG56" s="325"/>
      <c r="BI56" s="499"/>
      <c r="BJ56" s="278"/>
      <c r="BK56" s="278"/>
      <c r="BL56" s="278"/>
      <c r="BM56" s="272" t="s">
        <v>822</v>
      </c>
      <c r="BN56" s="278"/>
      <c r="BO56" s="500"/>
    </row>
    <row r="57" spans="2:67" ht="28.5" customHeight="1" x14ac:dyDescent="0.2">
      <c r="B57" s="324"/>
      <c r="C57" s="278"/>
      <c r="D57" s="1716" t="s">
        <v>806</v>
      </c>
      <c r="E57" s="1716"/>
      <c r="F57" s="1716"/>
      <c r="G57" s="1716"/>
      <c r="H57" s="1716"/>
      <c r="I57" s="1716"/>
      <c r="J57" s="1716"/>
      <c r="K57" s="1716"/>
      <c r="L57" s="1716"/>
      <c r="M57" s="1716"/>
      <c r="N57" s="1716"/>
      <c r="O57" s="1716"/>
      <c r="P57" s="1716"/>
      <c r="Q57" s="1716"/>
      <c r="R57" s="1716"/>
      <c r="S57" s="1716"/>
      <c r="T57" s="1716"/>
      <c r="U57" s="1716"/>
      <c r="V57" s="1716"/>
      <c r="W57" s="1716"/>
      <c r="X57" s="1716"/>
      <c r="Y57" s="1716"/>
      <c r="Z57" s="1716"/>
      <c r="AA57" s="1716"/>
      <c r="AB57" s="1716"/>
      <c r="AC57" s="1716"/>
      <c r="AD57" s="1716"/>
      <c r="AE57" s="1716"/>
      <c r="AF57" s="1716"/>
      <c r="AG57" s="1716"/>
      <c r="AH57" s="1716"/>
      <c r="AI57" s="1716"/>
      <c r="AJ57" s="1716"/>
      <c r="AK57" s="1716"/>
      <c r="AL57" s="1733"/>
      <c r="AM57" s="1733"/>
      <c r="AN57" s="1733"/>
      <c r="AO57" s="1733"/>
      <c r="AP57" s="1733"/>
      <c r="AQ57" s="1733"/>
      <c r="AR57" s="1733"/>
      <c r="AS57" s="1733"/>
      <c r="AT57" s="1733"/>
      <c r="AU57" s="1733"/>
      <c r="AV57" s="1733"/>
      <c r="AW57" s="1733"/>
      <c r="AX57" s="279"/>
      <c r="AY57" s="279"/>
      <c r="AZ57" s="279"/>
      <c r="BA57" s="279"/>
      <c r="BB57" s="279"/>
      <c r="BC57" s="279"/>
      <c r="BD57" s="279"/>
      <c r="BE57" s="279"/>
      <c r="BF57" s="279"/>
      <c r="BG57" s="325"/>
      <c r="BI57" s="499"/>
      <c r="BJ57" s="278"/>
      <c r="BK57" s="278"/>
      <c r="BL57" s="278"/>
      <c r="BM57" s="278"/>
      <c r="BN57" s="278"/>
      <c r="BO57" s="500"/>
    </row>
    <row r="58" spans="2:67" ht="27.75" customHeight="1" x14ac:dyDescent="0.2">
      <c r="B58" s="324"/>
      <c r="C58" s="278"/>
      <c r="D58" s="1716" t="s">
        <v>813</v>
      </c>
      <c r="E58" s="1716"/>
      <c r="F58" s="1716"/>
      <c r="G58" s="1716"/>
      <c r="H58" s="1716"/>
      <c r="I58" s="1716"/>
      <c r="J58" s="1716"/>
      <c r="K58" s="1716"/>
      <c r="L58" s="1716"/>
      <c r="M58" s="1716"/>
      <c r="N58" s="1716"/>
      <c r="O58" s="1716"/>
      <c r="P58" s="1716"/>
      <c r="Q58" s="1716"/>
      <c r="R58" s="1716"/>
      <c r="S58" s="1716"/>
      <c r="T58" s="1716"/>
      <c r="U58" s="1716"/>
      <c r="V58" s="1716"/>
      <c r="W58" s="1716"/>
      <c r="X58" s="1716"/>
      <c r="Y58" s="1716"/>
      <c r="Z58" s="1716"/>
      <c r="AA58" s="1716"/>
      <c r="AB58" s="1716"/>
      <c r="AC58" s="1716"/>
      <c r="AD58" s="1716"/>
      <c r="AE58" s="1716"/>
      <c r="AF58" s="1716"/>
      <c r="AG58" s="1716"/>
      <c r="AH58" s="1716"/>
      <c r="AI58" s="1716"/>
      <c r="AJ58" s="1716"/>
      <c r="AK58" s="1716"/>
      <c r="AL58" s="1721"/>
      <c r="AM58" s="1721"/>
      <c r="AN58" s="1721"/>
      <c r="AO58" s="1721"/>
      <c r="AP58" s="1721"/>
      <c r="AQ58" s="1721"/>
      <c r="AR58" s="1721"/>
      <c r="AS58" s="1721"/>
      <c r="AT58" s="1721"/>
      <c r="AU58" s="1721"/>
      <c r="AV58" s="1721"/>
      <c r="AW58" s="1721"/>
      <c r="AX58" s="279"/>
      <c r="AY58" s="279"/>
      <c r="AZ58" s="279"/>
      <c r="BA58" s="279"/>
      <c r="BB58" s="279"/>
      <c r="BC58" s="279"/>
      <c r="BD58" s="279"/>
      <c r="BE58" s="279"/>
      <c r="BF58" s="279"/>
      <c r="BG58" s="325"/>
      <c r="BI58" s="499"/>
      <c r="BJ58" s="278"/>
      <c r="BK58" s="278"/>
      <c r="BL58" s="278"/>
      <c r="BM58" s="278"/>
      <c r="BN58" s="278"/>
      <c r="BO58" s="500"/>
    </row>
    <row r="59" spans="2:67" ht="28.5" customHeight="1" x14ac:dyDescent="0.2">
      <c r="B59" s="324"/>
      <c r="C59" s="278"/>
      <c r="D59" s="1716" t="s">
        <v>814</v>
      </c>
      <c r="E59" s="1716"/>
      <c r="F59" s="1716"/>
      <c r="G59" s="1716"/>
      <c r="H59" s="1716"/>
      <c r="I59" s="1716"/>
      <c r="J59" s="1716"/>
      <c r="K59" s="1716"/>
      <c r="L59" s="1716"/>
      <c r="M59" s="1716"/>
      <c r="N59" s="1716"/>
      <c r="O59" s="1716"/>
      <c r="P59" s="1716"/>
      <c r="Q59" s="1716"/>
      <c r="R59" s="1716"/>
      <c r="S59" s="1716"/>
      <c r="T59" s="1716"/>
      <c r="U59" s="1716"/>
      <c r="V59" s="1716"/>
      <c r="W59" s="1716"/>
      <c r="X59" s="1716"/>
      <c r="Y59" s="1716"/>
      <c r="Z59" s="1716"/>
      <c r="AA59" s="1716"/>
      <c r="AB59" s="1716"/>
      <c r="AC59" s="1716"/>
      <c r="AD59" s="1716"/>
      <c r="AE59" s="1716"/>
      <c r="AF59" s="1716"/>
      <c r="AG59" s="1716"/>
      <c r="AH59" s="1716"/>
      <c r="AI59" s="1716"/>
      <c r="AJ59" s="1716"/>
      <c r="AK59" s="1716"/>
      <c r="AL59" s="1733" t="s">
        <v>163</v>
      </c>
      <c r="AM59" s="1733"/>
      <c r="AN59" s="1733"/>
      <c r="AO59" s="1733"/>
      <c r="AP59" s="1733"/>
      <c r="AQ59" s="1733"/>
      <c r="AR59" s="1733"/>
      <c r="AS59" s="1733"/>
      <c r="AT59" s="1733"/>
      <c r="AU59" s="1733"/>
      <c r="AV59" s="1733"/>
      <c r="AW59" s="1733"/>
      <c r="AX59" s="279"/>
      <c r="AY59" s="279"/>
      <c r="AZ59" s="279"/>
      <c r="BA59" s="279"/>
      <c r="BB59" s="279"/>
      <c r="BC59" s="279"/>
      <c r="BD59" s="279"/>
      <c r="BE59" s="279"/>
      <c r="BF59" s="279"/>
      <c r="BG59" s="325"/>
      <c r="BI59" s="499"/>
      <c r="BJ59" s="278"/>
      <c r="BK59" s="278"/>
      <c r="BL59" s="278"/>
      <c r="BM59" s="278"/>
      <c r="BN59" s="278"/>
      <c r="BO59" s="500"/>
    </row>
    <row r="60" spans="2:67" x14ac:dyDescent="0.2">
      <c r="B60" s="324"/>
      <c r="C60" s="278"/>
      <c r="D60" s="1717" t="s">
        <v>823</v>
      </c>
      <c r="E60" s="1717"/>
      <c r="F60" s="1717"/>
      <c r="G60" s="1717"/>
      <c r="H60" s="1717"/>
      <c r="I60" s="1717"/>
      <c r="J60" s="1717"/>
      <c r="K60" s="1717"/>
      <c r="L60" s="1717"/>
      <c r="M60" s="1717"/>
      <c r="N60" s="1717"/>
      <c r="O60" s="1717"/>
      <c r="P60" s="1717"/>
      <c r="Q60" s="1717"/>
      <c r="R60" s="1717"/>
      <c r="S60" s="1717"/>
      <c r="T60" s="1717"/>
      <c r="U60" s="1717"/>
      <c r="V60" s="1717"/>
      <c r="W60" s="1717"/>
      <c r="X60" s="1717"/>
      <c r="Y60" s="1717"/>
      <c r="Z60" s="1717"/>
      <c r="AA60" s="1717"/>
      <c r="AB60" s="1717"/>
      <c r="AC60" s="1717"/>
      <c r="AD60" s="1717"/>
      <c r="AE60" s="1717"/>
      <c r="AF60" s="1717"/>
      <c r="AG60" s="1717"/>
      <c r="AH60" s="1717"/>
      <c r="AI60" s="1717"/>
      <c r="AJ60" s="1717"/>
      <c r="AK60" s="1717"/>
      <c r="AL60" s="1741" t="s">
        <v>163</v>
      </c>
      <c r="AM60" s="1741"/>
      <c r="AN60" s="1741"/>
      <c r="AO60" s="1741"/>
      <c r="AP60" s="1741"/>
      <c r="AQ60" s="1741"/>
      <c r="AR60" s="1741"/>
      <c r="AS60" s="1741"/>
      <c r="AT60" s="1741"/>
      <c r="AU60" s="1741"/>
      <c r="AV60" s="1741"/>
      <c r="AW60" s="1741"/>
      <c r="AX60" s="279"/>
      <c r="AY60" s="279"/>
      <c r="AZ60" s="279"/>
      <c r="BA60" s="279"/>
      <c r="BB60" s="279"/>
      <c r="BC60" s="279"/>
      <c r="BD60" s="279"/>
      <c r="BE60" s="279"/>
      <c r="BF60" s="279"/>
      <c r="BG60" s="325"/>
      <c r="BI60" s="499"/>
      <c r="BJ60" s="278"/>
      <c r="BK60" s="278"/>
      <c r="BL60" s="278"/>
      <c r="BM60" s="278"/>
      <c r="BN60" s="278"/>
      <c r="BO60" s="500"/>
    </row>
    <row r="61" spans="2:67" ht="28.5" customHeight="1" x14ac:dyDescent="0.2">
      <c r="B61" s="324"/>
      <c r="C61" s="278"/>
      <c r="D61" s="1716" t="s">
        <v>824</v>
      </c>
      <c r="E61" s="1716"/>
      <c r="F61" s="1716"/>
      <c r="G61" s="1716"/>
      <c r="H61" s="1716"/>
      <c r="I61" s="1716"/>
      <c r="J61" s="1716"/>
      <c r="K61" s="1716"/>
      <c r="L61" s="1716"/>
      <c r="M61" s="1716"/>
      <c r="N61" s="1716"/>
      <c r="O61" s="1716"/>
      <c r="P61" s="1716"/>
      <c r="Q61" s="1716"/>
      <c r="R61" s="1716"/>
      <c r="S61" s="1716"/>
      <c r="T61" s="1716"/>
      <c r="U61" s="1716"/>
      <c r="V61" s="1716"/>
      <c r="W61" s="1716"/>
      <c r="X61" s="1716"/>
      <c r="Y61" s="1716"/>
      <c r="Z61" s="1716"/>
      <c r="AA61" s="1716"/>
      <c r="AB61" s="1716"/>
      <c r="AC61" s="1716"/>
      <c r="AD61" s="1716"/>
      <c r="AE61" s="1716"/>
      <c r="AF61" s="1716"/>
      <c r="AG61" s="1716"/>
      <c r="AH61" s="1716"/>
      <c r="AI61" s="1716"/>
      <c r="AJ61" s="1716"/>
      <c r="AK61" s="1716"/>
      <c r="AL61" s="1732"/>
      <c r="AM61" s="1732"/>
      <c r="AN61" s="1732"/>
      <c r="AO61" s="1732"/>
      <c r="AP61" s="1732"/>
      <c r="AQ61" s="1732"/>
      <c r="AR61" s="1732"/>
      <c r="AS61" s="1732"/>
      <c r="AT61" s="1732"/>
      <c r="AU61" s="1732"/>
      <c r="AV61" s="1732"/>
      <c r="AW61" s="1732"/>
      <c r="AX61" s="279"/>
      <c r="AY61" s="279"/>
      <c r="AZ61" s="279"/>
      <c r="BA61" s="279"/>
      <c r="BB61" s="279"/>
      <c r="BC61" s="279"/>
      <c r="BD61" s="279"/>
      <c r="BE61" s="279"/>
      <c r="BF61" s="279"/>
      <c r="BG61" s="325"/>
      <c r="BI61" s="499"/>
      <c r="BJ61" s="278"/>
      <c r="BK61" s="278"/>
      <c r="BL61" s="278"/>
      <c r="BM61" s="278"/>
      <c r="BN61" s="278"/>
      <c r="BO61" s="500"/>
    </row>
    <row r="62" spans="2:67" ht="21" customHeight="1" x14ac:dyDescent="0.2">
      <c r="B62" s="324"/>
      <c r="C62" s="278"/>
      <c r="D62" s="1717" t="s">
        <v>825</v>
      </c>
      <c r="E62" s="1717"/>
      <c r="F62" s="1717"/>
      <c r="G62" s="1717"/>
      <c r="H62" s="1717"/>
      <c r="I62" s="1717"/>
      <c r="J62" s="1717"/>
      <c r="K62" s="1717"/>
      <c r="L62" s="1717"/>
      <c r="M62" s="1717"/>
      <c r="N62" s="1717"/>
      <c r="O62" s="1717"/>
      <c r="P62" s="1717"/>
      <c r="Q62" s="1717"/>
      <c r="R62" s="1717"/>
      <c r="S62" s="1717"/>
      <c r="T62" s="1717"/>
      <c r="U62" s="1717"/>
      <c r="V62" s="1717"/>
      <c r="W62" s="1717"/>
      <c r="X62" s="1717"/>
      <c r="Y62" s="1717"/>
      <c r="Z62" s="1717"/>
      <c r="AA62" s="1717"/>
      <c r="AB62" s="1717"/>
      <c r="AC62" s="1717"/>
      <c r="AD62" s="1717"/>
      <c r="AE62" s="1717"/>
      <c r="AF62" s="1717"/>
      <c r="AG62" s="1717"/>
      <c r="AH62" s="1717"/>
      <c r="AI62" s="1717"/>
      <c r="AJ62" s="1717"/>
      <c r="AK62" s="1717"/>
      <c r="AL62" s="1720" t="s">
        <v>163</v>
      </c>
      <c r="AM62" s="1720"/>
      <c r="AN62" s="1720"/>
      <c r="AO62" s="1720"/>
      <c r="AP62" s="1720"/>
      <c r="AQ62" s="1720"/>
      <c r="AR62" s="1720"/>
      <c r="AS62" s="1720"/>
      <c r="AT62" s="1720"/>
      <c r="AU62" s="1720"/>
      <c r="AV62" s="1720"/>
      <c r="AW62" s="1720"/>
      <c r="AX62" s="279"/>
      <c r="AY62" s="279"/>
      <c r="AZ62" s="279"/>
      <c r="BA62" s="279"/>
      <c r="BB62" s="279"/>
      <c r="BC62" s="279"/>
      <c r="BD62" s="279"/>
      <c r="BE62" s="279"/>
      <c r="BF62" s="279"/>
      <c r="BG62" s="325"/>
      <c r="BI62" s="499"/>
      <c r="BJ62" s="278"/>
      <c r="BK62" s="278"/>
      <c r="BL62" s="278"/>
      <c r="BM62" s="278"/>
      <c r="BN62" s="278"/>
      <c r="BO62" s="500"/>
    </row>
    <row r="63" spans="2:67" ht="85.5" customHeight="1" x14ac:dyDescent="0.2">
      <c r="B63" s="324"/>
      <c r="C63" s="278"/>
      <c r="D63" s="1716" t="s">
        <v>826</v>
      </c>
      <c r="E63" s="1716"/>
      <c r="F63" s="1716"/>
      <c r="G63" s="1716"/>
      <c r="H63" s="1716"/>
      <c r="I63" s="1716"/>
      <c r="J63" s="1716"/>
      <c r="K63" s="1716"/>
      <c r="L63" s="1716"/>
      <c r="M63" s="1716"/>
      <c r="N63" s="1716"/>
      <c r="O63" s="1716"/>
      <c r="P63" s="1716"/>
      <c r="Q63" s="1716"/>
      <c r="R63" s="1716"/>
      <c r="S63" s="1716"/>
      <c r="T63" s="1716"/>
      <c r="U63" s="1716"/>
      <c r="V63" s="1716"/>
      <c r="W63" s="1716"/>
      <c r="X63" s="1716"/>
      <c r="Y63" s="1716"/>
      <c r="Z63" s="1716"/>
      <c r="AA63" s="1716"/>
      <c r="AB63" s="1716"/>
      <c r="AC63" s="1716"/>
      <c r="AD63" s="1716"/>
      <c r="AE63" s="1716"/>
      <c r="AF63" s="1716"/>
      <c r="AG63" s="1716"/>
      <c r="AH63" s="1716"/>
      <c r="AI63" s="1716"/>
      <c r="AJ63" s="1716"/>
      <c r="AK63" s="1716"/>
      <c r="AL63" s="1721" t="s">
        <v>828</v>
      </c>
      <c r="AM63" s="1721"/>
      <c r="AN63" s="1721"/>
      <c r="AO63" s="1721"/>
      <c r="AP63" s="1721"/>
      <c r="AQ63" s="1721"/>
      <c r="AR63" s="1721"/>
      <c r="AS63" s="1721"/>
      <c r="AT63" s="1721"/>
      <c r="AU63" s="1721"/>
      <c r="AV63" s="1721"/>
      <c r="AW63" s="1721"/>
      <c r="AX63" s="279"/>
      <c r="AY63" s="279"/>
      <c r="AZ63" s="279"/>
      <c r="BA63" s="279"/>
      <c r="BB63" s="279"/>
      <c r="BC63" s="279"/>
      <c r="BD63" s="279"/>
      <c r="BE63" s="279"/>
      <c r="BF63" s="279"/>
      <c r="BG63" s="325"/>
      <c r="BI63" s="499"/>
      <c r="BJ63" s="278"/>
      <c r="BK63" s="278"/>
      <c r="BL63" s="278"/>
      <c r="BM63" s="278"/>
      <c r="BN63" s="278"/>
      <c r="BO63" s="500"/>
    </row>
    <row r="64" spans="2:67" x14ac:dyDescent="0.2">
      <c r="B64" s="324"/>
      <c r="C64" s="278"/>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280"/>
      <c r="AM64" s="280"/>
      <c r="AN64" s="280"/>
      <c r="AO64" s="280"/>
      <c r="AP64" s="280"/>
      <c r="AQ64" s="280"/>
      <c r="AR64" s="280"/>
      <c r="AS64" s="280"/>
      <c r="AT64" s="280"/>
      <c r="AU64" s="280"/>
      <c r="AV64" s="280"/>
      <c r="AW64" s="280"/>
      <c r="AX64" s="279"/>
      <c r="AY64" s="279"/>
      <c r="AZ64" s="279"/>
      <c r="BA64" s="279"/>
      <c r="BB64" s="279"/>
      <c r="BC64" s="279"/>
      <c r="BD64" s="279"/>
      <c r="BE64" s="279"/>
      <c r="BF64" s="279"/>
      <c r="BG64" s="325"/>
      <c r="BI64" s="499"/>
      <c r="BJ64" s="278"/>
      <c r="BK64" s="278"/>
      <c r="BL64" s="278"/>
      <c r="BM64" s="278"/>
      <c r="BN64" s="278"/>
      <c r="BO64" s="500"/>
    </row>
    <row r="65" spans="2:67" ht="42.75" customHeight="1" x14ac:dyDescent="0.2">
      <c r="B65" s="324"/>
      <c r="C65" s="278"/>
      <c r="D65" s="1716" t="s">
        <v>829</v>
      </c>
      <c r="E65" s="1716"/>
      <c r="F65" s="1716"/>
      <c r="G65" s="1716"/>
      <c r="H65" s="1716"/>
      <c r="I65" s="1716"/>
      <c r="J65" s="1716"/>
      <c r="K65" s="1716"/>
      <c r="L65" s="1716"/>
      <c r="M65" s="1716"/>
      <c r="N65" s="1716"/>
      <c r="O65" s="1716"/>
      <c r="P65" s="1716"/>
      <c r="Q65" s="1716"/>
      <c r="R65" s="1716"/>
      <c r="S65" s="1716"/>
      <c r="T65" s="1716"/>
      <c r="U65" s="1716"/>
      <c r="V65" s="1716"/>
      <c r="W65" s="1716"/>
      <c r="X65" s="1716"/>
      <c r="Y65" s="1716"/>
      <c r="Z65" s="1716"/>
      <c r="AA65" s="1716"/>
      <c r="AB65" s="1716"/>
      <c r="AC65" s="1716"/>
      <c r="AD65" s="1716"/>
      <c r="AE65" s="1716"/>
      <c r="AF65" s="1716"/>
      <c r="AG65" s="1716"/>
      <c r="AH65" s="1716"/>
      <c r="AI65" s="1716"/>
      <c r="AJ65" s="1716"/>
      <c r="AK65" s="1716"/>
      <c r="AL65" s="1722"/>
      <c r="AM65" s="1722"/>
      <c r="AN65" s="1722"/>
      <c r="AO65" s="1722"/>
      <c r="AP65" s="1722"/>
      <c r="AQ65" s="1722"/>
      <c r="AR65" s="1722"/>
      <c r="AS65" s="1722"/>
      <c r="AT65" s="1722"/>
      <c r="AU65" s="1722"/>
      <c r="AV65" s="1722"/>
      <c r="AW65" s="1722"/>
      <c r="AX65" s="279"/>
      <c r="AY65" s="279"/>
      <c r="AZ65" s="279"/>
      <c r="BA65" s="279"/>
      <c r="BB65" s="279"/>
      <c r="BC65" s="279"/>
      <c r="BD65" s="279"/>
      <c r="BE65" s="279"/>
      <c r="BF65" s="279"/>
      <c r="BG65" s="325"/>
      <c r="BI65" s="499"/>
      <c r="BJ65" s="278"/>
      <c r="BK65" s="278"/>
      <c r="BL65" s="278"/>
      <c r="BM65" s="278"/>
      <c r="BN65" s="278"/>
      <c r="BO65" s="500"/>
    </row>
    <row r="66" spans="2:67" x14ac:dyDescent="0.2">
      <c r="B66" s="324"/>
      <c r="C66" s="278"/>
      <c r="D66" s="1717" t="s">
        <v>830</v>
      </c>
      <c r="E66" s="1717"/>
      <c r="F66" s="1717"/>
      <c r="G66" s="1717"/>
      <c r="H66" s="1717"/>
      <c r="I66" s="1717"/>
      <c r="J66" s="1717"/>
      <c r="K66" s="1717"/>
      <c r="L66" s="1717"/>
      <c r="M66" s="1717"/>
      <c r="N66" s="1717"/>
      <c r="O66" s="1717"/>
      <c r="P66" s="1717"/>
      <c r="Q66" s="1717"/>
      <c r="R66" s="1717"/>
      <c r="S66" s="1717"/>
      <c r="T66" s="1717"/>
      <c r="U66" s="1717"/>
      <c r="V66" s="1717"/>
      <c r="W66" s="1717"/>
      <c r="X66" s="1717"/>
      <c r="Y66" s="1717"/>
      <c r="Z66" s="1717"/>
      <c r="AA66" s="1717"/>
      <c r="AB66" s="1717"/>
      <c r="AC66" s="1717"/>
      <c r="AD66" s="1717"/>
      <c r="AE66" s="1717"/>
      <c r="AF66" s="1717"/>
      <c r="AG66" s="1717"/>
      <c r="AH66" s="1717"/>
      <c r="AI66" s="1717"/>
      <c r="AJ66" s="1717"/>
      <c r="AK66" s="1717"/>
      <c r="AL66" s="1722"/>
      <c r="AM66" s="1722"/>
      <c r="AN66" s="1722"/>
      <c r="AO66" s="1722"/>
      <c r="AP66" s="1722"/>
      <c r="AQ66" s="1722"/>
      <c r="AR66" s="1722"/>
      <c r="AS66" s="1722"/>
      <c r="AT66" s="1722"/>
      <c r="AU66" s="1722"/>
      <c r="AV66" s="1722"/>
      <c r="AW66" s="1722"/>
      <c r="AX66" s="279"/>
      <c r="AY66" s="279"/>
      <c r="AZ66" s="279"/>
      <c r="BA66" s="279"/>
      <c r="BB66" s="279"/>
      <c r="BC66" s="279"/>
      <c r="BD66" s="279"/>
      <c r="BE66" s="279"/>
      <c r="BF66" s="279"/>
      <c r="BG66" s="325"/>
      <c r="BI66" s="499"/>
      <c r="BJ66" s="278"/>
      <c r="BK66" s="278"/>
      <c r="BL66" s="278"/>
      <c r="BM66" s="278"/>
      <c r="BN66" s="278"/>
      <c r="BO66" s="500"/>
    </row>
    <row r="67" spans="2:67" x14ac:dyDescent="0.2">
      <c r="B67" s="324"/>
      <c r="C67" s="278"/>
      <c r="D67" s="1717" t="s">
        <v>831</v>
      </c>
      <c r="E67" s="1717"/>
      <c r="F67" s="1717"/>
      <c r="G67" s="1717"/>
      <c r="H67" s="1717"/>
      <c r="I67" s="1717"/>
      <c r="J67" s="1717"/>
      <c r="K67" s="1717"/>
      <c r="L67" s="1717"/>
      <c r="M67" s="1717"/>
      <c r="N67" s="1717"/>
      <c r="O67" s="1717"/>
      <c r="P67" s="1717"/>
      <c r="Q67" s="1717"/>
      <c r="R67" s="1717"/>
      <c r="S67" s="1717"/>
      <c r="T67" s="1717"/>
      <c r="U67" s="1717"/>
      <c r="V67" s="1717"/>
      <c r="W67" s="1717"/>
      <c r="X67" s="1717"/>
      <c r="Y67" s="1717"/>
      <c r="Z67" s="1717"/>
      <c r="AA67" s="1717"/>
      <c r="AB67" s="1717"/>
      <c r="AC67" s="1717"/>
      <c r="AD67" s="1717"/>
      <c r="AE67" s="1717"/>
      <c r="AF67" s="1717"/>
      <c r="AG67" s="1717"/>
      <c r="AH67" s="1717"/>
      <c r="AI67" s="1717"/>
      <c r="AJ67" s="1717"/>
      <c r="AK67" s="1717"/>
      <c r="AL67" s="1722"/>
      <c r="AM67" s="1722"/>
      <c r="AN67" s="1722"/>
      <c r="AO67" s="1722"/>
      <c r="AP67" s="1722"/>
      <c r="AQ67" s="1722"/>
      <c r="AR67" s="1722"/>
      <c r="AS67" s="1722"/>
      <c r="AT67" s="1722"/>
      <c r="AU67" s="1722"/>
      <c r="AV67" s="1722"/>
      <c r="AW67" s="1722"/>
      <c r="AX67" s="279"/>
      <c r="AY67" s="279"/>
      <c r="AZ67" s="279"/>
      <c r="BA67" s="279"/>
      <c r="BB67" s="279"/>
      <c r="BC67" s="279"/>
      <c r="BD67" s="279"/>
      <c r="BE67" s="279"/>
      <c r="BF67" s="279"/>
      <c r="BG67" s="325"/>
      <c r="BI67" s="499"/>
      <c r="BJ67" s="278"/>
      <c r="BK67" s="278"/>
      <c r="BL67" s="278"/>
      <c r="BM67" s="278"/>
      <c r="BN67" s="278"/>
      <c r="BO67" s="500"/>
    </row>
    <row r="68" spans="2:67" x14ac:dyDescent="0.2">
      <c r="B68" s="324"/>
      <c r="C68" s="278"/>
      <c r="D68" s="1717" t="s">
        <v>832</v>
      </c>
      <c r="E68" s="1717"/>
      <c r="F68" s="1717"/>
      <c r="G68" s="1717"/>
      <c r="H68" s="1717"/>
      <c r="I68" s="1717"/>
      <c r="J68" s="1717"/>
      <c r="K68" s="1717"/>
      <c r="L68" s="1717"/>
      <c r="M68" s="1717"/>
      <c r="N68" s="1717"/>
      <c r="O68" s="1717"/>
      <c r="P68" s="1717"/>
      <c r="Q68" s="1717"/>
      <c r="R68" s="1717"/>
      <c r="S68" s="1717"/>
      <c r="T68" s="1717"/>
      <c r="U68" s="1717"/>
      <c r="V68" s="1717"/>
      <c r="W68" s="1717"/>
      <c r="X68" s="1717"/>
      <c r="Y68" s="1717"/>
      <c r="Z68" s="1717"/>
      <c r="AA68" s="1717"/>
      <c r="AB68" s="1717"/>
      <c r="AC68" s="1717"/>
      <c r="AD68" s="1717"/>
      <c r="AE68" s="1717"/>
      <c r="AF68" s="1717"/>
      <c r="AG68" s="1717"/>
      <c r="AH68" s="1717"/>
      <c r="AI68" s="1717"/>
      <c r="AJ68" s="1717"/>
      <c r="AK68" s="1717"/>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325"/>
      <c r="BI68" s="499"/>
      <c r="BJ68" s="278"/>
      <c r="BK68" s="278"/>
      <c r="BL68" s="278"/>
      <c r="BM68" s="278"/>
      <c r="BN68" s="278"/>
      <c r="BO68" s="500"/>
    </row>
    <row r="69" spans="2:67" x14ac:dyDescent="0.2">
      <c r="B69" s="324"/>
      <c r="C69" s="278"/>
      <c r="D69" s="1717" t="s">
        <v>833</v>
      </c>
      <c r="E69" s="1717"/>
      <c r="F69" s="1717"/>
      <c r="G69" s="1717"/>
      <c r="H69" s="1717"/>
      <c r="I69" s="1717"/>
      <c r="J69" s="1717"/>
      <c r="K69" s="1717"/>
      <c r="L69" s="1717"/>
      <c r="M69" s="1717"/>
      <c r="N69" s="1717"/>
      <c r="O69" s="1717"/>
      <c r="P69" s="1717"/>
      <c r="Q69" s="1717"/>
      <c r="R69" s="1717"/>
      <c r="S69" s="1717"/>
      <c r="T69" s="1717"/>
      <c r="U69" s="1717"/>
      <c r="V69" s="1717"/>
      <c r="W69" s="1717"/>
      <c r="X69" s="1717"/>
      <c r="Y69" s="1717"/>
      <c r="Z69" s="1717"/>
      <c r="AA69" s="1717"/>
      <c r="AB69" s="1717"/>
      <c r="AC69" s="1717"/>
      <c r="AD69" s="1717"/>
      <c r="AE69" s="1717"/>
      <c r="AF69" s="1717"/>
      <c r="AG69" s="1717"/>
      <c r="AH69" s="1717"/>
      <c r="AI69" s="1717"/>
      <c r="AJ69" s="1717"/>
      <c r="AK69" s="1717"/>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325"/>
      <c r="BI69" s="499"/>
      <c r="BJ69" s="278"/>
      <c r="BK69" s="278"/>
      <c r="BL69" s="278"/>
      <c r="BM69" s="278"/>
      <c r="BN69" s="278"/>
      <c r="BO69" s="500"/>
    </row>
    <row r="70" spans="2:67" x14ac:dyDescent="0.2">
      <c r="B70" s="324"/>
      <c r="C70" s="278"/>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325"/>
      <c r="BI70" s="499"/>
      <c r="BJ70" s="278"/>
      <c r="BK70" s="278"/>
      <c r="BL70" s="278"/>
      <c r="BM70" s="278"/>
      <c r="BN70" s="278"/>
      <c r="BO70" s="500"/>
    </row>
    <row r="71" spans="2:67" x14ac:dyDescent="0.2">
      <c r="B71" s="324"/>
      <c r="C71" s="278"/>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c r="BD71" s="279"/>
      <c r="BE71" s="279"/>
      <c r="BF71" s="279"/>
      <c r="BG71" s="325"/>
      <c r="BI71" s="499"/>
      <c r="BJ71" s="278"/>
      <c r="BK71" s="278"/>
      <c r="BL71" s="278"/>
      <c r="BM71" s="278"/>
      <c r="BN71" s="278"/>
      <c r="BO71" s="500"/>
    </row>
    <row r="72" spans="2:67" ht="74.25" customHeight="1" x14ac:dyDescent="0.2">
      <c r="B72" s="324"/>
      <c r="C72" s="278"/>
      <c r="D72" s="1716" t="s">
        <v>834</v>
      </c>
      <c r="E72" s="1716"/>
      <c r="F72" s="1716"/>
      <c r="G72" s="1716"/>
      <c r="H72" s="1716"/>
      <c r="I72" s="1716"/>
      <c r="J72" s="1716"/>
      <c r="K72" s="1716"/>
      <c r="L72" s="1716"/>
      <c r="M72" s="1716"/>
      <c r="N72" s="1716"/>
      <c r="O72" s="1716"/>
      <c r="P72" s="1716"/>
      <c r="Q72" s="1716"/>
      <c r="R72" s="1716"/>
      <c r="S72" s="1716"/>
      <c r="T72" s="1716"/>
      <c r="U72" s="1716"/>
      <c r="V72" s="1716"/>
      <c r="W72" s="1716"/>
      <c r="X72" s="1716"/>
      <c r="Y72" s="1716"/>
      <c r="Z72" s="1716"/>
      <c r="AA72" s="1716"/>
      <c r="AB72" s="1716"/>
      <c r="AC72" s="1716"/>
      <c r="AD72" s="1716"/>
      <c r="AE72" s="1716"/>
      <c r="AF72" s="1716"/>
      <c r="AG72" s="1716"/>
      <c r="AH72" s="1716"/>
      <c r="AI72" s="1716"/>
      <c r="AJ72" s="1716"/>
      <c r="AK72" s="1716"/>
      <c r="AL72" s="1716"/>
      <c r="AM72" s="1716"/>
      <c r="AN72" s="1716"/>
      <c r="AO72" s="1716"/>
      <c r="AP72" s="1716"/>
      <c r="AQ72" s="1716"/>
      <c r="AR72" s="1716"/>
      <c r="AS72" s="1716"/>
      <c r="AT72" s="1716"/>
      <c r="AU72" s="1716"/>
      <c r="AV72" s="1716"/>
      <c r="AW72" s="279"/>
      <c r="AX72" s="279"/>
      <c r="AY72" s="279"/>
      <c r="AZ72" s="279"/>
      <c r="BA72" s="279"/>
      <c r="BB72" s="279"/>
      <c r="BC72" s="279"/>
      <c r="BD72" s="279"/>
      <c r="BE72" s="279"/>
      <c r="BF72" s="279"/>
      <c r="BG72" s="325"/>
      <c r="BI72" s="499"/>
      <c r="BJ72" s="278"/>
      <c r="BK72" s="278"/>
      <c r="BL72" s="278"/>
      <c r="BM72" s="278"/>
      <c r="BN72" s="278"/>
      <c r="BO72" s="500"/>
    </row>
    <row r="73" spans="2:67" x14ac:dyDescent="0.2">
      <c r="B73" s="326"/>
      <c r="C73" s="327"/>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9"/>
      <c r="BI73" s="499"/>
      <c r="BJ73" s="278"/>
      <c r="BK73" s="278"/>
      <c r="BL73" s="278"/>
      <c r="BM73" s="278"/>
      <c r="BN73" s="278"/>
      <c r="BO73" s="500"/>
    </row>
    <row r="74" spans="2:67" x14ac:dyDescent="0.2">
      <c r="B74" s="1723" t="s">
        <v>835</v>
      </c>
      <c r="C74" s="1724"/>
      <c r="D74" s="1724"/>
      <c r="E74" s="1724"/>
      <c r="F74" s="1724"/>
      <c r="G74" s="1724"/>
      <c r="H74" s="1724"/>
      <c r="I74" s="1724"/>
      <c r="J74" s="1724"/>
      <c r="K74" s="1724"/>
      <c r="L74" s="1724"/>
      <c r="M74" s="1724"/>
      <c r="N74" s="1724"/>
      <c r="O74" s="1724"/>
      <c r="P74" s="1724"/>
      <c r="Q74" s="1724"/>
      <c r="R74" s="1724"/>
      <c r="S74" s="1724"/>
      <c r="T74" s="1724"/>
      <c r="U74" s="1724"/>
      <c r="V74" s="1724"/>
      <c r="W74" s="1724"/>
      <c r="X74" s="1724"/>
      <c r="Y74" s="1724"/>
      <c r="Z74" s="1724"/>
      <c r="AA74" s="1724"/>
      <c r="AB74" s="1724"/>
      <c r="AC74" s="1724"/>
      <c r="AD74" s="1724"/>
      <c r="AE74" s="1724"/>
      <c r="AF74" s="1724"/>
      <c r="AG74" s="1724"/>
      <c r="AH74" s="1724"/>
      <c r="AI74" s="1724"/>
      <c r="AJ74" s="1724"/>
      <c r="AK74" s="1724"/>
      <c r="AL74" s="1724"/>
      <c r="AM74" s="1724"/>
      <c r="AN74" s="1724"/>
      <c r="AO74" s="1724"/>
      <c r="AP74" s="1724"/>
      <c r="AQ74" s="1724"/>
      <c r="AR74" s="1724"/>
      <c r="AS74" s="1724"/>
      <c r="AT74" s="1724"/>
      <c r="AU74" s="1724"/>
      <c r="AV74" s="1724"/>
      <c r="AW74" s="1724"/>
      <c r="AX74" s="1724"/>
      <c r="AY74" s="1724"/>
      <c r="AZ74" s="1724"/>
      <c r="BA74" s="1724"/>
      <c r="BB74" s="1724"/>
      <c r="BC74" s="1724"/>
      <c r="BD74" s="1724"/>
      <c r="BE74" s="1724"/>
      <c r="BF74" s="1724"/>
      <c r="BG74" s="1725"/>
      <c r="BI74" s="499"/>
      <c r="BJ74" s="278"/>
      <c r="BK74" s="278"/>
      <c r="BL74" s="278"/>
      <c r="BM74" s="278"/>
      <c r="BN74" s="278"/>
      <c r="BO74" s="500"/>
    </row>
    <row r="75" spans="2:67" x14ac:dyDescent="0.2">
      <c r="B75" s="322"/>
      <c r="C75" s="331"/>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23"/>
      <c r="BI75" s="499"/>
      <c r="BJ75" s="278"/>
      <c r="BK75" s="278"/>
      <c r="BL75" s="278"/>
      <c r="BM75" s="278"/>
      <c r="BN75" s="278"/>
      <c r="BO75" s="500"/>
    </row>
    <row r="76" spans="2:67" x14ac:dyDescent="0.2">
      <c r="B76" s="324"/>
      <c r="C76" s="1728" t="s">
        <v>1012</v>
      </c>
      <c r="D76" s="1728"/>
      <c r="E76" s="1728"/>
      <c r="F76" s="1728"/>
      <c r="G76" s="1728"/>
      <c r="H76" s="1728"/>
      <c r="I76" s="1728"/>
      <c r="J76" s="1728"/>
      <c r="K76" s="1728"/>
      <c r="L76" s="1728"/>
      <c r="M76" s="1728"/>
      <c r="N76" s="1728"/>
      <c r="O76" s="1728"/>
      <c r="P76" s="1728"/>
      <c r="Q76" s="1728"/>
      <c r="R76" s="1728"/>
      <c r="S76" s="1728"/>
      <c r="T76" s="1728"/>
      <c r="U76" s="1728"/>
      <c r="V76" s="1728"/>
      <c r="W76" s="1728"/>
      <c r="X76" s="1728"/>
      <c r="Y76" s="1728"/>
      <c r="Z76" s="1728"/>
      <c r="AA76" s="1728"/>
      <c r="AB76" s="1728"/>
      <c r="AC76" s="1728"/>
      <c r="AD76" s="1728"/>
      <c r="AE76" s="1728"/>
      <c r="AF76" s="1728"/>
      <c r="AG76" s="1728"/>
      <c r="AH76" s="1728"/>
      <c r="AI76" s="1728"/>
      <c r="AJ76" s="1728"/>
      <c r="AK76" s="1728"/>
      <c r="AL76" s="1728"/>
      <c r="AM76" s="1728"/>
      <c r="AN76" s="1728"/>
      <c r="AO76" s="1728"/>
      <c r="AP76" s="1728"/>
      <c r="AQ76" s="1728"/>
      <c r="AR76" s="1728"/>
      <c r="AS76" s="1728"/>
      <c r="AT76" s="1728"/>
      <c r="AU76" s="1728"/>
      <c r="AV76" s="1728"/>
      <c r="AW76" s="1728"/>
      <c r="AX76" s="1728"/>
      <c r="AY76" s="1728"/>
      <c r="AZ76" s="1728"/>
      <c r="BA76" s="1728"/>
      <c r="BB76" s="1728"/>
      <c r="BC76" s="1728"/>
      <c r="BD76" s="1728"/>
      <c r="BE76" s="1728"/>
      <c r="BF76" s="1728"/>
      <c r="BG76" s="325"/>
      <c r="BI76" s="499"/>
      <c r="BJ76" s="278"/>
      <c r="BK76" s="278"/>
      <c r="BL76" s="278"/>
      <c r="BM76" s="278"/>
      <c r="BN76" s="278"/>
      <c r="BO76" s="500"/>
    </row>
    <row r="77" spans="2:67" x14ac:dyDescent="0.2">
      <c r="B77" s="324"/>
      <c r="C77" s="1729" t="s">
        <v>1015</v>
      </c>
      <c r="D77" s="1729"/>
      <c r="E77" s="1729"/>
      <c r="F77" s="1729"/>
      <c r="G77" s="1729"/>
      <c r="H77" s="1729"/>
      <c r="I77" s="1729"/>
      <c r="J77" s="1729"/>
      <c r="K77" s="1729"/>
      <c r="L77" s="1729"/>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729"/>
      <c r="AI77" s="1729"/>
      <c r="AJ77" s="1729"/>
      <c r="AK77" s="1729"/>
      <c r="AL77" s="1729"/>
      <c r="AM77" s="1729"/>
      <c r="AN77" s="1729"/>
      <c r="AO77" s="1729"/>
      <c r="AP77" s="1729"/>
      <c r="AQ77" s="1729"/>
      <c r="AR77" s="1729"/>
      <c r="AS77" s="1729"/>
      <c r="AT77" s="1729"/>
      <c r="AU77" s="1729"/>
      <c r="AV77" s="1729"/>
      <c r="AW77" s="1729"/>
      <c r="AX77" s="1729"/>
      <c r="AY77" s="1729"/>
      <c r="AZ77" s="1729"/>
      <c r="BA77" s="1729"/>
      <c r="BB77" s="1729"/>
      <c r="BC77" s="1729"/>
      <c r="BD77" s="1729"/>
      <c r="BE77" s="1729"/>
      <c r="BF77" s="1729"/>
      <c r="BG77" s="325"/>
      <c r="BI77" s="499"/>
      <c r="BJ77" s="278"/>
      <c r="BK77" s="278"/>
      <c r="BL77" s="278"/>
      <c r="BM77" s="278"/>
      <c r="BN77" s="278"/>
      <c r="BO77" s="500"/>
    </row>
    <row r="78" spans="2:67" x14ac:dyDescent="0.2">
      <c r="B78" s="324"/>
      <c r="C78" s="1729" t="s">
        <v>1016</v>
      </c>
      <c r="D78" s="1729"/>
      <c r="E78" s="1729"/>
      <c r="F78" s="1729"/>
      <c r="G78" s="1729"/>
      <c r="H78" s="1729"/>
      <c r="I78" s="1729"/>
      <c r="J78" s="1729"/>
      <c r="K78" s="1729"/>
      <c r="L78" s="1729"/>
      <c r="M78" s="1729"/>
      <c r="N78" s="1729"/>
      <c r="O78" s="1729"/>
      <c r="P78" s="1729"/>
      <c r="Q78" s="1729"/>
      <c r="R78" s="1729"/>
      <c r="S78" s="1729"/>
      <c r="T78" s="1729"/>
      <c r="U78" s="1729"/>
      <c r="V78" s="1729"/>
      <c r="W78" s="1729"/>
      <c r="X78" s="1729"/>
      <c r="Y78" s="1729"/>
      <c r="Z78" s="1729"/>
      <c r="AA78" s="1729"/>
      <c r="AB78" s="1729"/>
      <c r="AC78" s="1729"/>
      <c r="AD78" s="1729"/>
      <c r="AE78" s="1729"/>
      <c r="AF78" s="1729"/>
      <c r="AG78" s="1729"/>
      <c r="AH78" s="1729"/>
      <c r="AI78" s="1729"/>
      <c r="AJ78" s="1729"/>
      <c r="AK78" s="1729"/>
      <c r="AL78" s="1729"/>
      <c r="AM78" s="1729"/>
      <c r="AN78" s="1729"/>
      <c r="AO78" s="1729"/>
      <c r="AP78" s="1729"/>
      <c r="AQ78" s="1729"/>
      <c r="AR78" s="1729"/>
      <c r="AS78" s="1729"/>
      <c r="AT78" s="1729"/>
      <c r="AU78" s="1729"/>
      <c r="AV78" s="1729"/>
      <c r="AW78" s="1729"/>
      <c r="AX78" s="1729"/>
      <c r="AY78" s="1729"/>
      <c r="AZ78" s="1729"/>
      <c r="BA78" s="1729"/>
      <c r="BB78" s="1729"/>
      <c r="BC78" s="1729"/>
      <c r="BD78" s="1729"/>
      <c r="BE78" s="1729"/>
      <c r="BF78" s="1729"/>
      <c r="BG78" s="325"/>
      <c r="BI78" s="499"/>
      <c r="BJ78" s="278"/>
      <c r="BK78" s="278"/>
      <c r="BL78" s="278"/>
      <c r="BM78" s="278"/>
      <c r="BN78" s="278"/>
      <c r="BO78" s="500"/>
    </row>
    <row r="79" spans="2:67" x14ac:dyDescent="0.2">
      <c r="B79" s="324"/>
      <c r="C79" s="1730" t="s">
        <v>1017</v>
      </c>
      <c r="D79" s="1730"/>
      <c r="E79" s="1730"/>
      <c r="F79" s="1730"/>
      <c r="G79" s="1730"/>
      <c r="H79" s="1730"/>
      <c r="I79" s="1730"/>
      <c r="J79" s="1730"/>
      <c r="K79" s="1730"/>
      <c r="L79" s="1730"/>
      <c r="M79" s="1730"/>
      <c r="N79" s="1730"/>
      <c r="O79" s="1730"/>
      <c r="P79" s="1730"/>
      <c r="Q79" s="1730"/>
      <c r="R79" s="1730"/>
      <c r="S79" s="1730"/>
      <c r="T79" s="1730"/>
      <c r="U79" s="1730"/>
      <c r="V79" s="1730"/>
      <c r="W79" s="1730"/>
      <c r="X79" s="1730"/>
      <c r="Y79" s="1730"/>
      <c r="Z79" s="1730"/>
      <c r="AA79" s="1730"/>
      <c r="AB79" s="1730"/>
      <c r="AC79" s="1730"/>
      <c r="AD79" s="1730"/>
      <c r="AE79" s="1730"/>
      <c r="AF79" s="1730"/>
      <c r="AG79" s="1730"/>
      <c r="AH79" s="1730"/>
      <c r="AI79" s="1730"/>
      <c r="AJ79" s="1730"/>
      <c r="AK79" s="1730"/>
      <c r="AL79" s="1730"/>
      <c r="AM79" s="1730"/>
      <c r="AN79" s="1730"/>
      <c r="AO79" s="1730"/>
      <c r="AP79" s="1730"/>
      <c r="AQ79" s="1730"/>
      <c r="AR79" s="1730"/>
      <c r="AS79" s="1730"/>
      <c r="AT79" s="1730"/>
      <c r="AU79" s="1730"/>
      <c r="AV79" s="1730"/>
      <c r="AW79" s="1730"/>
      <c r="AX79" s="1730"/>
      <c r="AY79" s="1730"/>
      <c r="AZ79" s="1730"/>
      <c r="BA79" s="1730"/>
      <c r="BB79" s="1730"/>
      <c r="BC79" s="1730"/>
      <c r="BD79" s="1730"/>
      <c r="BE79" s="1730"/>
      <c r="BF79" s="1730"/>
      <c r="BG79" s="325"/>
      <c r="BI79" s="499"/>
      <c r="BJ79" s="278"/>
      <c r="BK79" s="278"/>
      <c r="BL79" s="278"/>
      <c r="BM79" s="278"/>
      <c r="BN79" s="278"/>
      <c r="BO79" s="500"/>
    </row>
    <row r="80" spans="2:67" x14ac:dyDescent="0.2">
      <c r="B80" s="324"/>
      <c r="C80" s="1718" t="s">
        <v>1018</v>
      </c>
      <c r="D80" s="1718"/>
      <c r="E80" s="1718"/>
      <c r="F80" s="1718"/>
      <c r="G80" s="1718"/>
      <c r="H80" s="1718"/>
      <c r="I80" s="1718"/>
      <c r="J80" s="1718"/>
      <c r="K80" s="1718"/>
      <c r="L80" s="1718"/>
      <c r="M80" s="1718"/>
      <c r="N80" s="1718"/>
      <c r="O80" s="1718"/>
      <c r="P80" s="1718"/>
      <c r="Q80" s="1718"/>
      <c r="R80" s="1718"/>
      <c r="S80" s="1718"/>
      <c r="T80" s="1718"/>
      <c r="U80" s="1718"/>
      <c r="V80" s="1718"/>
      <c r="W80" s="1718"/>
      <c r="X80" s="1718"/>
      <c r="Y80" s="1718"/>
      <c r="Z80" s="1718"/>
      <c r="AA80" s="1718"/>
      <c r="AB80" s="1718"/>
      <c r="AC80" s="1718"/>
      <c r="AD80" s="1718"/>
      <c r="AE80" s="1718"/>
      <c r="AF80" s="1718"/>
      <c r="AG80" s="1718"/>
      <c r="AH80" s="1718"/>
      <c r="AI80" s="1718"/>
      <c r="AJ80" s="1718"/>
      <c r="AK80" s="1718"/>
      <c r="AL80" s="1718"/>
      <c r="AM80" s="1718"/>
      <c r="AN80" s="1718"/>
      <c r="AO80" s="1718"/>
      <c r="AP80" s="1718"/>
      <c r="AQ80" s="1718"/>
      <c r="AR80" s="1718"/>
      <c r="AS80" s="1718"/>
      <c r="AT80" s="1718"/>
      <c r="AU80" s="1718"/>
      <c r="AV80" s="1718"/>
      <c r="AW80" s="1718"/>
      <c r="AX80" s="1718"/>
      <c r="AY80" s="1718"/>
      <c r="AZ80" s="1718"/>
      <c r="BA80" s="1718"/>
      <c r="BB80" s="1718"/>
      <c r="BC80" s="1718"/>
      <c r="BD80" s="1718"/>
      <c r="BE80" s="1718"/>
      <c r="BF80" s="1718"/>
      <c r="BG80" s="325"/>
      <c r="BI80" s="499"/>
      <c r="BJ80" s="278"/>
      <c r="BK80" s="278"/>
      <c r="BL80" s="278"/>
      <c r="BM80" s="278"/>
      <c r="BN80" s="278"/>
      <c r="BO80" s="500"/>
    </row>
    <row r="81" spans="2:67" x14ac:dyDescent="0.2">
      <c r="B81" s="324"/>
      <c r="C81" s="1730" t="s">
        <v>1019</v>
      </c>
      <c r="D81" s="1718"/>
      <c r="E81" s="1718"/>
      <c r="F81" s="1718"/>
      <c r="G81" s="1718"/>
      <c r="H81" s="1718"/>
      <c r="I81" s="1718"/>
      <c r="J81" s="1718"/>
      <c r="K81" s="1718"/>
      <c r="L81" s="1718"/>
      <c r="M81" s="1718"/>
      <c r="N81" s="1718"/>
      <c r="O81" s="1718"/>
      <c r="P81" s="1718"/>
      <c r="Q81" s="1718"/>
      <c r="R81" s="1718"/>
      <c r="S81" s="1718"/>
      <c r="T81" s="1718"/>
      <c r="U81" s="1718"/>
      <c r="V81" s="1718"/>
      <c r="W81" s="1718"/>
      <c r="X81" s="1718"/>
      <c r="Y81" s="1718"/>
      <c r="Z81" s="1718"/>
      <c r="AA81" s="1718"/>
      <c r="AB81" s="1718"/>
      <c r="AC81" s="1718"/>
      <c r="AD81" s="1718"/>
      <c r="AE81" s="1718"/>
      <c r="AF81" s="1718"/>
      <c r="AG81" s="1718"/>
      <c r="AH81" s="1718"/>
      <c r="AI81" s="1718"/>
      <c r="AJ81" s="1718"/>
      <c r="AK81" s="1718"/>
      <c r="AL81" s="1718"/>
      <c r="AM81" s="1718"/>
      <c r="AN81" s="1718"/>
      <c r="AO81" s="1718"/>
      <c r="AP81" s="1718"/>
      <c r="AQ81" s="1718"/>
      <c r="AR81" s="1718"/>
      <c r="AS81" s="1718"/>
      <c r="AT81" s="1718"/>
      <c r="AU81" s="1718"/>
      <c r="AV81" s="1718"/>
      <c r="AW81" s="1718"/>
      <c r="AX81" s="1718"/>
      <c r="AY81" s="1718"/>
      <c r="AZ81" s="1718"/>
      <c r="BA81" s="1718"/>
      <c r="BB81" s="1718"/>
      <c r="BC81" s="1718"/>
      <c r="BD81" s="1718"/>
      <c r="BE81" s="1718"/>
      <c r="BF81" s="1718"/>
      <c r="BG81" s="325"/>
      <c r="BI81" s="499"/>
      <c r="BJ81" s="278"/>
      <c r="BK81" s="278"/>
      <c r="BL81" s="278"/>
      <c r="BM81" s="278"/>
      <c r="BN81" s="278"/>
      <c r="BO81" s="500"/>
    </row>
    <row r="82" spans="2:67" x14ac:dyDescent="0.2">
      <c r="B82" s="324"/>
      <c r="C82" s="1718" t="s">
        <v>1013</v>
      </c>
      <c r="D82" s="1718"/>
      <c r="E82" s="1718"/>
      <c r="F82" s="1718"/>
      <c r="G82" s="1718"/>
      <c r="H82" s="1718"/>
      <c r="I82" s="1718"/>
      <c r="J82" s="1718"/>
      <c r="K82" s="1718"/>
      <c r="L82" s="1718"/>
      <c r="M82" s="1718"/>
      <c r="N82" s="1718"/>
      <c r="O82" s="1718"/>
      <c r="P82" s="1718"/>
      <c r="Q82" s="1718"/>
      <c r="R82" s="1718"/>
      <c r="S82" s="1718"/>
      <c r="T82" s="1718"/>
      <c r="U82" s="1718"/>
      <c r="V82" s="1718"/>
      <c r="W82" s="1718"/>
      <c r="X82" s="1718"/>
      <c r="Y82" s="1718"/>
      <c r="Z82" s="1718"/>
      <c r="AA82" s="1718"/>
      <c r="AB82" s="1718"/>
      <c r="AC82" s="1718"/>
      <c r="AD82" s="1718"/>
      <c r="AE82" s="1718"/>
      <c r="AF82" s="1718"/>
      <c r="AG82" s="1718"/>
      <c r="AH82" s="1718"/>
      <c r="AI82" s="1718"/>
      <c r="AJ82" s="1718"/>
      <c r="AK82" s="1718"/>
      <c r="AL82" s="1718"/>
      <c r="AM82" s="1718"/>
      <c r="AN82" s="1718"/>
      <c r="AO82" s="1718"/>
      <c r="AP82" s="1718"/>
      <c r="AQ82" s="1718"/>
      <c r="AR82" s="1718"/>
      <c r="AS82" s="1718"/>
      <c r="AT82" s="1718"/>
      <c r="AU82" s="1718"/>
      <c r="AV82" s="1718"/>
      <c r="AW82" s="1718"/>
      <c r="AX82" s="1718"/>
      <c r="AY82" s="1718"/>
      <c r="AZ82" s="1718"/>
      <c r="BA82" s="1718"/>
      <c r="BB82" s="1718"/>
      <c r="BC82" s="1718"/>
      <c r="BD82" s="1718"/>
      <c r="BE82" s="1718"/>
      <c r="BF82" s="1718"/>
      <c r="BG82" s="325"/>
      <c r="BI82" s="499"/>
      <c r="BJ82" s="278"/>
      <c r="BK82" s="278"/>
      <c r="BL82" s="278"/>
      <c r="BM82" s="278"/>
      <c r="BN82" s="278"/>
      <c r="BO82" s="500"/>
    </row>
    <row r="83" spans="2:67" x14ac:dyDescent="0.2">
      <c r="B83" s="324"/>
      <c r="C83" s="1718" t="s">
        <v>1014</v>
      </c>
      <c r="D83" s="1718"/>
      <c r="E83" s="1718"/>
      <c r="F83" s="1718"/>
      <c r="G83" s="1718"/>
      <c r="H83" s="1718"/>
      <c r="I83" s="1718"/>
      <c r="J83" s="1718"/>
      <c r="K83" s="1718"/>
      <c r="L83" s="1718"/>
      <c r="M83" s="1718"/>
      <c r="N83" s="1718"/>
      <c r="O83" s="1718"/>
      <c r="P83" s="1718"/>
      <c r="Q83" s="1718"/>
      <c r="R83" s="1718"/>
      <c r="S83" s="1718"/>
      <c r="T83" s="1718"/>
      <c r="U83" s="1718"/>
      <c r="V83" s="1718"/>
      <c r="W83" s="1718"/>
      <c r="X83" s="1718"/>
      <c r="Y83" s="1718"/>
      <c r="Z83" s="1718"/>
      <c r="AA83" s="1718"/>
      <c r="AB83" s="1718"/>
      <c r="AC83" s="1718"/>
      <c r="AD83" s="1718"/>
      <c r="AE83" s="1718"/>
      <c r="AF83" s="1718"/>
      <c r="AG83" s="1718"/>
      <c r="AH83" s="1718"/>
      <c r="AI83" s="1718"/>
      <c r="AJ83" s="1718"/>
      <c r="AK83" s="1718"/>
      <c r="AL83" s="1718"/>
      <c r="AM83" s="1718"/>
      <c r="AN83" s="1718"/>
      <c r="AO83" s="1718"/>
      <c r="AP83" s="1718"/>
      <c r="AQ83" s="1718"/>
      <c r="AR83" s="1718"/>
      <c r="AS83" s="1718"/>
      <c r="AT83" s="1718"/>
      <c r="AU83" s="1718"/>
      <c r="AV83" s="1718"/>
      <c r="AW83" s="1718"/>
      <c r="AX83" s="1718"/>
      <c r="AY83" s="1718"/>
      <c r="AZ83" s="1718"/>
      <c r="BA83" s="1718"/>
      <c r="BB83" s="1718"/>
      <c r="BC83" s="1718"/>
      <c r="BD83" s="1718"/>
      <c r="BE83" s="1718"/>
      <c r="BF83" s="1718"/>
      <c r="BG83" s="325"/>
      <c r="BI83" s="499"/>
      <c r="BJ83" s="278"/>
      <c r="BK83" s="278"/>
      <c r="BL83" s="278"/>
      <c r="BM83" s="278"/>
      <c r="BN83" s="278"/>
      <c r="BO83" s="500"/>
    </row>
    <row r="84" spans="2:67" x14ac:dyDescent="0.2">
      <c r="B84" s="324"/>
      <c r="C84" s="1718" t="s">
        <v>1020</v>
      </c>
      <c r="D84" s="1718"/>
      <c r="E84" s="1718"/>
      <c r="F84" s="1718"/>
      <c r="G84" s="1718"/>
      <c r="H84" s="1718"/>
      <c r="I84" s="1718"/>
      <c r="J84" s="1718"/>
      <c r="K84" s="1718"/>
      <c r="L84" s="1718"/>
      <c r="M84" s="1718"/>
      <c r="N84" s="1718"/>
      <c r="O84" s="1718"/>
      <c r="P84" s="1718"/>
      <c r="Q84" s="1718"/>
      <c r="R84" s="1718"/>
      <c r="S84" s="1718"/>
      <c r="T84" s="1718"/>
      <c r="U84" s="1718"/>
      <c r="V84" s="1718"/>
      <c r="W84" s="1718"/>
      <c r="X84" s="1718"/>
      <c r="Y84" s="1718"/>
      <c r="Z84" s="1718"/>
      <c r="AA84" s="1718"/>
      <c r="AB84" s="1718"/>
      <c r="AC84" s="1718"/>
      <c r="AD84" s="1718"/>
      <c r="AE84" s="1718"/>
      <c r="AF84" s="1718"/>
      <c r="AG84" s="1718"/>
      <c r="AH84" s="1718"/>
      <c r="AI84" s="1718"/>
      <c r="AJ84" s="1718"/>
      <c r="AK84" s="1718"/>
      <c r="AL84" s="1718"/>
      <c r="AM84" s="1718"/>
      <c r="AN84" s="1718"/>
      <c r="AO84" s="1718"/>
      <c r="AP84" s="1718"/>
      <c r="AQ84" s="1718"/>
      <c r="AR84" s="1718"/>
      <c r="AS84" s="1718"/>
      <c r="AT84" s="1718"/>
      <c r="AU84" s="1718"/>
      <c r="AV84" s="1718"/>
      <c r="AW84" s="1718"/>
      <c r="AX84" s="1718"/>
      <c r="AY84" s="1718"/>
      <c r="AZ84" s="1718"/>
      <c r="BA84" s="1718"/>
      <c r="BB84" s="1718"/>
      <c r="BC84" s="1718"/>
      <c r="BD84" s="1718"/>
      <c r="BE84" s="1718"/>
      <c r="BF84" s="1718"/>
      <c r="BG84" s="325"/>
      <c r="BI84" s="499"/>
      <c r="BJ84" s="278"/>
      <c r="BK84" s="278"/>
      <c r="BL84" s="278"/>
      <c r="BM84" s="278"/>
      <c r="BN84" s="278"/>
      <c r="BO84" s="500"/>
    </row>
    <row r="85" spans="2:67" x14ac:dyDescent="0.2">
      <c r="B85" s="324"/>
      <c r="C85" s="1718" t="s">
        <v>1021</v>
      </c>
      <c r="D85" s="1718"/>
      <c r="E85" s="1718"/>
      <c r="F85" s="1718"/>
      <c r="G85" s="1718"/>
      <c r="H85" s="1718"/>
      <c r="I85" s="1718"/>
      <c r="J85" s="1718"/>
      <c r="K85" s="1718"/>
      <c r="L85" s="1718"/>
      <c r="M85" s="1718"/>
      <c r="N85" s="1718"/>
      <c r="O85" s="1718"/>
      <c r="P85" s="1718"/>
      <c r="Q85" s="1718"/>
      <c r="R85" s="1718"/>
      <c r="S85" s="1718"/>
      <c r="T85" s="1718"/>
      <c r="U85" s="1718"/>
      <c r="V85" s="1718"/>
      <c r="W85" s="1718"/>
      <c r="X85" s="1718"/>
      <c r="Y85" s="1718"/>
      <c r="Z85" s="1718"/>
      <c r="AA85" s="1718"/>
      <c r="AB85" s="1718"/>
      <c r="AC85" s="1718"/>
      <c r="AD85" s="1718"/>
      <c r="AE85" s="1718"/>
      <c r="AF85" s="1718"/>
      <c r="AG85" s="1718"/>
      <c r="AH85" s="1718"/>
      <c r="AI85" s="1718"/>
      <c r="AJ85" s="1718"/>
      <c r="AK85" s="1718"/>
      <c r="AL85" s="1718"/>
      <c r="AM85" s="1718"/>
      <c r="AN85" s="1718"/>
      <c r="AO85" s="1718"/>
      <c r="AP85" s="1718"/>
      <c r="AQ85" s="1718"/>
      <c r="AR85" s="1718"/>
      <c r="AS85" s="1718"/>
      <c r="AT85" s="1718"/>
      <c r="AU85" s="1718"/>
      <c r="AV85" s="1718"/>
      <c r="AW85" s="1718"/>
      <c r="AX85" s="1718"/>
      <c r="AY85" s="1718"/>
      <c r="AZ85" s="1718"/>
      <c r="BA85" s="1718"/>
      <c r="BB85" s="1718"/>
      <c r="BC85" s="1718"/>
      <c r="BD85" s="1718"/>
      <c r="BE85" s="1718"/>
      <c r="BF85" s="1718"/>
      <c r="BG85" s="325"/>
      <c r="BI85" s="499"/>
      <c r="BJ85" s="278"/>
      <c r="BK85" s="278"/>
      <c r="BL85" s="278"/>
      <c r="BM85" s="278"/>
      <c r="BN85" s="278"/>
      <c r="BO85" s="500"/>
    </row>
    <row r="86" spans="2:67" x14ac:dyDescent="0.2">
      <c r="B86" s="324"/>
      <c r="C86" s="1719" t="s">
        <v>607</v>
      </c>
      <c r="D86" s="1719"/>
      <c r="E86" s="1719"/>
      <c r="F86" s="1719"/>
      <c r="G86" s="1719"/>
      <c r="H86" s="1719"/>
      <c r="I86" s="1719"/>
      <c r="J86" s="1719"/>
      <c r="K86" s="1719"/>
      <c r="L86" s="1719"/>
      <c r="M86" s="1719"/>
      <c r="N86" s="1719"/>
      <c r="O86" s="1719"/>
      <c r="P86" s="1719"/>
      <c r="Q86" s="1719"/>
      <c r="R86" s="1719"/>
      <c r="S86" s="1719"/>
      <c r="T86" s="1719"/>
      <c r="U86" s="1719"/>
      <c r="V86" s="1719"/>
      <c r="W86" s="1719"/>
      <c r="X86" s="1719"/>
      <c r="Y86" s="1719"/>
      <c r="Z86" s="1719"/>
      <c r="AA86" s="1719"/>
      <c r="AB86" s="1719"/>
      <c r="AC86" s="1719"/>
      <c r="AD86" s="1719"/>
      <c r="AE86" s="1719"/>
      <c r="AF86" s="1719"/>
      <c r="AG86" s="1719"/>
      <c r="AH86" s="1719"/>
      <c r="AI86" s="1719"/>
      <c r="AJ86" s="1719"/>
      <c r="AK86" s="1719"/>
      <c r="AL86" s="1719"/>
      <c r="AM86" s="1719"/>
      <c r="AN86" s="1719"/>
      <c r="AO86" s="1719"/>
      <c r="AP86" s="1719"/>
      <c r="AQ86" s="1719"/>
      <c r="AR86" s="1719"/>
      <c r="AS86" s="1719"/>
      <c r="AT86" s="1719"/>
      <c r="AU86" s="1719"/>
      <c r="AV86" s="1719"/>
      <c r="AW86" s="1719"/>
      <c r="AX86" s="1719"/>
      <c r="AY86" s="1719"/>
      <c r="AZ86" s="1719"/>
      <c r="BA86" s="1719"/>
      <c r="BB86" s="1719"/>
      <c r="BC86" s="1719"/>
      <c r="BD86" s="1719"/>
      <c r="BE86" s="1719"/>
      <c r="BF86" s="1719"/>
      <c r="BG86" s="325"/>
      <c r="BI86" s="499"/>
      <c r="BJ86" s="278"/>
      <c r="BK86" s="278"/>
      <c r="BL86" s="278"/>
      <c r="BM86" s="278"/>
      <c r="BN86" s="278"/>
      <c r="BO86" s="500"/>
    </row>
    <row r="87" spans="2:67" x14ac:dyDescent="0.2">
      <c r="B87" s="324"/>
      <c r="C87" s="1718" t="s">
        <v>1022</v>
      </c>
      <c r="D87" s="1718"/>
      <c r="E87" s="1718"/>
      <c r="F87" s="1718"/>
      <c r="G87" s="1718"/>
      <c r="H87" s="1718"/>
      <c r="I87" s="1718"/>
      <c r="J87" s="1718"/>
      <c r="K87" s="1718"/>
      <c r="L87" s="1718"/>
      <c r="M87" s="1718"/>
      <c r="N87" s="1718"/>
      <c r="O87" s="1718"/>
      <c r="P87" s="1718"/>
      <c r="Q87" s="1718"/>
      <c r="R87" s="1718"/>
      <c r="S87" s="1718"/>
      <c r="T87" s="1718"/>
      <c r="U87" s="1718"/>
      <c r="V87" s="1718"/>
      <c r="W87" s="1718"/>
      <c r="X87" s="1718"/>
      <c r="Y87" s="1718"/>
      <c r="Z87" s="1718"/>
      <c r="AA87" s="1718"/>
      <c r="AB87" s="1718"/>
      <c r="AC87" s="1718"/>
      <c r="AD87" s="1718"/>
      <c r="AE87" s="1718"/>
      <c r="AF87" s="1718"/>
      <c r="AG87" s="1718"/>
      <c r="AH87" s="1718"/>
      <c r="AI87" s="1718"/>
      <c r="AJ87" s="1718"/>
      <c r="AK87" s="1718"/>
      <c r="AL87" s="1718"/>
      <c r="AM87" s="1718"/>
      <c r="AN87" s="1718"/>
      <c r="AO87" s="1718"/>
      <c r="AP87" s="1718"/>
      <c r="AQ87" s="1718"/>
      <c r="AR87" s="1718"/>
      <c r="AS87" s="1718"/>
      <c r="AT87" s="1718"/>
      <c r="AU87" s="1718"/>
      <c r="AV87" s="1718"/>
      <c r="AW87" s="1718"/>
      <c r="AX87" s="1718"/>
      <c r="AY87" s="1718"/>
      <c r="AZ87" s="1718"/>
      <c r="BA87" s="1718"/>
      <c r="BB87" s="1718"/>
      <c r="BC87" s="1718"/>
      <c r="BD87" s="1718"/>
      <c r="BE87" s="1718"/>
      <c r="BF87" s="1718"/>
      <c r="BG87" s="325"/>
      <c r="BI87" s="499"/>
      <c r="BJ87" s="278"/>
      <c r="BK87" s="278"/>
      <c r="BL87" s="278"/>
      <c r="BM87" s="278"/>
      <c r="BN87" s="278"/>
      <c r="BO87" s="500"/>
    </row>
    <row r="88" spans="2:67" x14ac:dyDescent="0.2">
      <c r="B88" s="324"/>
      <c r="C88" s="1726" t="s">
        <v>836</v>
      </c>
      <c r="D88" s="1726"/>
      <c r="E88" s="1726"/>
      <c r="F88" s="1726"/>
      <c r="G88" s="1726"/>
      <c r="H88" s="1726"/>
      <c r="I88" s="1726"/>
      <c r="J88" s="1726"/>
      <c r="K88" s="1726"/>
      <c r="L88" s="1726"/>
      <c r="M88" s="1726"/>
      <c r="N88" s="1726"/>
      <c r="O88" s="1726"/>
      <c r="P88" s="1726"/>
      <c r="Q88" s="1726"/>
      <c r="R88" s="1726"/>
      <c r="S88" s="1726"/>
      <c r="T88" s="1726"/>
      <c r="U88" s="1726"/>
      <c r="V88" s="1726"/>
      <c r="W88" s="1726"/>
      <c r="X88" s="1726"/>
      <c r="Y88" s="1726"/>
      <c r="Z88" s="1726"/>
      <c r="AA88" s="1726"/>
      <c r="AB88" s="1726"/>
      <c r="AC88" s="1726"/>
      <c r="AD88" s="1726"/>
      <c r="AE88" s="1726"/>
      <c r="AF88" s="1726"/>
      <c r="AG88" s="1726"/>
      <c r="AH88" s="1726"/>
      <c r="AI88" s="1726"/>
      <c r="AJ88" s="1726"/>
      <c r="AK88" s="1726"/>
      <c r="AL88" s="1726"/>
      <c r="AM88" s="1726"/>
      <c r="AN88" s="1726"/>
      <c r="AO88" s="1726"/>
      <c r="AP88" s="1726"/>
      <c r="AQ88" s="1726"/>
      <c r="AR88" s="1726"/>
      <c r="AS88" s="1726"/>
      <c r="AT88" s="1726"/>
      <c r="AU88" s="1726"/>
      <c r="AV88" s="1726"/>
      <c r="AW88" s="1726"/>
      <c r="AX88" s="1726"/>
      <c r="AY88" s="1726"/>
      <c r="AZ88" s="1726"/>
      <c r="BA88" s="1726"/>
      <c r="BB88" s="1726"/>
      <c r="BC88" s="1726"/>
      <c r="BD88" s="1726"/>
      <c r="BE88" s="1726"/>
      <c r="BF88" s="1726"/>
      <c r="BG88" s="325"/>
      <c r="BI88" s="499"/>
      <c r="BJ88" s="278"/>
      <c r="BK88" s="278"/>
      <c r="BL88" s="278"/>
      <c r="BM88" s="278"/>
      <c r="BN88" s="278"/>
      <c r="BO88" s="500"/>
    </row>
    <row r="89" spans="2:67" ht="15" customHeight="1" x14ac:dyDescent="0.2">
      <c r="B89" s="324"/>
      <c r="C89" s="1727" t="s">
        <v>837</v>
      </c>
      <c r="D89" s="1727"/>
      <c r="E89" s="1727"/>
      <c r="F89" s="1727"/>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c r="AC89" s="1727"/>
      <c r="AD89" s="1727"/>
      <c r="AE89" s="1727"/>
      <c r="AF89" s="1727"/>
      <c r="AG89" s="1727"/>
      <c r="AH89" s="1727"/>
      <c r="AI89" s="1727"/>
      <c r="AJ89" s="1727"/>
      <c r="AK89" s="1727"/>
      <c r="AL89" s="1727"/>
      <c r="AM89" s="1727"/>
      <c r="AN89" s="1727"/>
      <c r="AO89" s="1727"/>
      <c r="AP89" s="1727"/>
      <c r="AQ89" s="1727"/>
      <c r="AR89" s="1727"/>
      <c r="AS89" s="1727"/>
      <c r="AT89" s="1727"/>
      <c r="AU89" s="1727"/>
      <c r="AV89" s="1727"/>
      <c r="AW89" s="1727"/>
      <c r="AX89" s="1727"/>
      <c r="AY89" s="1727"/>
      <c r="AZ89" s="1727"/>
      <c r="BA89" s="1727"/>
      <c r="BB89" s="1727"/>
      <c r="BC89" s="1727"/>
      <c r="BD89" s="1727"/>
      <c r="BE89" s="1727"/>
      <c r="BF89" s="1727"/>
      <c r="BG89" s="325"/>
      <c r="BI89" s="499"/>
      <c r="BJ89" s="278"/>
      <c r="BK89" s="278"/>
      <c r="BL89" s="278"/>
      <c r="BM89" s="278"/>
      <c r="BN89" s="278"/>
      <c r="BO89" s="500"/>
    </row>
    <row r="90" spans="2:67" x14ac:dyDescent="0.2">
      <c r="B90" s="324"/>
      <c r="C90" s="1727"/>
      <c r="D90" s="1727"/>
      <c r="E90" s="1727"/>
      <c r="F90" s="1727"/>
      <c r="G90" s="1727"/>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727"/>
      <c r="AD90" s="1727"/>
      <c r="AE90" s="1727"/>
      <c r="AF90" s="1727"/>
      <c r="AG90" s="1727"/>
      <c r="AH90" s="1727"/>
      <c r="AI90" s="1727"/>
      <c r="AJ90" s="1727"/>
      <c r="AK90" s="1727"/>
      <c r="AL90" s="1727"/>
      <c r="AM90" s="1727"/>
      <c r="AN90" s="1727"/>
      <c r="AO90" s="1727"/>
      <c r="AP90" s="1727"/>
      <c r="AQ90" s="1727"/>
      <c r="AR90" s="1727"/>
      <c r="AS90" s="1727"/>
      <c r="AT90" s="1727"/>
      <c r="AU90" s="1727"/>
      <c r="AV90" s="1727"/>
      <c r="AW90" s="1727"/>
      <c r="AX90" s="1727"/>
      <c r="AY90" s="1727"/>
      <c r="AZ90" s="1727"/>
      <c r="BA90" s="1727"/>
      <c r="BB90" s="1727"/>
      <c r="BC90" s="1727"/>
      <c r="BD90" s="1727"/>
      <c r="BE90" s="1727"/>
      <c r="BF90" s="1727"/>
      <c r="BG90" s="325"/>
      <c r="BI90" s="499"/>
      <c r="BJ90" s="278"/>
      <c r="BK90" s="278"/>
      <c r="BL90" s="278"/>
      <c r="BM90" s="278"/>
      <c r="BN90" s="278"/>
      <c r="BO90" s="500"/>
    </row>
    <row r="91" spans="2:67" x14ac:dyDescent="0.2">
      <c r="B91" s="324"/>
      <c r="C91" s="1727"/>
      <c r="D91" s="1727"/>
      <c r="E91" s="1727"/>
      <c r="F91" s="1727"/>
      <c r="G91" s="1727"/>
      <c r="H91" s="1727"/>
      <c r="I91" s="1727"/>
      <c r="J91" s="1727"/>
      <c r="K91" s="1727"/>
      <c r="L91" s="1727"/>
      <c r="M91" s="1727"/>
      <c r="N91" s="1727"/>
      <c r="O91" s="1727"/>
      <c r="P91" s="1727"/>
      <c r="Q91" s="1727"/>
      <c r="R91" s="1727"/>
      <c r="S91" s="1727"/>
      <c r="T91" s="1727"/>
      <c r="U91" s="1727"/>
      <c r="V91" s="1727"/>
      <c r="W91" s="1727"/>
      <c r="X91" s="1727"/>
      <c r="Y91" s="1727"/>
      <c r="Z91" s="1727"/>
      <c r="AA91" s="1727"/>
      <c r="AB91" s="1727"/>
      <c r="AC91" s="1727"/>
      <c r="AD91" s="1727"/>
      <c r="AE91" s="1727"/>
      <c r="AF91" s="1727"/>
      <c r="AG91" s="1727"/>
      <c r="AH91" s="1727"/>
      <c r="AI91" s="1727"/>
      <c r="AJ91" s="1727"/>
      <c r="AK91" s="1727"/>
      <c r="AL91" s="1727"/>
      <c r="AM91" s="1727"/>
      <c r="AN91" s="1727"/>
      <c r="AO91" s="1727"/>
      <c r="AP91" s="1727"/>
      <c r="AQ91" s="1727"/>
      <c r="AR91" s="1727"/>
      <c r="AS91" s="1727"/>
      <c r="AT91" s="1727"/>
      <c r="AU91" s="1727"/>
      <c r="AV91" s="1727"/>
      <c r="AW91" s="1727"/>
      <c r="AX91" s="1727"/>
      <c r="AY91" s="1727"/>
      <c r="AZ91" s="1727"/>
      <c r="BA91" s="1727"/>
      <c r="BB91" s="1727"/>
      <c r="BC91" s="1727"/>
      <c r="BD91" s="1727"/>
      <c r="BE91" s="1727"/>
      <c r="BF91" s="1727"/>
      <c r="BG91" s="325"/>
      <c r="BI91" s="499"/>
      <c r="BJ91" s="278"/>
      <c r="BK91" s="278"/>
      <c r="BL91" s="278"/>
      <c r="BM91" s="278"/>
      <c r="BN91" s="278"/>
      <c r="BO91" s="500"/>
    </row>
    <row r="92" spans="2:67" x14ac:dyDescent="0.2">
      <c r="B92" s="324"/>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27"/>
      <c r="AV92" s="1727"/>
      <c r="AW92" s="1727"/>
      <c r="AX92" s="1727"/>
      <c r="AY92" s="1727"/>
      <c r="AZ92" s="1727"/>
      <c r="BA92" s="1727"/>
      <c r="BB92" s="1727"/>
      <c r="BC92" s="1727"/>
      <c r="BD92" s="1727"/>
      <c r="BE92" s="1727"/>
      <c r="BF92" s="1727"/>
      <c r="BG92" s="325"/>
      <c r="BI92" s="499"/>
      <c r="BJ92" s="278"/>
      <c r="BK92" s="278"/>
      <c r="BL92" s="278"/>
      <c r="BM92" s="278"/>
      <c r="BN92" s="278"/>
      <c r="BO92" s="500"/>
    </row>
    <row r="93" spans="2:67" x14ac:dyDescent="0.2">
      <c r="B93" s="324"/>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27"/>
      <c r="AV93" s="1727"/>
      <c r="AW93" s="1727"/>
      <c r="AX93" s="1727"/>
      <c r="AY93" s="1727"/>
      <c r="AZ93" s="1727"/>
      <c r="BA93" s="1727"/>
      <c r="BB93" s="1727"/>
      <c r="BC93" s="1727"/>
      <c r="BD93" s="1727"/>
      <c r="BE93" s="1727"/>
      <c r="BF93" s="1727"/>
      <c r="BG93" s="325"/>
      <c r="BI93" s="499"/>
      <c r="BJ93" s="278"/>
      <c r="BK93" s="278"/>
      <c r="BL93" s="278"/>
      <c r="BM93" s="278"/>
      <c r="BN93" s="278"/>
      <c r="BO93" s="500"/>
    </row>
    <row r="94" spans="2:67" x14ac:dyDescent="0.2">
      <c r="B94" s="324"/>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27"/>
      <c r="AV94" s="1727"/>
      <c r="AW94" s="1727"/>
      <c r="AX94" s="1727"/>
      <c r="AY94" s="1727"/>
      <c r="AZ94" s="1727"/>
      <c r="BA94" s="1727"/>
      <c r="BB94" s="1727"/>
      <c r="BC94" s="1727"/>
      <c r="BD94" s="1727"/>
      <c r="BE94" s="1727"/>
      <c r="BF94" s="1727"/>
      <c r="BG94" s="325"/>
      <c r="BI94" s="499"/>
      <c r="BJ94" s="278"/>
      <c r="BK94" s="278"/>
      <c r="BL94" s="278"/>
      <c r="BM94" s="278"/>
      <c r="BN94" s="278"/>
      <c r="BO94" s="500"/>
    </row>
    <row r="95" spans="2:67" x14ac:dyDescent="0.2">
      <c r="B95" s="324"/>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27"/>
      <c r="AV95" s="1727"/>
      <c r="AW95" s="1727"/>
      <c r="AX95" s="1727"/>
      <c r="AY95" s="1727"/>
      <c r="AZ95" s="1727"/>
      <c r="BA95" s="1727"/>
      <c r="BB95" s="1727"/>
      <c r="BC95" s="1727"/>
      <c r="BD95" s="1727"/>
      <c r="BE95" s="1727"/>
      <c r="BF95" s="1727"/>
      <c r="BG95" s="325"/>
      <c r="BI95" s="499"/>
      <c r="BJ95" s="278"/>
      <c r="BK95" s="278"/>
      <c r="BL95" s="278"/>
      <c r="BM95" s="278"/>
      <c r="BN95" s="278"/>
      <c r="BO95" s="500"/>
    </row>
    <row r="96" spans="2:67" x14ac:dyDescent="0.2">
      <c r="B96" s="324"/>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27"/>
      <c r="AV96" s="1727"/>
      <c r="AW96" s="1727"/>
      <c r="AX96" s="1727"/>
      <c r="AY96" s="1727"/>
      <c r="AZ96" s="1727"/>
      <c r="BA96" s="1727"/>
      <c r="BB96" s="1727"/>
      <c r="BC96" s="1727"/>
      <c r="BD96" s="1727"/>
      <c r="BE96" s="1727"/>
      <c r="BF96" s="1727"/>
      <c r="BG96" s="325"/>
      <c r="BI96" s="499"/>
      <c r="BJ96" s="278"/>
      <c r="BK96" s="278"/>
      <c r="BL96" s="278"/>
      <c r="BM96" s="278"/>
      <c r="BN96" s="278"/>
      <c r="BO96" s="500"/>
    </row>
    <row r="97" spans="2:67" x14ac:dyDescent="0.2">
      <c r="B97" s="324"/>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27"/>
      <c r="AV97" s="1727"/>
      <c r="AW97" s="1727"/>
      <c r="AX97" s="1727"/>
      <c r="AY97" s="1727"/>
      <c r="AZ97" s="1727"/>
      <c r="BA97" s="1727"/>
      <c r="BB97" s="1727"/>
      <c r="BC97" s="1727"/>
      <c r="BD97" s="1727"/>
      <c r="BE97" s="1727"/>
      <c r="BF97" s="1727"/>
      <c r="BG97" s="325"/>
      <c r="BI97" s="499"/>
      <c r="BJ97" s="278"/>
      <c r="BK97" s="278"/>
      <c r="BL97" s="278"/>
      <c r="BM97" s="278"/>
      <c r="BN97" s="278"/>
      <c r="BO97" s="500"/>
    </row>
    <row r="98" spans="2:67" x14ac:dyDescent="0.2">
      <c r="B98" s="324"/>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27"/>
      <c r="AV98" s="1727"/>
      <c r="AW98" s="1727"/>
      <c r="AX98" s="1727"/>
      <c r="AY98" s="1727"/>
      <c r="AZ98" s="1727"/>
      <c r="BA98" s="1727"/>
      <c r="BB98" s="1727"/>
      <c r="BC98" s="1727"/>
      <c r="BD98" s="1727"/>
      <c r="BE98" s="1727"/>
      <c r="BF98" s="1727"/>
      <c r="BG98" s="325"/>
      <c r="BI98" s="499"/>
      <c r="BJ98" s="278"/>
      <c r="BK98" s="278"/>
      <c r="BL98" s="278"/>
      <c r="BM98" s="278"/>
      <c r="BN98" s="278"/>
      <c r="BO98" s="500"/>
    </row>
    <row r="99" spans="2:67" x14ac:dyDescent="0.2">
      <c r="B99" s="324"/>
      <c r="C99" s="1727"/>
      <c r="D99" s="1727"/>
      <c r="E99" s="1727"/>
      <c r="F99" s="1727"/>
      <c r="G99" s="1727"/>
      <c r="H99" s="1727"/>
      <c r="I99" s="1727"/>
      <c r="J99" s="1727"/>
      <c r="K99" s="1727"/>
      <c r="L99" s="1727"/>
      <c r="M99" s="1727"/>
      <c r="N99" s="1727"/>
      <c r="O99" s="1727"/>
      <c r="P99" s="1727"/>
      <c r="Q99" s="1727"/>
      <c r="R99" s="1727"/>
      <c r="S99" s="1727"/>
      <c r="T99" s="1727"/>
      <c r="U99" s="1727"/>
      <c r="V99" s="1727"/>
      <c r="W99" s="1727"/>
      <c r="X99" s="1727"/>
      <c r="Y99" s="1727"/>
      <c r="Z99" s="1727"/>
      <c r="AA99" s="1727"/>
      <c r="AB99" s="1727"/>
      <c r="AC99" s="1727"/>
      <c r="AD99" s="1727"/>
      <c r="AE99" s="1727"/>
      <c r="AF99" s="1727"/>
      <c r="AG99" s="1727"/>
      <c r="AH99" s="1727"/>
      <c r="AI99" s="1727"/>
      <c r="AJ99" s="1727"/>
      <c r="AK99" s="1727"/>
      <c r="AL99" s="1727"/>
      <c r="AM99" s="1727"/>
      <c r="AN99" s="1727"/>
      <c r="AO99" s="1727"/>
      <c r="AP99" s="1727"/>
      <c r="AQ99" s="1727"/>
      <c r="AR99" s="1727"/>
      <c r="AS99" s="1727"/>
      <c r="AT99" s="1727"/>
      <c r="AU99" s="1727"/>
      <c r="AV99" s="1727"/>
      <c r="AW99" s="1727"/>
      <c r="AX99" s="1727"/>
      <c r="AY99" s="1727"/>
      <c r="AZ99" s="1727"/>
      <c r="BA99" s="1727"/>
      <c r="BB99" s="1727"/>
      <c r="BC99" s="1727"/>
      <c r="BD99" s="1727"/>
      <c r="BE99" s="1727"/>
      <c r="BF99" s="1727"/>
      <c r="BG99" s="325"/>
      <c r="BI99" s="499"/>
      <c r="BJ99" s="278"/>
      <c r="BK99" s="278"/>
      <c r="BL99" s="278"/>
      <c r="BM99" s="278"/>
      <c r="BN99" s="278"/>
      <c r="BO99" s="500"/>
    </row>
    <row r="100" spans="2:67" x14ac:dyDescent="0.2">
      <c r="B100" s="324"/>
      <c r="C100" s="1727"/>
      <c r="D100" s="1727"/>
      <c r="E100" s="1727"/>
      <c r="F100" s="1727"/>
      <c r="G100" s="1727"/>
      <c r="H100" s="1727"/>
      <c r="I100" s="1727"/>
      <c r="J100" s="1727"/>
      <c r="K100" s="1727"/>
      <c r="L100" s="1727"/>
      <c r="M100" s="1727"/>
      <c r="N100" s="1727"/>
      <c r="O100" s="1727"/>
      <c r="P100" s="1727"/>
      <c r="Q100" s="1727"/>
      <c r="R100" s="1727"/>
      <c r="S100" s="1727"/>
      <c r="T100" s="1727"/>
      <c r="U100" s="1727"/>
      <c r="V100" s="1727"/>
      <c r="W100" s="1727"/>
      <c r="X100" s="1727"/>
      <c r="Y100" s="1727"/>
      <c r="Z100" s="1727"/>
      <c r="AA100" s="1727"/>
      <c r="AB100" s="1727"/>
      <c r="AC100" s="1727"/>
      <c r="AD100" s="1727"/>
      <c r="AE100" s="1727"/>
      <c r="AF100" s="1727"/>
      <c r="AG100" s="1727"/>
      <c r="AH100" s="1727"/>
      <c r="AI100" s="1727"/>
      <c r="AJ100" s="1727"/>
      <c r="AK100" s="1727"/>
      <c r="AL100" s="1727"/>
      <c r="AM100" s="1727"/>
      <c r="AN100" s="1727"/>
      <c r="AO100" s="1727"/>
      <c r="AP100" s="1727"/>
      <c r="AQ100" s="1727"/>
      <c r="AR100" s="1727"/>
      <c r="AS100" s="1727"/>
      <c r="AT100" s="1727"/>
      <c r="AU100" s="1727"/>
      <c r="AV100" s="1727"/>
      <c r="AW100" s="1727"/>
      <c r="AX100" s="1727"/>
      <c r="AY100" s="1727"/>
      <c r="AZ100" s="1727"/>
      <c r="BA100" s="1727"/>
      <c r="BB100" s="1727"/>
      <c r="BC100" s="1727"/>
      <c r="BD100" s="1727"/>
      <c r="BE100" s="1727"/>
      <c r="BF100" s="1727"/>
      <c r="BG100" s="325"/>
      <c r="BI100" s="499"/>
      <c r="BJ100" s="278"/>
      <c r="BK100" s="278"/>
      <c r="BL100" s="278"/>
      <c r="BM100" s="278"/>
      <c r="BN100" s="278"/>
      <c r="BO100" s="500"/>
    </row>
    <row r="101" spans="2:67" x14ac:dyDescent="0.2">
      <c r="B101" s="324"/>
      <c r="C101" s="515" t="s">
        <v>838</v>
      </c>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6"/>
      <c r="AM101" s="516"/>
      <c r="AN101" s="516"/>
      <c r="AO101" s="516"/>
      <c r="AP101" s="516"/>
      <c r="AQ101" s="516"/>
      <c r="AR101" s="516"/>
      <c r="AS101" s="516"/>
      <c r="AT101" s="516"/>
      <c r="AU101" s="516"/>
      <c r="AV101" s="516"/>
      <c r="AW101" s="516"/>
      <c r="AX101" s="516"/>
      <c r="AY101" s="516"/>
      <c r="AZ101" s="516"/>
      <c r="BA101" s="516"/>
      <c r="BB101" s="516"/>
      <c r="BC101" s="516"/>
      <c r="BD101" s="516"/>
      <c r="BE101" s="516"/>
      <c r="BF101" s="516"/>
      <c r="BG101" s="325"/>
      <c r="BI101" s="499"/>
      <c r="BJ101" s="278"/>
      <c r="BK101" s="278"/>
      <c r="BL101" s="278"/>
      <c r="BM101" s="278"/>
      <c r="BN101" s="278"/>
      <c r="BO101" s="500"/>
    </row>
    <row r="102" spans="2:67" x14ac:dyDescent="0.2">
      <c r="B102" s="324"/>
      <c r="C102" s="1715" t="s">
        <v>839</v>
      </c>
      <c r="D102" s="1715"/>
      <c r="E102" s="1715"/>
      <c r="F102" s="1715"/>
      <c r="G102" s="1715"/>
      <c r="H102" s="1715"/>
      <c r="I102" s="1715"/>
      <c r="J102" s="1715"/>
      <c r="K102" s="1715"/>
      <c r="L102" s="1715"/>
      <c r="M102" s="1715"/>
      <c r="N102" s="1715"/>
      <c r="O102" s="1715"/>
      <c r="P102" s="1715"/>
      <c r="Q102" s="1715"/>
      <c r="R102" s="1715"/>
      <c r="S102" s="1715"/>
      <c r="T102" s="1715"/>
      <c r="U102" s="1715"/>
      <c r="V102" s="1715"/>
      <c r="W102" s="1715"/>
      <c r="X102" s="1715"/>
      <c r="Y102" s="1715"/>
      <c r="Z102" s="1715"/>
      <c r="AA102" s="1715"/>
      <c r="AB102" s="1715"/>
      <c r="AC102" s="1715"/>
      <c r="AD102" s="1715"/>
      <c r="AE102" s="1715"/>
      <c r="AF102" s="1715"/>
      <c r="AG102" s="1715"/>
      <c r="AH102" s="1715"/>
      <c r="AI102" s="1715"/>
      <c r="AJ102" s="1715"/>
      <c r="AK102" s="1715"/>
      <c r="AL102" s="1715"/>
      <c r="AM102" s="1715"/>
      <c r="AN102" s="1715"/>
      <c r="AO102" s="1715"/>
      <c r="AP102" s="1715"/>
      <c r="AQ102" s="1715"/>
      <c r="AR102" s="1715"/>
      <c r="AS102" s="1715"/>
      <c r="AT102" s="1715"/>
      <c r="AU102" s="1715"/>
      <c r="AV102" s="1715"/>
      <c r="AW102" s="1715"/>
      <c r="AX102" s="1715"/>
      <c r="AY102" s="1715"/>
      <c r="AZ102" s="1715"/>
      <c r="BA102" s="1715"/>
      <c r="BB102" s="1715"/>
      <c r="BC102" s="1715"/>
      <c r="BD102" s="1715"/>
      <c r="BE102" s="1715"/>
      <c r="BF102" s="1715"/>
      <c r="BG102" s="325"/>
      <c r="BI102" s="499"/>
      <c r="BJ102" s="278"/>
      <c r="BK102" s="278"/>
      <c r="BL102" s="278"/>
      <c r="BM102" s="278"/>
      <c r="BN102" s="278"/>
      <c r="BO102" s="500"/>
    </row>
    <row r="103" spans="2:67" x14ac:dyDescent="0.2">
      <c r="B103" s="324"/>
      <c r="C103" s="1715"/>
      <c r="D103" s="1715"/>
      <c r="E103" s="1715"/>
      <c r="F103" s="1715"/>
      <c r="G103" s="1715"/>
      <c r="H103" s="1715"/>
      <c r="I103" s="1715"/>
      <c r="J103" s="1715"/>
      <c r="K103" s="1715"/>
      <c r="L103" s="1715"/>
      <c r="M103" s="1715"/>
      <c r="N103" s="1715"/>
      <c r="O103" s="1715"/>
      <c r="P103" s="1715"/>
      <c r="Q103" s="1715"/>
      <c r="R103" s="1715"/>
      <c r="S103" s="1715"/>
      <c r="T103" s="1715"/>
      <c r="U103" s="1715"/>
      <c r="V103" s="1715"/>
      <c r="W103" s="1715"/>
      <c r="X103" s="1715"/>
      <c r="Y103" s="1715"/>
      <c r="Z103" s="1715"/>
      <c r="AA103" s="1715"/>
      <c r="AB103" s="1715"/>
      <c r="AC103" s="1715"/>
      <c r="AD103" s="1715"/>
      <c r="AE103" s="1715"/>
      <c r="AF103" s="1715"/>
      <c r="AG103" s="1715"/>
      <c r="AH103" s="1715"/>
      <c r="AI103" s="1715"/>
      <c r="AJ103" s="1715"/>
      <c r="AK103" s="1715"/>
      <c r="AL103" s="1715"/>
      <c r="AM103" s="1715"/>
      <c r="AN103" s="1715"/>
      <c r="AO103" s="1715"/>
      <c r="AP103" s="1715"/>
      <c r="AQ103" s="1715"/>
      <c r="AR103" s="1715"/>
      <c r="AS103" s="1715"/>
      <c r="AT103" s="1715"/>
      <c r="AU103" s="1715"/>
      <c r="AV103" s="1715"/>
      <c r="AW103" s="1715"/>
      <c r="AX103" s="1715"/>
      <c r="AY103" s="1715"/>
      <c r="AZ103" s="1715"/>
      <c r="BA103" s="1715"/>
      <c r="BB103" s="1715"/>
      <c r="BC103" s="1715"/>
      <c r="BD103" s="1715"/>
      <c r="BE103" s="1715"/>
      <c r="BF103" s="1715"/>
      <c r="BG103" s="325"/>
      <c r="BI103" s="499"/>
      <c r="BJ103" s="278"/>
      <c r="BK103" s="278"/>
      <c r="BL103" s="278"/>
      <c r="BM103" s="278"/>
      <c r="BN103" s="278"/>
      <c r="BO103" s="500"/>
    </row>
    <row r="104" spans="2:67" x14ac:dyDescent="0.2">
      <c r="B104" s="324"/>
      <c r="C104" s="1715"/>
      <c r="D104" s="1715"/>
      <c r="E104" s="1715"/>
      <c r="F104" s="1715"/>
      <c r="G104" s="1715"/>
      <c r="H104" s="1715"/>
      <c r="I104" s="1715"/>
      <c r="J104" s="1715"/>
      <c r="K104" s="1715"/>
      <c r="L104" s="1715"/>
      <c r="M104" s="1715"/>
      <c r="N104" s="1715"/>
      <c r="O104" s="1715"/>
      <c r="P104" s="1715"/>
      <c r="Q104" s="1715"/>
      <c r="R104" s="1715"/>
      <c r="S104" s="1715"/>
      <c r="T104" s="1715"/>
      <c r="U104" s="1715"/>
      <c r="V104" s="1715"/>
      <c r="W104" s="1715"/>
      <c r="X104" s="1715"/>
      <c r="Y104" s="1715"/>
      <c r="Z104" s="1715"/>
      <c r="AA104" s="1715"/>
      <c r="AB104" s="1715"/>
      <c r="AC104" s="1715"/>
      <c r="AD104" s="1715"/>
      <c r="AE104" s="1715"/>
      <c r="AF104" s="1715"/>
      <c r="AG104" s="1715"/>
      <c r="AH104" s="1715"/>
      <c r="AI104" s="1715"/>
      <c r="AJ104" s="1715"/>
      <c r="AK104" s="1715"/>
      <c r="AL104" s="1715"/>
      <c r="AM104" s="1715"/>
      <c r="AN104" s="1715"/>
      <c r="AO104" s="1715"/>
      <c r="AP104" s="1715"/>
      <c r="AQ104" s="1715"/>
      <c r="AR104" s="1715"/>
      <c r="AS104" s="1715"/>
      <c r="AT104" s="1715"/>
      <c r="AU104" s="1715"/>
      <c r="AV104" s="1715"/>
      <c r="AW104" s="1715"/>
      <c r="AX104" s="1715"/>
      <c r="AY104" s="1715"/>
      <c r="AZ104" s="1715"/>
      <c r="BA104" s="1715"/>
      <c r="BB104" s="1715"/>
      <c r="BC104" s="1715"/>
      <c r="BD104" s="1715"/>
      <c r="BE104" s="1715"/>
      <c r="BF104" s="1715"/>
      <c r="BG104" s="325"/>
      <c r="BI104" s="499"/>
      <c r="BJ104" s="278"/>
      <c r="BK104" s="278"/>
      <c r="BL104" s="278"/>
      <c r="BM104" s="278"/>
      <c r="BN104" s="278"/>
      <c r="BO104" s="500"/>
    </row>
    <row r="105" spans="2:67" ht="15" customHeight="1" x14ac:dyDescent="0.2">
      <c r="B105" s="324"/>
      <c r="C105" s="1714" t="s">
        <v>840</v>
      </c>
      <c r="D105" s="1714"/>
      <c r="E105" s="1714"/>
      <c r="F105" s="1714"/>
      <c r="G105" s="1714"/>
      <c r="H105" s="1714"/>
      <c r="I105" s="1714"/>
      <c r="J105" s="1714"/>
      <c r="K105" s="1714"/>
      <c r="L105" s="1714"/>
      <c r="M105" s="1714"/>
      <c r="N105" s="1714"/>
      <c r="O105" s="1714"/>
      <c r="P105" s="1714"/>
      <c r="Q105" s="1714"/>
      <c r="R105" s="1714"/>
      <c r="S105" s="1714"/>
      <c r="T105" s="1714"/>
      <c r="U105" s="1714"/>
      <c r="V105" s="1714"/>
      <c r="W105" s="1714"/>
      <c r="X105" s="1714"/>
      <c r="Y105" s="1714"/>
      <c r="Z105" s="1714"/>
      <c r="AA105" s="1714"/>
      <c r="AB105" s="1714"/>
      <c r="AC105" s="1714"/>
      <c r="AD105" s="1714"/>
      <c r="AE105" s="1714"/>
      <c r="AF105" s="1714"/>
      <c r="AG105" s="1714"/>
      <c r="AH105" s="1714"/>
      <c r="AI105" s="1714"/>
      <c r="AJ105" s="1714"/>
      <c r="AK105" s="1714"/>
      <c r="AL105" s="1714"/>
      <c r="AM105" s="1714"/>
      <c r="AN105" s="1714"/>
      <c r="AO105" s="1714"/>
      <c r="AP105" s="1714"/>
      <c r="AQ105" s="1714"/>
      <c r="AR105" s="1714"/>
      <c r="AS105" s="1714"/>
      <c r="AT105" s="1714"/>
      <c r="AU105" s="1714"/>
      <c r="AV105" s="1714"/>
      <c r="AW105" s="1714"/>
      <c r="AX105" s="1714"/>
      <c r="AY105" s="1714"/>
      <c r="AZ105" s="1714"/>
      <c r="BA105" s="1714"/>
      <c r="BB105" s="1714"/>
      <c r="BC105" s="1714"/>
      <c r="BD105" s="1714"/>
      <c r="BE105" s="1714"/>
      <c r="BF105" s="1714"/>
      <c r="BG105" s="325"/>
      <c r="BI105" s="499"/>
      <c r="BJ105" s="278"/>
      <c r="BK105" s="278"/>
      <c r="BL105" s="278"/>
      <c r="BM105" s="278"/>
      <c r="BN105" s="278"/>
      <c r="BO105" s="500"/>
    </row>
    <row r="106" spans="2:67" x14ac:dyDescent="0.2">
      <c r="B106" s="324"/>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c r="AI106" s="330"/>
      <c r="AJ106" s="330"/>
      <c r="AK106" s="330"/>
      <c r="AL106" s="330"/>
      <c r="AM106" s="330"/>
      <c r="AN106" s="330"/>
      <c r="AO106" s="330"/>
      <c r="AP106" s="330"/>
      <c r="AQ106" s="330"/>
      <c r="AR106" s="330"/>
      <c r="AS106" s="330"/>
      <c r="AT106" s="330"/>
      <c r="AU106" s="330"/>
      <c r="AV106" s="330"/>
      <c r="AW106" s="330"/>
      <c r="AX106" s="330"/>
      <c r="AY106" s="330"/>
      <c r="AZ106" s="330"/>
      <c r="BA106" s="330"/>
      <c r="BB106" s="330"/>
      <c r="BC106" s="330"/>
      <c r="BD106" s="330"/>
      <c r="BE106" s="330"/>
      <c r="BF106" s="330"/>
      <c r="BG106" s="325"/>
      <c r="BI106" s="499"/>
      <c r="BJ106" s="278"/>
      <c r="BK106" s="278"/>
      <c r="BL106" s="278"/>
      <c r="BM106" s="278"/>
      <c r="BN106" s="278"/>
      <c r="BO106" s="500"/>
    </row>
    <row r="107" spans="2:67" x14ac:dyDescent="0.2">
      <c r="B107" s="312"/>
      <c r="C107" s="1163"/>
      <c r="D107" s="1163"/>
      <c r="E107" s="1163"/>
      <c r="F107" s="1163"/>
      <c r="G107" s="1163"/>
      <c r="H107" s="1163"/>
      <c r="I107" s="1163"/>
      <c r="J107" s="1163"/>
      <c r="K107" s="1163"/>
      <c r="L107" s="1163"/>
      <c r="M107" s="1163"/>
      <c r="N107" s="1163"/>
      <c r="O107" s="1163"/>
      <c r="P107" s="1163"/>
      <c r="Q107" s="1163"/>
      <c r="R107" s="1163"/>
      <c r="S107" s="1163"/>
      <c r="T107" s="1163"/>
      <c r="U107" s="1163"/>
      <c r="V107" s="1163"/>
      <c r="W107" s="1163"/>
      <c r="X107" s="1163"/>
      <c r="Y107" s="1163"/>
      <c r="Z107" s="1163"/>
      <c r="AA107" s="1163"/>
      <c r="AB107" s="1163"/>
      <c r="AC107" s="1163"/>
      <c r="AD107" s="1163"/>
      <c r="AE107" s="1163"/>
      <c r="AF107" s="1163"/>
      <c r="AG107" s="1163"/>
      <c r="AH107" s="1163"/>
      <c r="AI107" s="1163"/>
      <c r="AJ107" s="1163"/>
      <c r="AK107" s="1163"/>
      <c r="AL107" s="1163"/>
      <c r="AM107" s="1163"/>
      <c r="AN107" s="1163"/>
      <c r="AO107" s="1163"/>
      <c r="AP107" s="1163"/>
      <c r="AQ107" s="1163"/>
      <c r="AR107" s="1163"/>
      <c r="AS107" s="1163"/>
      <c r="AT107" s="1163"/>
      <c r="AU107" s="1163"/>
      <c r="AV107" s="1163"/>
      <c r="AW107" s="1163"/>
      <c r="AX107" s="1163"/>
      <c r="AY107" s="1163"/>
      <c r="AZ107" s="1163"/>
      <c r="BA107" s="1163"/>
      <c r="BB107" s="1163"/>
      <c r="BC107" s="1163"/>
      <c r="BD107" s="1163"/>
      <c r="BE107" s="1163"/>
      <c r="BF107" s="1163"/>
      <c r="BG107" s="311"/>
      <c r="BI107" s="499"/>
      <c r="BJ107" s="278"/>
      <c r="BK107" s="278"/>
      <c r="BL107" s="278"/>
      <c r="BM107" s="278"/>
      <c r="BN107" s="278"/>
      <c r="BO107" s="500"/>
    </row>
    <row r="108" spans="2:67" x14ac:dyDescent="0.2">
      <c r="B108" s="312"/>
      <c r="C108" s="251"/>
      <c r="D108" s="251"/>
      <c r="E108" s="251"/>
      <c r="F108" s="251" t="s">
        <v>796</v>
      </c>
      <c r="G108" s="251"/>
      <c r="H108" s="1631" t="str">
        <f>+IF(keltezes="","",keltezes)</f>
        <v/>
      </c>
      <c r="I108" s="1163"/>
      <c r="J108" s="1163"/>
      <c r="K108" s="1163"/>
      <c r="L108" s="1163"/>
      <c r="M108" s="1163"/>
      <c r="N108" s="1163"/>
      <c r="O108" s="1163"/>
      <c r="P108" s="1163"/>
      <c r="Q108" s="1163"/>
      <c r="R108" s="1163"/>
      <c r="S108" s="1163"/>
      <c r="T108" s="1163"/>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311"/>
      <c r="BI108" s="499"/>
      <c r="BJ108" s="278"/>
      <c r="BK108" s="278"/>
      <c r="BL108" s="278"/>
      <c r="BM108" s="278"/>
      <c r="BN108" s="278"/>
      <c r="BO108" s="500"/>
    </row>
    <row r="109" spans="2:67" x14ac:dyDescent="0.2">
      <c r="B109" s="312"/>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311"/>
      <c r="BI109" s="499"/>
      <c r="BJ109" s="278"/>
      <c r="BK109" s="278"/>
      <c r="BL109" s="278"/>
      <c r="BM109" s="278"/>
      <c r="BN109" s="278"/>
      <c r="BO109" s="500"/>
    </row>
    <row r="110" spans="2:67" x14ac:dyDescent="0.2">
      <c r="B110" s="312"/>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1185"/>
      <c r="AJ110" s="1185"/>
      <c r="AK110" s="1185"/>
      <c r="AL110" s="1185"/>
      <c r="AM110" s="1185"/>
      <c r="AN110" s="1185"/>
      <c r="AO110" s="1185"/>
      <c r="AP110" s="1185"/>
      <c r="AQ110" s="1185"/>
      <c r="AR110" s="1185"/>
      <c r="AS110" s="1185"/>
      <c r="AT110" s="1185"/>
      <c r="AU110" s="1185"/>
      <c r="AV110" s="1185"/>
      <c r="AW110" s="1185"/>
      <c r="AX110" s="1185"/>
      <c r="AY110" s="1185"/>
      <c r="AZ110" s="1185"/>
      <c r="BA110" s="1185"/>
      <c r="BB110" s="1185"/>
      <c r="BC110" s="1185"/>
      <c r="BD110" s="1185"/>
      <c r="BE110" s="251"/>
      <c r="BF110" s="251"/>
      <c r="BG110" s="311"/>
      <c r="BI110" s="499"/>
      <c r="BJ110" s="278"/>
      <c r="BK110" s="278"/>
      <c r="BL110" s="278"/>
      <c r="BM110" s="278"/>
      <c r="BN110" s="278"/>
      <c r="BO110" s="500"/>
    </row>
    <row r="111" spans="2:67" x14ac:dyDescent="0.2">
      <c r="B111" s="312"/>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1181" t="str">
        <f>+IF(Nyilatkozatok!AG247="","",Nyilatkozatok!AG247)</f>
        <v/>
      </c>
      <c r="AJ111" s="1181"/>
      <c r="AK111" s="1181"/>
      <c r="AL111" s="1181"/>
      <c r="AM111" s="1181"/>
      <c r="AN111" s="1181"/>
      <c r="AO111" s="1181"/>
      <c r="AP111" s="1181"/>
      <c r="AQ111" s="1181"/>
      <c r="AR111" s="1181"/>
      <c r="AS111" s="1181"/>
      <c r="AT111" s="1181"/>
      <c r="AU111" s="1181"/>
      <c r="AV111" s="1181"/>
      <c r="AW111" s="1181"/>
      <c r="AX111" s="1181"/>
      <c r="AY111" s="1181"/>
      <c r="AZ111" s="1181"/>
      <c r="BA111" s="1181"/>
      <c r="BB111" s="1181"/>
      <c r="BC111" s="1181"/>
      <c r="BD111" s="1181"/>
      <c r="BE111" s="251"/>
      <c r="BF111" s="251"/>
      <c r="BG111" s="311"/>
      <c r="BI111" s="499"/>
      <c r="BJ111" s="278"/>
      <c r="BK111" s="278"/>
      <c r="BL111" s="278"/>
      <c r="BM111" s="278"/>
      <c r="BN111" s="278"/>
      <c r="BO111" s="500"/>
    </row>
    <row r="112" spans="2:67" x14ac:dyDescent="0.2">
      <c r="B112" s="312"/>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51"/>
      <c r="AV112" s="251"/>
      <c r="AW112" s="251"/>
      <c r="AX112" s="251"/>
      <c r="AY112" s="251"/>
      <c r="AZ112" s="251"/>
      <c r="BA112" s="251"/>
      <c r="BB112" s="251"/>
      <c r="BC112" s="251"/>
      <c r="BD112" s="251"/>
      <c r="BE112" s="251"/>
      <c r="BF112" s="251"/>
      <c r="BG112" s="311"/>
      <c r="BI112" s="499"/>
      <c r="BJ112" s="278"/>
      <c r="BK112" s="278"/>
      <c r="BL112" s="278"/>
      <c r="BM112" s="278"/>
      <c r="BN112" s="278"/>
      <c r="BO112" s="500"/>
    </row>
    <row r="113" spans="2:67" x14ac:dyDescent="0.2">
      <c r="B113" s="312"/>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311"/>
      <c r="BI113" s="499"/>
      <c r="BJ113" s="278"/>
      <c r="BK113" s="278"/>
      <c r="BL113" s="278"/>
      <c r="BM113" s="278"/>
      <c r="BN113" s="278"/>
      <c r="BO113" s="500"/>
    </row>
    <row r="114" spans="2:67" x14ac:dyDescent="0.2">
      <c r="B114" s="312"/>
      <c r="C114" s="251"/>
      <c r="D114" s="251"/>
      <c r="E114" s="251" t="s">
        <v>797</v>
      </c>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251"/>
      <c r="AX114" s="251"/>
      <c r="AY114" s="251"/>
      <c r="AZ114" s="251"/>
      <c r="BA114" s="251"/>
      <c r="BB114" s="251"/>
      <c r="BC114" s="251"/>
      <c r="BD114" s="251"/>
      <c r="BE114" s="251"/>
      <c r="BF114" s="251"/>
      <c r="BG114" s="311"/>
      <c r="BI114" s="499"/>
      <c r="BJ114" s="278"/>
      <c r="BK114" s="278"/>
      <c r="BL114" s="278"/>
      <c r="BM114" s="278"/>
      <c r="BN114" s="278"/>
      <c r="BO114" s="500"/>
    </row>
    <row r="115" spans="2:67" x14ac:dyDescent="0.2">
      <c r="B115" s="312"/>
      <c r="C115" s="251"/>
      <c r="D115" s="251"/>
      <c r="E115" s="251" t="s">
        <v>798</v>
      </c>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51"/>
      <c r="AV115" s="251"/>
      <c r="AW115" s="251"/>
      <c r="AX115" s="251"/>
      <c r="AY115" s="251"/>
      <c r="AZ115" s="251"/>
      <c r="BA115" s="251"/>
      <c r="BB115" s="251"/>
      <c r="BC115" s="251"/>
      <c r="BD115" s="251"/>
      <c r="BE115" s="251"/>
      <c r="BF115" s="251"/>
      <c r="BG115" s="311"/>
      <c r="BI115" s="499"/>
      <c r="BJ115" s="278"/>
      <c r="BK115" s="278"/>
      <c r="BL115" s="278"/>
      <c r="BM115" s="278"/>
      <c r="BN115" s="278"/>
      <c r="BO115" s="500"/>
    </row>
    <row r="116" spans="2:67" x14ac:dyDescent="0.2">
      <c r="B116" s="312"/>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51"/>
      <c r="AV116" s="251"/>
      <c r="AW116" s="251"/>
      <c r="AX116" s="251"/>
      <c r="AY116" s="251"/>
      <c r="AZ116" s="251"/>
      <c r="BA116" s="251"/>
      <c r="BB116" s="251"/>
      <c r="BC116" s="251"/>
      <c r="BD116" s="251"/>
      <c r="BE116" s="251"/>
      <c r="BF116" s="251"/>
      <c r="BG116" s="311"/>
      <c r="BI116" s="499"/>
      <c r="BJ116" s="278"/>
      <c r="BK116" s="278"/>
      <c r="BL116" s="278"/>
      <c r="BM116" s="278"/>
      <c r="BN116" s="278"/>
      <c r="BO116" s="500"/>
    </row>
    <row r="117" spans="2:67" x14ac:dyDescent="0.2">
      <c r="B117" s="312"/>
      <c r="C117" s="252"/>
      <c r="D117" s="252"/>
      <c r="E117" s="252" t="s">
        <v>799</v>
      </c>
      <c r="F117" s="252"/>
      <c r="G117" s="252"/>
      <c r="H117" s="252"/>
      <c r="I117" s="252"/>
      <c r="J117" s="1185"/>
      <c r="K117" s="1185"/>
      <c r="L117" s="1185"/>
      <c r="M117" s="1185"/>
      <c r="N117" s="1185"/>
      <c r="O117" s="1185"/>
      <c r="P117" s="1185"/>
      <c r="Q117" s="1185"/>
      <c r="R117" s="1185"/>
      <c r="S117" s="1185"/>
      <c r="T117" s="1185"/>
      <c r="U117" s="1185"/>
      <c r="V117" s="1185"/>
      <c r="W117" s="1185"/>
      <c r="X117" s="1185"/>
      <c r="Y117" s="1185"/>
      <c r="Z117" s="1185"/>
      <c r="AA117" s="1185"/>
      <c r="AB117" s="1185"/>
      <c r="AC117" s="252"/>
      <c r="AD117" s="252"/>
      <c r="AE117" s="252"/>
      <c r="AF117" s="252" t="s">
        <v>800</v>
      </c>
      <c r="AG117" s="252"/>
      <c r="AH117" s="252"/>
      <c r="AI117" s="252"/>
      <c r="AJ117" s="1185"/>
      <c r="AK117" s="1185"/>
      <c r="AL117" s="1185"/>
      <c r="AM117" s="1185"/>
      <c r="AN117" s="1185"/>
      <c r="AO117" s="1185"/>
      <c r="AP117" s="1185"/>
      <c r="AQ117" s="1185"/>
      <c r="AR117" s="1185"/>
      <c r="AS117" s="1185"/>
      <c r="AT117" s="1185"/>
      <c r="AU117" s="1185"/>
      <c r="AV117" s="1185"/>
      <c r="AW117" s="1185"/>
      <c r="AX117" s="1185"/>
      <c r="AY117" s="1185"/>
      <c r="AZ117" s="1185"/>
      <c r="BA117" s="1185"/>
      <c r="BB117" s="1185"/>
      <c r="BC117" s="252"/>
      <c r="BD117" s="252"/>
      <c r="BE117" s="252"/>
      <c r="BF117" s="252"/>
      <c r="BG117" s="311"/>
      <c r="BI117" s="499"/>
      <c r="BJ117" s="278"/>
      <c r="BK117" s="278"/>
      <c r="BL117" s="278"/>
      <c r="BM117" s="278"/>
      <c r="BN117" s="278"/>
      <c r="BO117" s="500"/>
    </row>
    <row r="118" spans="2:67" x14ac:dyDescent="0.2">
      <c r="B118" s="312"/>
      <c r="C118" s="252"/>
      <c r="D118" s="252"/>
      <c r="E118" s="252"/>
      <c r="F118" s="252"/>
      <c r="G118" s="252"/>
      <c r="H118" s="252"/>
      <c r="I118" s="252"/>
      <c r="J118" s="252"/>
      <c r="K118" s="252"/>
      <c r="L118" s="252"/>
      <c r="M118" s="252"/>
      <c r="N118" s="1181" t="s">
        <v>315</v>
      </c>
      <c r="O118" s="1181"/>
      <c r="P118" s="1181"/>
      <c r="Q118" s="1181"/>
      <c r="R118" s="1181"/>
      <c r="S118" s="1181"/>
      <c r="T118" s="1181"/>
      <c r="U118" s="1181"/>
      <c r="V118" s="1181"/>
      <c r="W118" s="1181"/>
      <c r="X118" s="1181"/>
      <c r="Y118" s="252"/>
      <c r="Z118" s="252"/>
      <c r="AA118" s="252"/>
      <c r="AB118" s="252"/>
      <c r="AC118" s="252"/>
      <c r="AD118" s="252"/>
      <c r="AE118" s="252"/>
      <c r="AF118" s="252"/>
      <c r="AG118" s="252"/>
      <c r="AH118" s="252"/>
      <c r="AI118" s="252"/>
      <c r="AJ118" s="252"/>
      <c r="AK118" s="252"/>
      <c r="AL118" s="252"/>
      <c r="AM118" s="252"/>
      <c r="AN118" s="1181" t="s">
        <v>315</v>
      </c>
      <c r="AO118" s="1181"/>
      <c r="AP118" s="1181"/>
      <c r="AQ118" s="1181"/>
      <c r="AR118" s="1181"/>
      <c r="AS118" s="1181"/>
      <c r="AT118" s="1181"/>
      <c r="AU118" s="1181"/>
      <c r="AV118" s="1181"/>
      <c r="AW118" s="1181"/>
      <c r="AX118" s="1181"/>
      <c r="AY118" s="252"/>
      <c r="AZ118" s="252"/>
      <c r="BA118" s="252"/>
      <c r="BB118" s="252"/>
      <c r="BC118" s="252"/>
      <c r="BD118" s="252"/>
      <c r="BE118" s="252"/>
      <c r="BF118" s="252"/>
      <c r="BG118" s="311"/>
      <c r="BI118" s="499"/>
      <c r="BJ118" s="278"/>
      <c r="BK118" s="278"/>
      <c r="BL118" s="278"/>
      <c r="BM118" s="278"/>
      <c r="BN118" s="278"/>
      <c r="BO118" s="500"/>
    </row>
    <row r="119" spans="2:67" x14ac:dyDescent="0.2">
      <c r="B119" s="31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c r="BC119" s="252"/>
      <c r="BD119" s="252"/>
      <c r="BE119" s="252"/>
      <c r="BF119" s="252"/>
      <c r="BG119" s="311"/>
      <c r="BI119" s="499"/>
      <c r="BJ119" s="278"/>
      <c r="BK119" s="278"/>
      <c r="BL119" s="278"/>
      <c r="BM119" s="278"/>
      <c r="BN119" s="278"/>
      <c r="BO119" s="500"/>
    </row>
    <row r="120" spans="2:67" x14ac:dyDescent="0.2">
      <c r="B120" s="31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c r="BC120" s="252"/>
      <c r="BD120" s="252"/>
      <c r="BE120" s="252"/>
      <c r="BF120" s="252"/>
      <c r="BG120" s="311"/>
      <c r="BI120" s="499"/>
      <c r="BJ120" s="278"/>
      <c r="BK120" s="278"/>
      <c r="BL120" s="278"/>
      <c r="BM120" s="278"/>
      <c r="BN120" s="278"/>
      <c r="BO120" s="500"/>
    </row>
    <row r="121" spans="2:67" x14ac:dyDescent="0.2">
      <c r="B121" s="312"/>
      <c r="C121" s="252"/>
      <c r="D121" s="252"/>
      <c r="E121" s="252"/>
      <c r="F121" s="252"/>
      <c r="G121" s="252"/>
      <c r="H121" s="252"/>
      <c r="I121" s="252"/>
      <c r="J121" s="1185"/>
      <c r="K121" s="1185"/>
      <c r="L121" s="1185"/>
      <c r="M121" s="1185"/>
      <c r="N121" s="1185"/>
      <c r="O121" s="1185"/>
      <c r="P121" s="1185"/>
      <c r="Q121" s="1185"/>
      <c r="R121" s="1185"/>
      <c r="S121" s="1185"/>
      <c r="T121" s="1185"/>
      <c r="U121" s="1185"/>
      <c r="V121" s="1185"/>
      <c r="W121" s="1185"/>
      <c r="X121" s="1185"/>
      <c r="Y121" s="1185"/>
      <c r="Z121" s="1185"/>
      <c r="AA121" s="1185"/>
      <c r="AB121" s="1185"/>
      <c r="AC121" s="252"/>
      <c r="AD121" s="252"/>
      <c r="AE121" s="252"/>
      <c r="AF121" s="252"/>
      <c r="AG121" s="252"/>
      <c r="AH121" s="252"/>
      <c r="AI121" s="252"/>
      <c r="AJ121" s="1185"/>
      <c r="AK121" s="1185"/>
      <c r="AL121" s="1185"/>
      <c r="AM121" s="1185"/>
      <c r="AN121" s="1185"/>
      <c r="AO121" s="1185"/>
      <c r="AP121" s="1185"/>
      <c r="AQ121" s="1185"/>
      <c r="AR121" s="1185"/>
      <c r="AS121" s="1185"/>
      <c r="AT121" s="1185"/>
      <c r="AU121" s="1185"/>
      <c r="AV121" s="1185"/>
      <c r="AW121" s="1185"/>
      <c r="AX121" s="1185"/>
      <c r="AY121" s="1185"/>
      <c r="AZ121" s="1185"/>
      <c r="BA121" s="1185"/>
      <c r="BB121" s="1185"/>
      <c r="BC121" s="252"/>
      <c r="BD121" s="252"/>
      <c r="BE121" s="252"/>
      <c r="BF121" s="252"/>
      <c r="BG121" s="311"/>
      <c r="BI121" s="499"/>
      <c r="BJ121" s="278"/>
      <c r="BK121" s="278"/>
      <c r="BL121" s="278"/>
      <c r="BM121" s="278"/>
      <c r="BN121" s="278"/>
      <c r="BO121" s="500"/>
    </row>
    <row r="122" spans="2:67" x14ac:dyDescent="0.2">
      <c r="B122" s="312"/>
      <c r="C122" s="252"/>
      <c r="D122" s="252"/>
      <c r="E122" s="252"/>
      <c r="F122" s="252"/>
      <c r="G122" s="252"/>
      <c r="H122" s="252"/>
      <c r="I122" s="252"/>
      <c r="J122" s="252"/>
      <c r="K122" s="252"/>
      <c r="L122" s="252"/>
      <c r="M122" s="252"/>
      <c r="N122" s="1181" t="s">
        <v>316</v>
      </c>
      <c r="O122" s="1181"/>
      <c r="P122" s="1181"/>
      <c r="Q122" s="1181"/>
      <c r="R122" s="1181"/>
      <c r="S122" s="1181"/>
      <c r="T122" s="1181"/>
      <c r="U122" s="1181"/>
      <c r="V122" s="1181"/>
      <c r="W122" s="1181"/>
      <c r="X122" s="1181"/>
      <c r="Y122" s="252"/>
      <c r="Z122" s="252"/>
      <c r="AA122" s="252"/>
      <c r="AB122" s="252"/>
      <c r="AC122" s="252"/>
      <c r="AD122" s="252"/>
      <c r="AE122" s="252"/>
      <c r="AF122" s="252"/>
      <c r="AG122" s="252"/>
      <c r="AH122" s="252"/>
      <c r="AI122" s="252"/>
      <c r="AJ122" s="252"/>
      <c r="AK122" s="252"/>
      <c r="AL122" s="252"/>
      <c r="AM122" s="252"/>
      <c r="AN122" s="1181" t="s">
        <v>316</v>
      </c>
      <c r="AO122" s="1181"/>
      <c r="AP122" s="1181"/>
      <c r="AQ122" s="1181"/>
      <c r="AR122" s="1181"/>
      <c r="AS122" s="1181"/>
      <c r="AT122" s="1181"/>
      <c r="AU122" s="1181"/>
      <c r="AV122" s="1181"/>
      <c r="AW122" s="1181"/>
      <c r="AX122" s="1181"/>
      <c r="AY122" s="252"/>
      <c r="AZ122" s="252"/>
      <c r="BA122" s="252"/>
      <c r="BB122" s="252"/>
      <c r="BC122" s="252"/>
      <c r="BD122" s="252"/>
      <c r="BE122" s="252"/>
      <c r="BF122" s="252"/>
      <c r="BG122" s="311"/>
      <c r="BI122" s="499"/>
      <c r="BJ122" s="278"/>
      <c r="BK122" s="278"/>
      <c r="BL122" s="278"/>
      <c r="BM122" s="278"/>
      <c r="BN122" s="278"/>
      <c r="BO122" s="500"/>
    </row>
    <row r="123" spans="2:67" x14ac:dyDescent="0.2">
      <c r="B123" s="31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c r="BC123" s="252"/>
      <c r="BD123" s="252"/>
      <c r="BE123" s="252"/>
      <c r="BF123" s="252"/>
      <c r="BG123" s="311"/>
      <c r="BI123" s="499"/>
      <c r="BJ123" s="278"/>
      <c r="BK123" s="278"/>
      <c r="BL123" s="278"/>
      <c r="BM123" s="278"/>
      <c r="BN123" s="278"/>
      <c r="BO123" s="500"/>
    </row>
    <row r="124" spans="2:67" x14ac:dyDescent="0.2">
      <c r="B124" s="31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311"/>
      <c r="BI124" s="499"/>
      <c r="BJ124" s="278"/>
      <c r="BK124" s="278"/>
      <c r="BL124" s="278"/>
      <c r="BM124" s="278"/>
      <c r="BN124" s="278"/>
      <c r="BO124" s="500"/>
    </row>
    <row r="125" spans="2:67" x14ac:dyDescent="0.2">
      <c r="B125" s="312"/>
      <c r="C125" s="252"/>
      <c r="D125" s="252"/>
      <c r="E125" s="252"/>
      <c r="F125" s="252"/>
      <c r="G125" s="252"/>
      <c r="H125" s="252"/>
      <c r="I125" s="252"/>
      <c r="J125" s="1185"/>
      <c r="K125" s="1185"/>
      <c r="L125" s="1185"/>
      <c r="M125" s="1185"/>
      <c r="N125" s="1185"/>
      <c r="O125" s="1185"/>
      <c r="P125" s="1185"/>
      <c r="Q125" s="1185"/>
      <c r="R125" s="1185"/>
      <c r="S125" s="1185"/>
      <c r="T125" s="1185"/>
      <c r="U125" s="1185"/>
      <c r="V125" s="1185"/>
      <c r="W125" s="1185"/>
      <c r="X125" s="1185"/>
      <c r="Y125" s="1185"/>
      <c r="Z125" s="1185"/>
      <c r="AA125" s="1185"/>
      <c r="AB125" s="1185"/>
      <c r="AC125" s="252"/>
      <c r="AD125" s="252"/>
      <c r="AE125" s="252"/>
      <c r="AF125" s="252"/>
      <c r="AG125" s="252"/>
      <c r="AH125" s="252"/>
      <c r="AI125" s="252"/>
      <c r="AJ125" s="1185"/>
      <c r="AK125" s="1185"/>
      <c r="AL125" s="1185"/>
      <c r="AM125" s="1185"/>
      <c r="AN125" s="1185"/>
      <c r="AO125" s="1185"/>
      <c r="AP125" s="1185"/>
      <c r="AQ125" s="1185"/>
      <c r="AR125" s="1185"/>
      <c r="AS125" s="1185"/>
      <c r="AT125" s="1185"/>
      <c r="AU125" s="1185"/>
      <c r="AV125" s="1185"/>
      <c r="AW125" s="1185"/>
      <c r="AX125" s="1185"/>
      <c r="AY125" s="1185"/>
      <c r="AZ125" s="1185"/>
      <c r="BA125" s="1185"/>
      <c r="BB125" s="1185"/>
      <c r="BC125" s="252"/>
      <c r="BD125" s="252"/>
      <c r="BE125" s="252"/>
      <c r="BF125" s="252"/>
      <c r="BG125" s="311"/>
      <c r="BI125" s="499"/>
      <c r="BJ125" s="278"/>
      <c r="BK125" s="278"/>
      <c r="BL125" s="278"/>
      <c r="BM125" s="278"/>
      <c r="BN125" s="278"/>
      <c r="BO125" s="500"/>
    </row>
    <row r="126" spans="2:67" x14ac:dyDescent="0.2">
      <c r="B126" s="312"/>
      <c r="C126" s="252"/>
      <c r="D126" s="252"/>
      <c r="E126" s="252"/>
      <c r="F126" s="252"/>
      <c r="G126" s="252"/>
      <c r="H126" s="252"/>
      <c r="I126" s="252"/>
      <c r="J126" s="252"/>
      <c r="K126" s="252"/>
      <c r="L126" s="252"/>
      <c r="M126" s="252"/>
      <c r="N126" s="1181" t="s">
        <v>801</v>
      </c>
      <c r="O126" s="1181"/>
      <c r="P126" s="1181"/>
      <c r="Q126" s="1181"/>
      <c r="R126" s="1181"/>
      <c r="S126" s="1181"/>
      <c r="T126" s="1181"/>
      <c r="U126" s="1181"/>
      <c r="V126" s="1181"/>
      <c r="W126" s="1181"/>
      <c r="X126" s="1181"/>
      <c r="Y126" s="252"/>
      <c r="Z126" s="252"/>
      <c r="AA126" s="252"/>
      <c r="AB126" s="252"/>
      <c r="AC126" s="252"/>
      <c r="AD126" s="252"/>
      <c r="AE126" s="252"/>
      <c r="AF126" s="252"/>
      <c r="AG126" s="252"/>
      <c r="AH126" s="252"/>
      <c r="AI126" s="252"/>
      <c r="AJ126" s="252"/>
      <c r="AK126" s="252"/>
      <c r="AL126" s="252"/>
      <c r="AM126" s="252"/>
      <c r="AN126" s="1181" t="s">
        <v>801</v>
      </c>
      <c r="AO126" s="1181"/>
      <c r="AP126" s="1181"/>
      <c r="AQ126" s="1181"/>
      <c r="AR126" s="1181"/>
      <c r="AS126" s="1181"/>
      <c r="AT126" s="1181"/>
      <c r="AU126" s="1181"/>
      <c r="AV126" s="1181"/>
      <c r="AW126" s="1181"/>
      <c r="AX126" s="1181"/>
      <c r="AY126" s="252"/>
      <c r="AZ126" s="252"/>
      <c r="BA126" s="252"/>
      <c r="BB126" s="252"/>
      <c r="BC126" s="252"/>
      <c r="BD126" s="252"/>
      <c r="BE126" s="252"/>
      <c r="BF126" s="252"/>
      <c r="BG126" s="311"/>
      <c r="BI126" s="499"/>
      <c r="BJ126" s="278"/>
      <c r="BK126" s="278"/>
      <c r="BL126" s="278"/>
      <c r="BM126" s="278"/>
      <c r="BN126" s="278"/>
      <c r="BO126" s="500"/>
    </row>
    <row r="127" spans="2:67" x14ac:dyDescent="0.2">
      <c r="B127" s="31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311"/>
      <c r="BI127" s="499"/>
      <c r="BJ127" s="278"/>
      <c r="BK127" s="278"/>
      <c r="BL127" s="278"/>
      <c r="BM127" s="278"/>
      <c r="BN127" s="278"/>
      <c r="BO127" s="500"/>
    </row>
    <row r="128" spans="2:67" x14ac:dyDescent="0.2">
      <c r="B128" s="31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c r="BC128" s="252"/>
      <c r="BD128" s="252"/>
      <c r="BE128" s="252"/>
      <c r="BF128" s="252"/>
      <c r="BG128" s="311"/>
      <c r="BI128" s="499"/>
      <c r="BJ128" s="278"/>
      <c r="BK128" s="278"/>
      <c r="BL128" s="278"/>
      <c r="BM128" s="278"/>
      <c r="BN128" s="278"/>
      <c r="BO128" s="500"/>
    </row>
    <row r="129" spans="2:67" x14ac:dyDescent="0.2">
      <c r="B129" s="312"/>
      <c r="C129" s="252"/>
      <c r="D129" s="252"/>
      <c r="E129" s="252"/>
      <c r="F129" s="252"/>
      <c r="G129" s="252"/>
      <c r="H129" s="252"/>
      <c r="I129" s="252"/>
      <c r="J129" s="1185"/>
      <c r="K129" s="1185"/>
      <c r="L129" s="1185"/>
      <c r="M129" s="1185"/>
      <c r="N129" s="1185"/>
      <c r="O129" s="1185"/>
      <c r="P129" s="1185"/>
      <c r="Q129" s="1185"/>
      <c r="R129" s="1185"/>
      <c r="S129" s="1185"/>
      <c r="T129" s="1185"/>
      <c r="U129" s="1185"/>
      <c r="V129" s="1185"/>
      <c r="W129" s="1185"/>
      <c r="X129" s="1185"/>
      <c r="Y129" s="1185"/>
      <c r="Z129" s="1185"/>
      <c r="AA129" s="1185"/>
      <c r="AB129" s="1185"/>
      <c r="AC129" s="252"/>
      <c r="AD129" s="252"/>
      <c r="AE129" s="252"/>
      <c r="AF129" s="252"/>
      <c r="AG129" s="252"/>
      <c r="AH129" s="252"/>
      <c r="AI129" s="252"/>
      <c r="AJ129" s="1185"/>
      <c r="AK129" s="1185"/>
      <c r="AL129" s="1185"/>
      <c r="AM129" s="1185"/>
      <c r="AN129" s="1185"/>
      <c r="AO129" s="1185"/>
      <c r="AP129" s="1185"/>
      <c r="AQ129" s="1185"/>
      <c r="AR129" s="1185"/>
      <c r="AS129" s="1185"/>
      <c r="AT129" s="1185"/>
      <c r="AU129" s="1185"/>
      <c r="AV129" s="1185"/>
      <c r="AW129" s="1185"/>
      <c r="AX129" s="1185"/>
      <c r="AY129" s="1185"/>
      <c r="AZ129" s="1185"/>
      <c r="BA129" s="1185"/>
      <c r="BB129" s="1185"/>
      <c r="BC129" s="252"/>
      <c r="BD129" s="252"/>
      <c r="BE129" s="252"/>
      <c r="BF129" s="252"/>
      <c r="BG129" s="311"/>
      <c r="BI129" s="499"/>
      <c r="BJ129" s="278"/>
      <c r="BK129" s="278"/>
      <c r="BL129" s="278"/>
      <c r="BM129" s="278"/>
      <c r="BN129" s="278"/>
      <c r="BO129" s="500"/>
    </row>
    <row r="130" spans="2:67" x14ac:dyDescent="0.2">
      <c r="B130" s="312"/>
      <c r="C130" s="252"/>
      <c r="D130" s="252"/>
      <c r="E130" s="252"/>
      <c r="F130" s="252"/>
      <c r="G130" s="252"/>
      <c r="H130" s="252"/>
      <c r="I130" s="252"/>
      <c r="J130" s="252"/>
      <c r="K130" s="252"/>
      <c r="L130" s="252"/>
      <c r="M130" s="252"/>
      <c r="N130" s="1181" t="s">
        <v>802</v>
      </c>
      <c r="O130" s="1181"/>
      <c r="P130" s="1181"/>
      <c r="Q130" s="1181"/>
      <c r="R130" s="1181"/>
      <c r="S130" s="1181"/>
      <c r="T130" s="1181"/>
      <c r="U130" s="1181"/>
      <c r="V130" s="1181"/>
      <c r="W130" s="1181"/>
      <c r="X130" s="1181"/>
      <c r="Y130" s="252"/>
      <c r="Z130" s="252"/>
      <c r="AA130" s="252"/>
      <c r="AB130" s="252"/>
      <c r="AC130" s="252"/>
      <c r="AD130" s="252"/>
      <c r="AE130" s="252"/>
      <c r="AF130" s="252"/>
      <c r="AG130" s="252"/>
      <c r="AH130" s="252"/>
      <c r="AI130" s="252"/>
      <c r="AJ130" s="252"/>
      <c r="AK130" s="252"/>
      <c r="AL130" s="252"/>
      <c r="AM130" s="252"/>
      <c r="AN130" s="1181" t="s">
        <v>802</v>
      </c>
      <c r="AO130" s="1181"/>
      <c r="AP130" s="1181"/>
      <c r="AQ130" s="1181"/>
      <c r="AR130" s="1181"/>
      <c r="AS130" s="1181"/>
      <c r="AT130" s="1181"/>
      <c r="AU130" s="1181"/>
      <c r="AV130" s="1181"/>
      <c r="AW130" s="1181"/>
      <c r="AX130" s="1181"/>
      <c r="AY130" s="252"/>
      <c r="AZ130" s="252"/>
      <c r="BA130" s="252"/>
      <c r="BB130" s="252"/>
      <c r="BC130" s="252"/>
      <c r="BD130" s="252"/>
      <c r="BE130" s="252"/>
      <c r="BF130" s="252"/>
      <c r="BG130" s="311"/>
      <c r="BI130" s="499"/>
      <c r="BJ130" s="278"/>
      <c r="BK130" s="278"/>
      <c r="BL130" s="278"/>
      <c r="BM130" s="278"/>
      <c r="BN130" s="278"/>
      <c r="BO130" s="500"/>
    </row>
    <row r="131" spans="2:67" ht="16" thickBot="1" x14ac:dyDescent="0.25">
      <c r="B131" s="315"/>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0"/>
      <c r="AY131" s="320"/>
      <c r="AZ131" s="320"/>
      <c r="BA131" s="320"/>
      <c r="BB131" s="320"/>
      <c r="BC131" s="320"/>
      <c r="BD131" s="320"/>
      <c r="BE131" s="320"/>
      <c r="BF131" s="320"/>
      <c r="BG131" s="321"/>
      <c r="BI131" s="502"/>
      <c r="BJ131" s="503"/>
      <c r="BK131" s="503"/>
      <c r="BL131" s="503"/>
      <c r="BM131" s="503"/>
      <c r="BN131" s="503"/>
      <c r="BO131" s="504"/>
    </row>
  </sheetData>
  <sheetProtection password="C613" sheet="1" objects="1" scenarios="1"/>
  <mergeCells count="110">
    <mergeCell ref="D53:AK53"/>
    <mergeCell ref="D54:AK54"/>
    <mergeCell ref="AL58:AW58"/>
    <mergeCell ref="AL59:AW59"/>
    <mergeCell ref="AL60:AW60"/>
    <mergeCell ref="B2:BG3"/>
    <mergeCell ref="Q6:AT6"/>
    <mergeCell ref="AF21:AP21"/>
    <mergeCell ref="AX21:BF21"/>
    <mergeCell ref="A7:D7"/>
    <mergeCell ref="B8:BG8"/>
    <mergeCell ref="C10:BF10"/>
    <mergeCell ref="C13:T13"/>
    <mergeCell ref="AR13:BD13"/>
    <mergeCell ref="P16:S16"/>
    <mergeCell ref="D17:N19"/>
    <mergeCell ref="P18:S18"/>
    <mergeCell ref="U18:AY18"/>
    <mergeCell ref="BA18:BF18"/>
    <mergeCell ref="A4:D4"/>
    <mergeCell ref="X13:AN13"/>
    <mergeCell ref="D21:AC21"/>
    <mergeCell ref="A5:D5"/>
    <mergeCell ref="A6:D6"/>
    <mergeCell ref="C24:T24"/>
    <mergeCell ref="X24:AL24"/>
    <mergeCell ref="AO24:BF24"/>
    <mergeCell ref="C27:T27"/>
    <mergeCell ref="X27:AL27"/>
    <mergeCell ref="C30:T30"/>
    <mergeCell ref="X30:AL30"/>
    <mergeCell ref="AO30:BF30"/>
    <mergeCell ref="AL48:AW48"/>
    <mergeCell ref="C36:T36"/>
    <mergeCell ref="X36:AL36"/>
    <mergeCell ref="C39:T39"/>
    <mergeCell ref="X39:AL39"/>
    <mergeCell ref="C42:T42"/>
    <mergeCell ref="X42:AL42"/>
    <mergeCell ref="C33:T33"/>
    <mergeCell ref="X33:AL33"/>
    <mergeCell ref="B45:BG45"/>
    <mergeCell ref="AL66:AW66"/>
    <mergeCell ref="AL67:AW67"/>
    <mergeCell ref="D68:AK68"/>
    <mergeCell ref="D69:AK69"/>
    <mergeCell ref="D63:AK63"/>
    <mergeCell ref="D65:AK65"/>
    <mergeCell ref="D66:AK66"/>
    <mergeCell ref="D67:AK67"/>
    <mergeCell ref="C46:BF46"/>
    <mergeCell ref="D48:AK48"/>
    <mergeCell ref="AL61:AW61"/>
    <mergeCell ref="AL49:AW49"/>
    <mergeCell ref="AL50:AW50"/>
    <mergeCell ref="AL51:AW57"/>
    <mergeCell ref="D55:AK55"/>
    <mergeCell ref="D56:AK56"/>
    <mergeCell ref="D57:AK57"/>
    <mergeCell ref="D58:AK58"/>
    <mergeCell ref="D59:AK59"/>
    <mergeCell ref="D60:AK60"/>
    <mergeCell ref="D49:AK49"/>
    <mergeCell ref="D50:AK50"/>
    <mergeCell ref="D51:AK51"/>
    <mergeCell ref="D52:AK52"/>
    <mergeCell ref="N130:X130"/>
    <mergeCell ref="AN130:AX130"/>
    <mergeCell ref="J121:AB121"/>
    <mergeCell ref="AJ121:BB121"/>
    <mergeCell ref="N122:X122"/>
    <mergeCell ref="AN122:AX122"/>
    <mergeCell ref="J125:AB125"/>
    <mergeCell ref="AJ125:BB125"/>
    <mergeCell ref="B74:BG74"/>
    <mergeCell ref="C88:BF88"/>
    <mergeCell ref="C89:BF100"/>
    <mergeCell ref="C76:BF76"/>
    <mergeCell ref="C77:BF77"/>
    <mergeCell ref="C78:BF78"/>
    <mergeCell ref="C79:BF79"/>
    <mergeCell ref="C80:BF80"/>
    <mergeCell ref="C81:BF81"/>
    <mergeCell ref="C82:BF82"/>
    <mergeCell ref="AI110:BD110"/>
    <mergeCell ref="AI111:BD111"/>
    <mergeCell ref="BI2:BO2"/>
    <mergeCell ref="N126:X126"/>
    <mergeCell ref="AN126:AX126"/>
    <mergeCell ref="J129:AB129"/>
    <mergeCell ref="AJ129:BB129"/>
    <mergeCell ref="J117:AB117"/>
    <mergeCell ref="AJ117:BB117"/>
    <mergeCell ref="N118:X118"/>
    <mergeCell ref="AN118:AX118"/>
    <mergeCell ref="C105:BF105"/>
    <mergeCell ref="C107:BF107"/>
    <mergeCell ref="H108:T108"/>
    <mergeCell ref="C102:BF104"/>
    <mergeCell ref="D72:AV72"/>
    <mergeCell ref="D61:AK61"/>
    <mergeCell ref="D62:AK62"/>
    <mergeCell ref="C83:BF83"/>
    <mergeCell ref="C84:BF84"/>
    <mergeCell ref="C85:BF85"/>
    <mergeCell ref="C86:BF86"/>
    <mergeCell ref="C87:BF87"/>
    <mergeCell ref="AL62:AW62"/>
    <mergeCell ref="AL63:AW63"/>
    <mergeCell ref="AL65:AW65"/>
  </mergeCells>
  <conditionalFormatting sqref="D49:AW49">
    <cfRule type="expression" dxfId="26" priority="12">
      <formula>$AL$48&gt;250</formula>
    </cfRule>
  </conditionalFormatting>
  <conditionalFormatting sqref="D50:AW57">
    <cfRule type="expression" dxfId="25" priority="10">
      <formula>$AL$49="kitöltendő legördülő cella"</formula>
    </cfRule>
    <cfRule type="expression" dxfId="24" priority="11">
      <formula>$AL$49="nem"</formula>
    </cfRule>
  </conditionalFormatting>
  <conditionalFormatting sqref="D58:AW58">
    <cfRule type="expression" dxfId="23" priority="8">
      <formula>$AL$49="kitöltendő legördülő cella"</formula>
    </cfRule>
    <cfRule type="expression" dxfId="22" priority="9">
      <formula>$AL$49="nem"</formula>
    </cfRule>
  </conditionalFormatting>
  <conditionalFormatting sqref="D59:AW59">
    <cfRule type="expression" dxfId="21" priority="5">
      <formula>$AL$58&gt;250</formula>
    </cfRule>
    <cfRule type="expression" dxfId="20" priority="6">
      <formula>$AL$51="kitöltendő legördülő cella"</formula>
    </cfRule>
    <cfRule type="expression" dxfId="19" priority="7">
      <formula>$AL$51="nem"</formula>
    </cfRule>
  </conditionalFormatting>
  <conditionalFormatting sqref="D61:AW63">
    <cfRule type="expression" dxfId="18" priority="3">
      <formula>$AL$60="kitöltendő legördülő cella"</formula>
    </cfRule>
    <cfRule type="expression" dxfId="17" priority="4">
      <formula>$AL$60="nem"</formula>
    </cfRule>
  </conditionalFormatting>
  <dataValidations count="3">
    <dataValidation type="list" allowBlank="1" showInputMessage="1" showErrorMessage="1" sqref="AL49:AW49 AL51:AW57 AL60:AW60 AL62:AW62" xr:uid="{00000000-0002-0000-0B00-000000000000}">
      <formula1>$BI$48:$BI$50</formula1>
    </dataValidation>
    <dataValidation type="list" allowBlank="1" showInputMessage="1" showErrorMessage="1" sqref="AL59:AW59" xr:uid="{00000000-0002-0000-0B00-000001000000}">
      <formula1>$BM$48:$BM$56</formula1>
    </dataValidation>
    <dataValidation type="list" allowBlank="1" showInputMessage="1" showErrorMessage="1" sqref="AL63:AW63" xr:uid="{00000000-0002-0000-0B00-000002000000}">
      <formula1>$BI$52:$BI$54</formula1>
    </dataValidation>
  </dataValidations>
  <pageMargins left="0" right="0" top="0" bottom="0" header="0" footer="0"/>
  <pageSetup paperSize="9" scale="47" orientation="portrait" r:id="rId1"/>
  <rowBreaks count="1" manualBreakCount="1">
    <brk id="73" max="16383" man="1"/>
  </rowBreaks>
  <extLst>
    <ext xmlns:x14="http://schemas.microsoft.com/office/spreadsheetml/2009/9/main" uri="{78C0D931-6437-407d-A8EE-F0AAD7539E65}">
      <x14:conditionalFormattings>
        <x14:conditionalFormatting xmlns:xm="http://schemas.microsoft.com/office/excel/2006/main">
          <x14:cfRule type="expression" priority="1" id="{F84300FD-861B-45C3-A0BD-8E8BC11B90F4}">
            <xm:f>OR('Refinanszírozás célja'!$BP$52=4,'Refinanszírozás célja'!$BP$53=5)</xm:f>
            <x14:dxf>
              <fill>
                <patternFill patternType="gray0625"/>
              </fill>
            </x14:dxf>
          </x14:cfRule>
          <x14:cfRule type="expression" priority="2" id="{ED20AD17-F158-4A29-AB3A-9B880A337F73}">
            <xm:f>'Refinanszírozás célja'!$BP$51=3</xm:f>
            <x14:dxf>
              <fill>
                <patternFill patternType="gray0625"/>
              </fill>
            </x14:dxf>
          </x14:cfRule>
          <xm:sqref>A1:BG109 A112:BG131 BE110:BG111 A110:AI111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3">
    <tabColor theme="3" tint="0.79998168889431442"/>
    <pageSetUpPr fitToPage="1"/>
  </sheetPr>
  <dimension ref="A1:BH937"/>
  <sheetViews>
    <sheetView view="pageBreakPreview" zoomScale="80" zoomScaleNormal="70" zoomScaleSheetLayoutView="80" workbookViewId="0">
      <selection activeCell="C41" sqref="C41:BF41"/>
    </sheetView>
  </sheetViews>
  <sheetFormatPr baseColWidth="10" defaultColWidth="9.1640625" defaultRowHeight="14" x14ac:dyDescent="0.15"/>
  <cols>
    <col min="1" max="1" width="1.83203125" style="223" customWidth="1"/>
    <col min="2" max="2" width="2.6640625" style="223" customWidth="1"/>
    <col min="3" max="3" width="12.6640625" style="223" customWidth="1"/>
    <col min="4" max="39" width="2.6640625" style="223" customWidth="1"/>
    <col min="40" max="40" width="12.1640625" style="223" customWidth="1"/>
    <col min="41" max="58" width="2.6640625" style="223" customWidth="1"/>
    <col min="59" max="59" width="14.6640625" style="223" customWidth="1"/>
    <col min="60" max="60" width="0" style="223" hidden="1" customWidth="1"/>
    <col min="61" max="229" width="3.5" style="223" customWidth="1"/>
    <col min="230" max="16384" width="9.1640625" style="223"/>
  </cols>
  <sheetData>
    <row r="1" spans="1:59" ht="14.25" customHeight="1" x14ac:dyDescent="0.15">
      <c r="A1" s="1050"/>
      <c r="B1" s="1051"/>
      <c r="C1" s="1051"/>
      <c r="D1" s="1051"/>
      <c r="E1" s="1051"/>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c r="AM1" s="1050"/>
      <c r="AN1" s="1050"/>
      <c r="AO1" s="1050"/>
      <c r="AP1" s="1050"/>
      <c r="AQ1" s="1050"/>
      <c r="AR1" s="1050"/>
      <c r="AS1" s="1050"/>
      <c r="AT1" s="1050"/>
      <c r="AU1" s="1050"/>
      <c r="AV1" s="1050"/>
      <c r="AW1" s="1050"/>
      <c r="AX1" s="1050"/>
      <c r="AY1" s="1050"/>
      <c r="AZ1" s="1050"/>
      <c r="BA1" s="1050"/>
      <c r="BB1" s="1050"/>
      <c r="BC1" s="1050"/>
      <c r="BD1" s="1050"/>
      <c r="BE1" s="1050"/>
      <c r="BF1" s="1050"/>
      <c r="BG1" s="1050"/>
    </row>
    <row r="2" spans="1:59" ht="14.25" customHeight="1" x14ac:dyDescent="0.15">
      <c r="A2" s="1050"/>
      <c r="B2" s="1762" t="str">
        <f>+IF(Hitelprog_Rovid="","",Hitelprog_Rovid)</f>
        <v/>
      </c>
      <c r="C2" s="1762"/>
      <c r="D2" s="1762"/>
      <c r="E2" s="1762"/>
      <c r="F2" s="1762"/>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762"/>
      <c r="AZ2" s="1762"/>
      <c r="BA2" s="1762"/>
      <c r="BB2" s="1762"/>
      <c r="BC2" s="1762"/>
      <c r="BD2" s="1762"/>
      <c r="BE2" s="1762"/>
      <c r="BF2" s="1762"/>
      <c r="BG2" s="1762"/>
    </row>
    <row r="3" spans="1:59" ht="14.25" customHeight="1" x14ac:dyDescent="0.15">
      <c r="A3" s="1050"/>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2"/>
      <c r="BF3" s="1762"/>
      <c r="BG3" s="1762"/>
    </row>
    <row r="4" spans="1:59" x14ac:dyDescent="0.15">
      <c r="A4" s="1752"/>
      <c r="B4" s="1752"/>
      <c r="C4" s="1752"/>
      <c r="D4" s="1752"/>
      <c r="E4" s="1050"/>
      <c r="F4" s="1050"/>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1050"/>
      <c r="BG4" s="1050"/>
    </row>
    <row r="5" spans="1:59" ht="15" thickBot="1" x14ac:dyDescent="0.2">
      <c r="A5" s="1752"/>
      <c r="B5" s="1752"/>
      <c r="C5" s="1752"/>
      <c r="D5" s="1752"/>
      <c r="E5" s="1050"/>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050"/>
    </row>
    <row r="6" spans="1:59" ht="24" customHeight="1" thickBot="1" x14ac:dyDescent="0.2">
      <c r="A6" s="1752"/>
      <c r="B6" s="1752"/>
      <c r="C6" s="1752"/>
      <c r="D6" s="1752"/>
      <c r="E6" s="1050"/>
      <c r="F6" s="1050"/>
      <c r="G6" s="1050"/>
      <c r="H6" s="1050"/>
      <c r="I6" s="1050"/>
      <c r="J6" s="1050"/>
      <c r="K6" s="1050"/>
      <c r="L6" s="1050"/>
      <c r="M6" s="1050"/>
      <c r="N6" s="1050"/>
      <c r="O6" s="1050"/>
      <c r="P6" s="1050"/>
      <c r="Q6" s="1766" t="str">
        <f>+IF(B2="MFB NHP Fix Lízing Refinanszírozási Program","FINANSZÍROZÁSI KATEGÓRIA NYILATKOZAT","TÁMOGATÁSI KATEGÓRIA NYILATKOZAT")</f>
        <v>TÁMOGATÁSI KATEGÓRIA NYILATKOZAT</v>
      </c>
      <c r="R6" s="1767"/>
      <c r="S6" s="1767"/>
      <c r="T6" s="1767"/>
      <c r="U6" s="1767"/>
      <c r="V6" s="1767"/>
      <c r="W6" s="1767"/>
      <c r="X6" s="1767"/>
      <c r="Y6" s="1767"/>
      <c r="Z6" s="1767"/>
      <c r="AA6" s="1767"/>
      <c r="AB6" s="1767"/>
      <c r="AC6" s="1767"/>
      <c r="AD6" s="1767"/>
      <c r="AE6" s="1767"/>
      <c r="AF6" s="1767"/>
      <c r="AG6" s="1767"/>
      <c r="AH6" s="1767"/>
      <c r="AI6" s="1767"/>
      <c r="AJ6" s="1767"/>
      <c r="AK6" s="1767"/>
      <c r="AL6" s="1767"/>
      <c r="AM6" s="1767"/>
      <c r="AN6" s="1767"/>
      <c r="AO6" s="1767"/>
      <c r="AP6" s="1767"/>
      <c r="AQ6" s="1767"/>
      <c r="AR6" s="1767"/>
      <c r="AS6" s="1768"/>
      <c r="AT6" s="1050"/>
      <c r="AU6" s="1050"/>
      <c r="AV6" s="1050"/>
      <c r="AW6" s="1050"/>
      <c r="AX6" s="1050"/>
      <c r="AY6" s="1050"/>
      <c r="AZ6" s="1050"/>
      <c r="BA6" s="1050"/>
      <c r="BB6" s="1050"/>
      <c r="BC6" s="1050"/>
      <c r="BD6" s="1050"/>
      <c r="BE6" s="1050"/>
      <c r="BF6" s="1050"/>
      <c r="BG6" s="1050"/>
    </row>
    <row r="7" spans="1:59" x14ac:dyDescent="0.15">
      <c r="A7" s="1752"/>
      <c r="B7" s="1752"/>
      <c r="C7" s="1752"/>
      <c r="D7" s="1752"/>
      <c r="E7" s="1050"/>
      <c r="F7" s="1050"/>
      <c r="G7" s="1050"/>
      <c r="H7" s="1050"/>
      <c r="I7" s="1050"/>
      <c r="J7" s="1050"/>
      <c r="K7" s="1050"/>
      <c r="L7" s="1050"/>
      <c r="M7" s="1050"/>
      <c r="N7" s="1050"/>
      <c r="O7" s="1050"/>
      <c r="P7" s="1050"/>
      <c r="Q7" s="1050"/>
      <c r="R7" s="1050"/>
      <c r="S7" s="1050"/>
      <c r="T7" s="1050"/>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c r="AT7" s="1050"/>
      <c r="AU7" s="1050"/>
      <c r="AV7" s="1050"/>
      <c r="AW7" s="1050"/>
      <c r="AX7" s="1050"/>
      <c r="AY7" s="1050"/>
      <c r="AZ7" s="1050"/>
      <c r="BA7" s="1050"/>
      <c r="BB7" s="1050"/>
      <c r="BC7" s="1050"/>
      <c r="BD7" s="1050"/>
      <c r="BE7" s="1050"/>
      <c r="BF7" s="1050"/>
      <c r="BG7" s="1050"/>
    </row>
    <row r="8" spans="1:59" x14ac:dyDescent="0.15">
      <c r="A8" s="1052"/>
      <c r="B8" s="1753" t="s">
        <v>841</v>
      </c>
      <c r="C8" s="1754"/>
      <c r="D8" s="1754"/>
      <c r="E8" s="1754"/>
      <c r="F8" s="1754"/>
      <c r="G8" s="1754"/>
      <c r="H8" s="1754"/>
      <c r="I8" s="1754"/>
      <c r="J8" s="1754"/>
      <c r="K8" s="1754"/>
      <c r="L8" s="1754"/>
      <c r="M8" s="1754"/>
      <c r="N8" s="1754"/>
      <c r="O8" s="1754"/>
      <c r="P8" s="1754"/>
      <c r="Q8" s="1754"/>
      <c r="R8" s="1754"/>
      <c r="S8" s="1754"/>
      <c r="T8" s="1754"/>
      <c r="U8" s="1754"/>
      <c r="V8" s="1754"/>
      <c r="W8" s="1754"/>
      <c r="X8" s="1754"/>
      <c r="Y8" s="1754"/>
      <c r="Z8" s="1754"/>
      <c r="AA8" s="1754"/>
      <c r="AB8" s="1754"/>
      <c r="AC8" s="1754"/>
      <c r="AD8" s="1754"/>
      <c r="AE8" s="1754"/>
      <c r="AF8" s="1754"/>
      <c r="AG8" s="1754"/>
      <c r="AH8" s="1754"/>
      <c r="AI8" s="1754"/>
      <c r="AJ8" s="1754"/>
      <c r="AK8" s="1754"/>
      <c r="AL8" s="1754"/>
      <c r="AM8" s="1754"/>
      <c r="AN8" s="1754"/>
      <c r="AO8" s="1754"/>
      <c r="AP8" s="1754"/>
      <c r="AQ8" s="1754"/>
      <c r="AR8" s="1754"/>
      <c r="AS8" s="1754"/>
      <c r="AT8" s="1754"/>
      <c r="AU8" s="1754"/>
      <c r="AV8" s="1754"/>
      <c r="AW8" s="1754"/>
      <c r="AX8" s="1754"/>
      <c r="AY8" s="1754"/>
      <c r="AZ8" s="1754"/>
      <c r="BA8" s="1754"/>
      <c r="BB8" s="1754"/>
      <c r="BC8" s="1754"/>
      <c r="BD8" s="1754"/>
      <c r="BE8" s="1754"/>
      <c r="BF8" s="1754"/>
      <c r="BG8" s="1755"/>
    </row>
    <row r="9" spans="1:59" ht="15" thickBot="1" x14ac:dyDescent="0.2">
      <c r="A9" s="1052"/>
      <c r="B9" s="1053"/>
      <c r="C9" s="1054"/>
      <c r="D9" s="1054"/>
      <c r="E9" s="1055"/>
      <c r="F9" s="1055"/>
      <c r="G9" s="1055"/>
      <c r="H9" s="1055"/>
      <c r="I9" s="1055"/>
      <c r="J9" s="1055"/>
      <c r="K9" s="1055"/>
      <c r="L9" s="1055"/>
      <c r="M9" s="1055"/>
      <c r="N9" s="1055"/>
      <c r="O9" s="1055"/>
      <c r="P9" s="1055"/>
      <c r="Q9" s="1055"/>
      <c r="R9" s="1055"/>
      <c r="S9" s="1055"/>
      <c r="T9" s="1055"/>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c r="AT9" s="1055"/>
      <c r="AU9" s="1055"/>
      <c r="AV9" s="1055"/>
      <c r="AW9" s="1055"/>
      <c r="AX9" s="1055"/>
      <c r="AY9" s="1055"/>
      <c r="AZ9" s="1055"/>
      <c r="BA9" s="1055"/>
      <c r="BB9" s="1055"/>
      <c r="BC9" s="1055"/>
      <c r="BD9" s="1055"/>
      <c r="BE9" s="1055"/>
      <c r="BF9" s="1055"/>
      <c r="BG9" s="1056"/>
    </row>
    <row r="10" spans="1:59" ht="15" thickBot="1" x14ac:dyDescent="0.2">
      <c r="A10" s="1052"/>
      <c r="B10" s="1053"/>
      <c r="C10" s="1756" t="str">
        <f>+IF('Refinanszírozási kérelem'!C28:BF28="","",'Refinanszírozási kérelem'!C28:BF28)</f>
        <v/>
      </c>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757"/>
      <c r="AV10" s="1757"/>
      <c r="AW10" s="1757"/>
      <c r="AX10" s="1757"/>
      <c r="AY10" s="1757"/>
      <c r="AZ10" s="1757"/>
      <c r="BA10" s="1757"/>
      <c r="BB10" s="1757"/>
      <c r="BC10" s="1757"/>
      <c r="BD10" s="1757"/>
      <c r="BE10" s="1757"/>
      <c r="BF10" s="1758"/>
      <c r="BG10" s="1056"/>
    </row>
    <row r="11" spans="1:59" x14ac:dyDescent="0.15">
      <c r="A11" s="1052"/>
      <c r="B11" s="1053"/>
      <c r="C11" s="1054"/>
      <c r="D11" s="1057" t="s">
        <v>370</v>
      </c>
      <c r="E11" s="1055"/>
      <c r="F11" s="1055"/>
      <c r="G11" s="1055"/>
      <c r="H11" s="1055"/>
      <c r="I11" s="1055"/>
      <c r="J11" s="1055"/>
      <c r="K11" s="1055"/>
      <c r="L11" s="1055"/>
      <c r="M11" s="1055"/>
      <c r="N11" s="1055"/>
      <c r="O11" s="1055"/>
      <c r="P11" s="1055"/>
      <c r="Q11" s="1055"/>
      <c r="R11" s="1055"/>
      <c r="S11" s="1055"/>
      <c r="T11" s="1055"/>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6"/>
    </row>
    <row r="12" spans="1:59" ht="15" thickBot="1" x14ac:dyDescent="0.2">
      <c r="A12" s="1052"/>
      <c r="B12" s="1053"/>
      <c r="C12" s="1054"/>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c r="AT12" s="1055"/>
      <c r="AU12" s="1055"/>
      <c r="AV12" s="1055"/>
      <c r="AW12" s="1055"/>
      <c r="AX12" s="1055"/>
      <c r="AY12" s="1055"/>
      <c r="AZ12" s="1055"/>
      <c r="BA12" s="1055"/>
      <c r="BB12" s="1055"/>
      <c r="BC12" s="1055"/>
      <c r="BD12" s="1055"/>
      <c r="BE12" s="1055"/>
      <c r="BF12" s="1055"/>
      <c r="BG12" s="1056"/>
    </row>
    <row r="13" spans="1:59" ht="15" thickBot="1" x14ac:dyDescent="0.2">
      <c r="A13" s="1052"/>
      <c r="B13" s="1053"/>
      <c r="C13" s="1763" t="str">
        <f>+IF(Nyilatkozatok!C13="","",Nyilatkozatok!C13)</f>
        <v/>
      </c>
      <c r="D13" s="1764"/>
      <c r="E13" s="1764"/>
      <c r="F13" s="1764"/>
      <c r="G13" s="1764"/>
      <c r="H13" s="1764"/>
      <c r="I13" s="1764"/>
      <c r="J13" s="1764"/>
      <c r="K13" s="1764"/>
      <c r="L13" s="1764"/>
      <c r="M13" s="1764"/>
      <c r="N13" s="1764"/>
      <c r="O13" s="1764"/>
      <c r="P13" s="1764"/>
      <c r="Q13" s="1764"/>
      <c r="R13" s="1764"/>
      <c r="S13" s="1764"/>
      <c r="T13" s="1765"/>
      <c r="U13" s="1055"/>
      <c r="V13" s="1055"/>
      <c r="W13" s="1055"/>
      <c r="X13" s="1763" t="str">
        <f>+IF(Nyilatkozatok!X13="","",Nyilatkozatok!X13)</f>
        <v/>
      </c>
      <c r="Y13" s="1764"/>
      <c r="Z13" s="1764"/>
      <c r="AA13" s="1764"/>
      <c r="AB13" s="1764"/>
      <c r="AC13" s="1764"/>
      <c r="AD13" s="1764"/>
      <c r="AE13" s="1764"/>
      <c r="AF13" s="1764"/>
      <c r="AG13" s="1764"/>
      <c r="AH13" s="1764"/>
      <c r="AI13" s="1764"/>
      <c r="AJ13" s="1764"/>
      <c r="AK13" s="1764"/>
      <c r="AL13" s="1764"/>
      <c r="AM13" s="1764"/>
      <c r="AN13" s="1765"/>
      <c r="AO13" s="1054"/>
      <c r="AP13" s="1054"/>
      <c r="AQ13" s="1055"/>
      <c r="AR13" s="1763" t="str">
        <f>+IF(Nyilatkozatok!AR13="","",Nyilatkozatok!AR13)</f>
        <v/>
      </c>
      <c r="AS13" s="1764"/>
      <c r="AT13" s="1764"/>
      <c r="AU13" s="1764"/>
      <c r="AV13" s="1764"/>
      <c r="AW13" s="1764"/>
      <c r="AX13" s="1764"/>
      <c r="AY13" s="1764"/>
      <c r="AZ13" s="1764"/>
      <c r="BA13" s="1764"/>
      <c r="BB13" s="1764"/>
      <c r="BC13" s="1764"/>
      <c r="BD13" s="1765"/>
      <c r="BE13" s="1055"/>
      <c r="BF13" s="1055"/>
      <c r="BG13" s="1056"/>
    </row>
    <row r="14" spans="1:59" x14ac:dyDescent="0.15">
      <c r="A14" s="1052"/>
      <c r="B14" s="1053"/>
      <c r="C14" s="1054" t="s">
        <v>581</v>
      </c>
      <c r="D14" s="1054"/>
      <c r="E14" s="1055"/>
      <c r="F14" s="1055"/>
      <c r="G14" s="1055"/>
      <c r="H14" s="1055"/>
      <c r="I14" s="1055"/>
      <c r="J14" s="1055"/>
      <c r="K14" s="1055"/>
      <c r="L14" s="1055"/>
      <c r="M14" s="1055"/>
      <c r="N14" s="1055"/>
      <c r="O14" s="1055"/>
      <c r="P14" s="1055"/>
      <c r="Q14" s="1055"/>
      <c r="R14" s="1055"/>
      <c r="S14" s="1055"/>
      <c r="T14" s="1055"/>
      <c r="U14" s="1055"/>
      <c r="V14" s="1055"/>
      <c r="W14" s="1055"/>
      <c r="X14" s="1055" t="s">
        <v>582</v>
      </c>
      <c r="Y14" s="1055"/>
      <c r="Z14" s="1055"/>
      <c r="AA14" s="1055"/>
      <c r="AB14" s="1055"/>
      <c r="AC14" s="1055"/>
      <c r="AD14" s="1055"/>
      <c r="AE14" s="1055"/>
      <c r="AF14" s="1055"/>
      <c r="AG14" s="1055"/>
      <c r="AH14" s="1055"/>
      <c r="AI14" s="1055"/>
      <c r="AJ14" s="1055"/>
      <c r="AK14" s="1055"/>
      <c r="AL14" s="1055"/>
      <c r="AM14" s="1055"/>
      <c r="AN14" s="1055"/>
      <c r="AO14" s="1055"/>
      <c r="AP14" s="1055"/>
      <c r="AQ14" s="1055"/>
      <c r="AR14" s="1055" t="s">
        <v>583</v>
      </c>
      <c r="AS14" s="1055"/>
      <c r="AT14" s="1055"/>
      <c r="AU14" s="1055"/>
      <c r="AV14" s="1055"/>
      <c r="AW14" s="1055"/>
      <c r="AX14" s="1055"/>
      <c r="AY14" s="1055"/>
      <c r="AZ14" s="1055"/>
      <c r="BA14" s="1055"/>
      <c r="BB14" s="1055"/>
      <c r="BC14" s="1055"/>
      <c r="BD14" s="1055"/>
      <c r="BE14" s="1055"/>
      <c r="BF14" s="1055"/>
      <c r="BG14" s="1056"/>
    </row>
    <row r="15" spans="1:59" ht="15" thickBot="1" x14ac:dyDescent="0.2">
      <c r="A15" s="1052"/>
      <c r="B15" s="1053"/>
      <c r="C15" s="1054"/>
      <c r="D15" s="1054"/>
      <c r="E15" s="1055"/>
      <c r="F15" s="1055"/>
      <c r="G15" s="1055"/>
      <c r="H15" s="1055"/>
      <c r="I15" s="1055"/>
      <c r="J15" s="1055"/>
      <c r="K15" s="1055"/>
      <c r="L15" s="1055"/>
      <c r="M15" s="1055"/>
      <c r="N15" s="1055"/>
      <c r="O15" s="1055"/>
      <c r="P15" s="1055"/>
      <c r="Q15" s="1055"/>
      <c r="R15" s="1055"/>
      <c r="S15" s="1055"/>
      <c r="T15" s="1055"/>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c r="AT15" s="1055"/>
      <c r="AU15" s="1055"/>
      <c r="AV15" s="1055"/>
      <c r="AW15" s="1055"/>
      <c r="AX15" s="1055"/>
      <c r="AY15" s="1055"/>
      <c r="AZ15" s="1055"/>
      <c r="BA15" s="1055"/>
      <c r="BB15" s="1055"/>
      <c r="BC15" s="1055"/>
      <c r="BD15" s="1055"/>
      <c r="BE15" s="1055"/>
      <c r="BF15" s="1055"/>
      <c r="BG15" s="1056"/>
    </row>
    <row r="16" spans="1:59" ht="15" thickBot="1" x14ac:dyDescent="0.2">
      <c r="A16" s="1052"/>
      <c r="B16" s="1053"/>
      <c r="C16" s="1054"/>
      <c r="D16" s="1054"/>
      <c r="E16" s="1055"/>
      <c r="F16" s="1055"/>
      <c r="G16" s="1055"/>
      <c r="H16" s="1055"/>
      <c r="I16" s="1055"/>
      <c r="J16" s="1055"/>
      <c r="K16" s="1055"/>
      <c r="L16" s="1055"/>
      <c r="M16" s="1055"/>
      <c r="N16" s="1055"/>
      <c r="O16" s="1055"/>
      <c r="P16" s="1763" t="str">
        <f>+IF(Nyilatkozatok!P16="","",Nyilatkozatok!P16)</f>
        <v>HU</v>
      </c>
      <c r="Q16" s="1764"/>
      <c r="R16" s="1764"/>
      <c r="S16" s="1765"/>
      <c r="T16" s="1055"/>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c r="AT16" s="1055"/>
      <c r="AU16" s="1055"/>
      <c r="AV16" s="1055"/>
      <c r="AW16" s="1055"/>
      <c r="AX16" s="1055"/>
      <c r="AY16" s="1055"/>
      <c r="AZ16" s="1055"/>
      <c r="BA16" s="1055"/>
      <c r="BB16" s="1055"/>
      <c r="BC16" s="1055"/>
      <c r="BD16" s="1055"/>
      <c r="BE16" s="1055"/>
      <c r="BF16" s="1055"/>
      <c r="BG16" s="1056"/>
    </row>
    <row r="17" spans="1:59" ht="15" customHeight="1" thickBot="1" x14ac:dyDescent="0.2">
      <c r="A17" s="1052"/>
      <c r="B17" s="1053"/>
      <c r="C17" s="1054"/>
      <c r="D17" s="1769" t="s">
        <v>584</v>
      </c>
      <c r="E17" s="1769"/>
      <c r="F17" s="1769"/>
      <c r="G17" s="1769"/>
      <c r="H17" s="1769"/>
      <c r="I17" s="1769"/>
      <c r="J17" s="1769"/>
      <c r="K17" s="1769"/>
      <c r="L17" s="1769"/>
      <c r="M17" s="1769"/>
      <c r="N17" s="1769"/>
      <c r="O17" s="1058"/>
      <c r="P17" s="1058" t="s">
        <v>297</v>
      </c>
      <c r="Q17" s="1058"/>
      <c r="R17" s="1058"/>
      <c r="S17" s="1057"/>
      <c r="T17" s="1058"/>
      <c r="U17" s="1058"/>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57"/>
      <c r="AS17" s="1057"/>
      <c r="AT17" s="1057"/>
      <c r="AU17" s="1057"/>
      <c r="AV17" s="1057"/>
      <c r="AW17" s="1057"/>
      <c r="AX17" s="1057"/>
      <c r="AY17" s="1057"/>
      <c r="AZ17" s="1057"/>
      <c r="BA17" s="1057"/>
      <c r="BB17" s="1057"/>
      <c r="BC17" s="1057"/>
      <c r="BD17" s="1057"/>
      <c r="BE17" s="1057"/>
      <c r="BF17" s="1057"/>
      <c r="BG17" s="1056"/>
    </row>
    <row r="18" spans="1:59" ht="15" thickBot="1" x14ac:dyDescent="0.2">
      <c r="A18" s="1052"/>
      <c r="B18" s="1053"/>
      <c r="C18" s="1054"/>
      <c r="D18" s="1769"/>
      <c r="E18" s="1769"/>
      <c r="F18" s="1769"/>
      <c r="G18" s="1769"/>
      <c r="H18" s="1769"/>
      <c r="I18" s="1769"/>
      <c r="J18" s="1769"/>
      <c r="K18" s="1769"/>
      <c r="L18" s="1769"/>
      <c r="M18" s="1769"/>
      <c r="N18" s="1769"/>
      <c r="O18" s="1059"/>
      <c r="P18" s="1770" t="str">
        <f>+IF('Refinanszírozási kérelem'!P31:S31="","",'Refinanszírozási kérelem'!P31:S31)</f>
        <v/>
      </c>
      <c r="Q18" s="1771"/>
      <c r="R18" s="1771"/>
      <c r="S18" s="1772"/>
      <c r="T18" s="1057"/>
      <c r="U18" s="1773" t="str">
        <f>+IF('Refinanszírozási kérelem'!U31:AY31="","",'Refinanszírozási kérelem'!U31:AY31)</f>
        <v/>
      </c>
      <c r="V18" s="1774"/>
      <c r="W18" s="1774"/>
      <c r="X18" s="1774"/>
      <c r="Y18" s="1774"/>
      <c r="Z18" s="1774"/>
      <c r="AA18" s="1774"/>
      <c r="AB18" s="1774"/>
      <c r="AC18" s="1774"/>
      <c r="AD18" s="1774"/>
      <c r="AE18" s="1774"/>
      <c r="AF18" s="1774"/>
      <c r="AG18" s="1774"/>
      <c r="AH18" s="1774"/>
      <c r="AI18" s="1774"/>
      <c r="AJ18" s="1774"/>
      <c r="AK18" s="1774"/>
      <c r="AL18" s="1774"/>
      <c r="AM18" s="1774"/>
      <c r="AN18" s="1774"/>
      <c r="AO18" s="1774"/>
      <c r="AP18" s="1774"/>
      <c r="AQ18" s="1774"/>
      <c r="AR18" s="1774"/>
      <c r="AS18" s="1774"/>
      <c r="AT18" s="1774"/>
      <c r="AU18" s="1774"/>
      <c r="AV18" s="1774"/>
      <c r="AW18" s="1774"/>
      <c r="AX18" s="1774"/>
      <c r="AY18" s="1775"/>
      <c r="AZ18" s="1057"/>
      <c r="BA18" s="1770" t="str">
        <f>+IF('Refinanszírozási kérelem'!BA31:BF31="","",'Refinanszírozási kérelem'!BA31:BF31)</f>
        <v/>
      </c>
      <c r="BB18" s="1771"/>
      <c r="BC18" s="1771"/>
      <c r="BD18" s="1771"/>
      <c r="BE18" s="1771"/>
      <c r="BF18" s="1772"/>
      <c r="BG18" s="1056"/>
    </row>
    <row r="19" spans="1:59" x14ac:dyDescent="0.15">
      <c r="A19" s="1052"/>
      <c r="B19" s="1053"/>
      <c r="C19" s="1054"/>
      <c r="D19" s="1769"/>
      <c r="E19" s="1769"/>
      <c r="F19" s="1769"/>
      <c r="G19" s="1769"/>
      <c r="H19" s="1769"/>
      <c r="I19" s="1769"/>
      <c r="J19" s="1769"/>
      <c r="K19" s="1769"/>
      <c r="L19" s="1769"/>
      <c r="M19" s="1769"/>
      <c r="N19" s="1769"/>
      <c r="O19" s="1057"/>
      <c r="P19" s="1057" t="s">
        <v>146</v>
      </c>
      <c r="Q19" s="1057"/>
      <c r="R19" s="1057"/>
      <c r="S19" s="1057"/>
      <c r="T19" s="1057"/>
      <c r="U19" s="1057" t="s">
        <v>147</v>
      </c>
      <c r="V19" s="1057"/>
      <c r="W19" s="1057"/>
      <c r="X19" s="1057"/>
      <c r="Y19" s="1057"/>
      <c r="Z19" s="1057"/>
      <c r="AA19" s="1057"/>
      <c r="AB19" s="1057"/>
      <c r="AC19" s="1057"/>
      <c r="AD19" s="1057"/>
      <c r="AE19" s="1057"/>
      <c r="AF19" s="1057"/>
      <c r="AG19" s="1057"/>
      <c r="AH19" s="1057"/>
      <c r="AI19" s="1057"/>
      <c r="AJ19" s="1057"/>
      <c r="AK19" s="1057"/>
      <c r="AL19" s="1057"/>
      <c r="AM19" s="1057"/>
      <c r="AN19" s="1057"/>
      <c r="AO19" s="1057"/>
      <c r="AP19" s="1057"/>
      <c r="AQ19" s="1057"/>
      <c r="AR19" s="1057"/>
      <c r="AS19" s="1057"/>
      <c r="AT19" s="1057"/>
      <c r="AU19" s="1057"/>
      <c r="AV19" s="1057"/>
      <c r="AW19" s="1057"/>
      <c r="AX19" s="1057"/>
      <c r="AY19" s="1057"/>
      <c r="AZ19" s="1057"/>
      <c r="BA19" s="1057" t="s">
        <v>148</v>
      </c>
      <c r="BB19" s="1057"/>
      <c r="BC19" s="1057"/>
      <c r="BD19" s="1057"/>
      <c r="BE19" s="1057"/>
      <c r="BF19" s="1057"/>
      <c r="BG19" s="1056"/>
    </row>
    <row r="20" spans="1:59" ht="15" thickBot="1" x14ac:dyDescent="0.2">
      <c r="A20" s="1052"/>
      <c r="B20" s="1053"/>
      <c r="C20" s="1054"/>
      <c r="D20" s="1060"/>
      <c r="E20" s="1060"/>
      <c r="F20" s="1060"/>
      <c r="G20" s="1060"/>
      <c r="H20" s="1060"/>
      <c r="I20" s="1060"/>
      <c r="J20" s="1060"/>
      <c r="K20" s="1060"/>
      <c r="L20" s="1060"/>
      <c r="M20" s="1060"/>
      <c r="N20" s="1060"/>
      <c r="O20" s="1061"/>
      <c r="P20" s="1057"/>
      <c r="Q20" s="1057"/>
      <c r="R20" s="1057"/>
      <c r="S20" s="1057"/>
      <c r="T20" s="1057"/>
      <c r="U20" s="1057"/>
      <c r="V20" s="1057"/>
      <c r="W20" s="1057"/>
      <c r="X20" s="1057"/>
      <c r="Y20" s="1057"/>
      <c r="Z20" s="1057"/>
      <c r="AA20" s="1057"/>
      <c r="AB20" s="1057"/>
      <c r="AC20" s="1057"/>
      <c r="AD20" s="1057"/>
      <c r="AE20" s="1057"/>
      <c r="AF20" s="1057"/>
      <c r="AG20" s="1057"/>
      <c r="AH20" s="1057"/>
      <c r="AI20" s="1057"/>
      <c r="AJ20" s="1057"/>
      <c r="AK20" s="1057"/>
      <c r="AL20" s="1057"/>
      <c r="AM20" s="1057"/>
      <c r="AN20" s="1057"/>
      <c r="AO20" s="1057"/>
      <c r="AP20" s="1057"/>
      <c r="AQ20" s="1057"/>
      <c r="AR20" s="1057"/>
      <c r="AS20" s="1057"/>
      <c r="AT20" s="1057"/>
      <c r="AU20" s="1057"/>
      <c r="AV20" s="1057"/>
      <c r="AW20" s="1057"/>
      <c r="AX20" s="1057"/>
      <c r="AY20" s="1057"/>
      <c r="AZ20" s="1057"/>
      <c r="BA20" s="1057"/>
      <c r="BB20" s="1057"/>
      <c r="BC20" s="1057"/>
      <c r="BD20" s="1057"/>
      <c r="BE20" s="1057"/>
      <c r="BF20" s="1057"/>
      <c r="BG20" s="1056"/>
    </row>
    <row r="21" spans="1:59" ht="15" thickBot="1" x14ac:dyDescent="0.2">
      <c r="A21" s="1052"/>
      <c r="B21" s="1053"/>
      <c r="C21" s="1054"/>
      <c r="D21" s="1770" t="str">
        <f>+IF('Refinanszírozási kérelem'!D34:AC34="","",'Refinanszírozási kérelem'!D34:AC34)</f>
        <v/>
      </c>
      <c r="E21" s="1771"/>
      <c r="F21" s="1771"/>
      <c r="G21" s="1771"/>
      <c r="H21" s="1771"/>
      <c r="I21" s="1771"/>
      <c r="J21" s="1771"/>
      <c r="K21" s="1771"/>
      <c r="L21" s="1771"/>
      <c r="M21" s="1771"/>
      <c r="N21" s="1771"/>
      <c r="O21" s="1771"/>
      <c r="P21" s="1771"/>
      <c r="Q21" s="1771"/>
      <c r="R21" s="1771"/>
      <c r="S21" s="1771"/>
      <c r="T21" s="1771"/>
      <c r="U21" s="1771"/>
      <c r="V21" s="1771"/>
      <c r="W21" s="1771"/>
      <c r="X21" s="1771"/>
      <c r="Y21" s="1771"/>
      <c r="Z21" s="1771"/>
      <c r="AA21" s="1771"/>
      <c r="AB21" s="1771"/>
      <c r="AC21" s="1772"/>
      <c r="AD21" s="1062"/>
      <c r="AE21" s="1063"/>
      <c r="AF21" s="1770" t="str">
        <f>+IF('Refinanszírozási kérelem'!AF34:AP34="","",'Refinanszírozási kérelem'!AF34:AP34)</f>
        <v>legördülő cella</v>
      </c>
      <c r="AG21" s="1771"/>
      <c r="AH21" s="1771"/>
      <c r="AI21" s="1771"/>
      <c r="AJ21" s="1771"/>
      <c r="AK21" s="1771"/>
      <c r="AL21" s="1771"/>
      <c r="AM21" s="1771"/>
      <c r="AN21" s="1771"/>
      <c r="AO21" s="1771"/>
      <c r="AP21" s="1772"/>
      <c r="AQ21" s="1062"/>
      <c r="AR21" s="1059"/>
      <c r="AS21" s="1059"/>
      <c r="AT21" s="1059"/>
      <c r="AU21" s="1059"/>
      <c r="AV21" s="1059"/>
      <c r="AW21" s="1059"/>
      <c r="AX21" s="1776" t="str">
        <f>+IF(hazszam="","",hazszam)</f>
        <v/>
      </c>
      <c r="AY21" s="1777"/>
      <c r="AZ21" s="1777"/>
      <c r="BA21" s="1777"/>
      <c r="BB21" s="1777"/>
      <c r="BC21" s="1777"/>
      <c r="BD21" s="1777"/>
      <c r="BE21" s="1777"/>
      <c r="BF21" s="1778"/>
      <c r="BG21" s="1056"/>
    </row>
    <row r="22" spans="1:59" x14ac:dyDescent="0.15">
      <c r="A22" s="1052"/>
      <c r="B22" s="1053"/>
      <c r="C22" s="1054"/>
      <c r="D22" s="1057" t="s">
        <v>149</v>
      </c>
      <c r="E22" s="1057"/>
      <c r="F22" s="1057"/>
      <c r="G22" s="1057"/>
      <c r="H22" s="1057"/>
      <c r="I22" s="1057"/>
      <c r="J22" s="1057"/>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t="s">
        <v>150</v>
      </c>
      <c r="AG22" s="1057"/>
      <c r="AH22" s="1057"/>
      <c r="AI22" s="1057"/>
      <c r="AJ22" s="1063"/>
      <c r="AK22" s="1057"/>
      <c r="AL22" s="1057"/>
      <c r="AM22" s="1057"/>
      <c r="AN22" s="1057"/>
      <c r="AO22" s="1057"/>
      <c r="AP22" s="1057"/>
      <c r="AQ22" s="1063"/>
      <c r="AR22" s="1057"/>
      <c r="AS22" s="1057"/>
      <c r="AT22" s="1057"/>
      <c r="AU22" s="1057"/>
      <c r="AV22" s="1057"/>
      <c r="AW22" s="1057"/>
      <c r="AX22" s="1058" t="s">
        <v>151</v>
      </c>
      <c r="AY22" s="1058"/>
      <c r="AZ22" s="1058"/>
      <c r="BA22" s="1058"/>
      <c r="BB22" s="1058"/>
      <c r="BC22" s="1058"/>
      <c r="BD22" s="1058"/>
      <c r="BE22" s="1058"/>
      <c r="BF22" s="1058"/>
      <c r="BG22" s="1056"/>
    </row>
    <row r="23" spans="1:59" x14ac:dyDescent="0.15">
      <c r="A23" s="1050"/>
      <c r="B23" s="1064"/>
      <c r="C23" s="1055"/>
      <c r="D23" s="1060"/>
      <c r="E23" s="1060"/>
      <c r="F23" s="1060"/>
      <c r="G23" s="1060"/>
      <c r="H23" s="1060"/>
      <c r="I23" s="1060"/>
      <c r="J23" s="1060"/>
      <c r="K23" s="1060"/>
      <c r="L23" s="1060"/>
      <c r="M23" s="1060"/>
      <c r="N23" s="1060"/>
      <c r="O23" s="1061"/>
      <c r="P23" s="1057"/>
      <c r="Q23" s="1057"/>
      <c r="R23" s="1057"/>
      <c r="S23" s="1057"/>
      <c r="T23" s="1057"/>
      <c r="U23" s="1057"/>
      <c r="V23" s="1057"/>
      <c r="W23" s="1057"/>
      <c r="X23" s="1057"/>
      <c r="Y23" s="1057"/>
      <c r="Z23" s="1057"/>
      <c r="AA23" s="1057"/>
      <c r="AB23" s="1057"/>
      <c r="AC23" s="1057"/>
      <c r="AD23" s="1057"/>
      <c r="AE23" s="1057"/>
      <c r="AF23" s="1057"/>
      <c r="AG23" s="1057"/>
      <c r="AH23" s="1057"/>
      <c r="AI23" s="1057"/>
      <c r="AJ23" s="1057"/>
      <c r="AK23" s="1057"/>
      <c r="AL23" s="1057"/>
      <c r="AM23" s="1057"/>
      <c r="AN23" s="1057"/>
      <c r="AO23" s="1057"/>
      <c r="AP23" s="1057"/>
      <c r="AQ23" s="1057"/>
      <c r="AR23" s="1057"/>
      <c r="AS23" s="1057"/>
      <c r="AT23" s="1057"/>
      <c r="AU23" s="1057"/>
      <c r="AV23" s="1057"/>
      <c r="AW23" s="1057"/>
      <c r="AX23" s="1057"/>
      <c r="AY23" s="1057"/>
      <c r="AZ23" s="1057"/>
      <c r="BA23" s="1057"/>
      <c r="BB23" s="1057"/>
      <c r="BC23" s="1057"/>
      <c r="BD23" s="1057"/>
      <c r="BE23" s="1057"/>
      <c r="BF23" s="1057"/>
      <c r="BG23" s="1056"/>
    </row>
    <row r="24" spans="1:59" ht="15" thickBot="1" x14ac:dyDescent="0.2">
      <c r="A24" s="1050"/>
      <c r="B24" s="1064"/>
      <c r="C24" s="1055"/>
      <c r="D24" s="1055"/>
      <c r="E24" s="1055"/>
      <c r="F24" s="1055"/>
      <c r="G24" s="1055"/>
      <c r="H24" s="1055"/>
      <c r="I24" s="1055"/>
      <c r="J24" s="1055"/>
      <c r="K24" s="1055"/>
      <c r="L24" s="1055"/>
      <c r="M24" s="1055"/>
      <c r="N24" s="1055"/>
      <c r="O24" s="1055"/>
      <c r="P24" s="1055"/>
      <c r="Q24" s="1055"/>
      <c r="R24" s="1055"/>
      <c r="S24" s="1055"/>
      <c r="T24" s="1055"/>
      <c r="U24" s="1055"/>
      <c r="V24" s="1055"/>
      <c r="W24" s="1055"/>
      <c r="X24" s="1055"/>
      <c r="Y24" s="1055"/>
      <c r="Z24" s="1055"/>
      <c r="AA24" s="1055"/>
      <c r="AB24" s="1055"/>
      <c r="AC24" s="1055"/>
      <c r="AD24" s="1055"/>
      <c r="AE24" s="1055"/>
      <c r="AF24" s="1055"/>
      <c r="AG24" s="1055"/>
      <c r="AH24" s="1055"/>
      <c r="AI24" s="1055"/>
      <c r="AJ24" s="1055"/>
      <c r="AK24" s="1055"/>
      <c r="AL24" s="1055"/>
      <c r="AM24" s="1055"/>
      <c r="AN24" s="1055"/>
      <c r="AO24" s="1055"/>
      <c r="AP24" s="1055"/>
      <c r="AQ24" s="1055"/>
      <c r="AR24" s="1055"/>
      <c r="AS24" s="1055"/>
      <c r="AT24" s="1055"/>
      <c r="AU24" s="1055"/>
      <c r="AV24" s="1055"/>
      <c r="AW24" s="1055"/>
      <c r="AX24" s="1055"/>
      <c r="AY24" s="1055"/>
      <c r="AZ24" s="1055"/>
      <c r="BA24" s="1055"/>
      <c r="BB24" s="1055"/>
      <c r="BC24" s="1055"/>
      <c r="BD24" s="1055"/>
      <c r="BE24" s="1055"/>
      <c r="BF24" s="1055"/>
      <c r="BG24" s="1056"/>
    </row>
    <row r="25" spans="1:59" ht="15" thickBot="1" x14ac:dyDescent="0.2">
      <c r="A25" s="1050"/>
      <c r="B25" s="1064"/>
      <c r="C25" s="1763" t="str">
        <f>+IF(Nyilatkozatok!C24="","",Nyilatkozatok!C24)</f>
        <v/>
      </c>
      <c r="D25" s="1764"/>
      <c r="E25" s="1764"/>
      <c r="F25" s="1764"/>
      <c r="G25" s="1764"/>
      <c r="H25" s="1764"/>
      <c r="I25" s="1764"/>
      <c r="J25" s="1764"/>
      <c r="K25" s="1764"/>
      <c r="L25" s="1764"/>
      <c r="M25" s="1764"/>
      <c r="N25" s="1764"/>
      <c r="O25" s="1764"/>
      <c r="P25" s="1764"/>
      <c r="Q25" s="1764"/>
      <c r="R25" s="1764"/>
      <c r="S25" s="1764"/>
      <c r="T25" s="1765"/>
      <c r="U25" s="1055"/>
      <c r="V25" s="1055"/>
      <c r="W25" s="1055"/>
      <c r="X25" s="1763" t="str">
        <f>+IF(Nyilatkozatok!X24="","",Nyilatkozatok!X24)</f>
        <v/>
      </c>
      <c r="Y25" s="1764"/>
      <c r="Z25" s="1764"/>
      <c r="AA25" s="1764"/>
      <c r="AB25" s="1764"/>
      <c r="AC25" s="1764"/>
      <c r="AD25" s="1764"/>
      <c r="AE25" s="1764"/>
      <c r="AF25" s="1764"/>
      <c r="AG25" s="1764"/>
      <c r="AH25" s="1764"/>
      <c r="AI25" s="1764"/>
      <c r="AJ25" s="1764"/>
      <c r="AK25" s="1764"/>
      <c r="AL25" s="1765"/>
      <c r="AM25" s="1055"/>
      <c r="AN25" s="1055"/>
      <c r="AO25" s="1763" t="str">
        <f>+IF(Nyilatkozatok!AO24="","",Nyilatkozatok!AO24)</f>
        <v/>
      </c>
      <c r="AP25" s="1764"/>
      <c r="AQ25" s="1764"/>
      <c r="AR25" s="1764"/>
      <c r="AS25" s="1764"/>
      <c r="AT25" s="1764"/>
      <c r="AU25" s="1764"/>
      <c r="AV25" s="1764"/>
      <c r="AW25" s="1764"/>
      <c r="AX25" s="1764"/>
      <c r="AY25" s="1764"/>
      <c r="AZ25" s="1764"/>
      <c r="BA25" s="1764"/>
      <c r="BB25" s="1764"/>
      <c r="BC25" s="1764"/>
      <c r="BD25" s="1764"/>
      <c r="BE25" s="1764"/>
      <c r="BF25" s="1765"/>
      <c r="BG25" s="1056"/>
    </row>
    <row r="26" spans="1:59" x14ac:dyDescent="0.15">
      <c r="A26" s="1050"/>
      <c r="B26" s="1064"/>
      <c r="C26" s="1055" t="s">
        <v>590</v>
      </c>
      <c r="D26" s="1055"/>
      <c r="E26" s="1055"/>
      <c r="F26" s="1055"/>
      <c r="G26" s="1055"/>
      <c r="H26" s="1055"/>
      <c r="I26" s="1055"/>
      <c r="J26" s="1055"/>
      <c r="K26" s="1055"/>
      <c r="L26" s="1055"/>
      <c r="M26" s="1055"/>
      <c r="N26" s="1055"/>
      <c r="O26" s="1055"/>
      <c r="P26" s="1055"/>
      <c r="Q26" s="1055"/>
      <c r="R26" s="1055"/>
      <c r="S26" s="1055"/>
      <c r="T26" s="1055"/>
      <c r="U26" s="1055"/>
      <c r="V26" s="1055"/>
      <c r="W26" s="1055"/>
      <c r="X26" s="1055" t="s">
        <v>591</v>
      </c>
      <c r="Y26" s="1055"/>
      <c r="Z26" s="1055"/>
      <c r="AA26" s="1055"/>
      <c r="AB26" s="1055"/>
      <c r="AC26" s="1055"/>
      <c r="AD26" s="1055"/>
      <c r="AE26" s="1055"/>
      <c r="AF26" s="1055"/>
      <c r="AG26" s="1055"/>
      <c r="AH26" s="1055"/>
      <c r="AI26" s="1055"/>
      <c r="AJ26" s="1055"/>
      <c r="AK26" s="1055"/>
      <c r="AL26" s="1055"/>
      <c r="AM26" s="1055"/>
      <c r="AN26" s="1055"/>
      <c r="AO26" s="1055" t="s">
        <v>592</v>
      </c>
      <c r="AP26" s="1055"/>
      <c r="AQ26" s="1055"/>
      <c r="AR26" s="1055"/>
      <c r="AS26" s="1055"/>
      <c r="AT26" s="1055"/>
      <c r="AU26" s="1055"/>
      <c r="AV26" s="1055"/>
      <c r="AW26" s="1055"/>
      <c r="AX26" s="1055"/>
      <c r="AY26" s="1055"/>
      <c r="AZ26" s="1055"/>
      <c r="BA26" s="1055"/>
      <c r="BB26" s="1055"/>
      <c r="BC26" s="1055"/>
      <c r="BD26" s="1055"/>
      <c r="BE26" s="1055"/>
      <c r="BF26" s="1055"/>
      <c r="BG26" s="1056"/>
    </row>
    <row r="27" spans="1:59" ht="15" thickBot="1" x14ac:dyDescent="0.2">
      <c r="A27" s="1050"/>
      <c r="B27" s="1064"/>
      <c r="C27" s="1055"/>
      <c r="D27" s="1055"/>
      <c r="E27" s="1055"/>
      <c r="F27" s="1055"/>
      <c r="G27" s="1055"/>
      <c r="H27" s="1055"/>
      <c r="I27" s="1055"/>
      <c r="J27" s="1055"/>
      <c r="K27" s="1055"/>
      <c r="L27" s="1055"/>
      <c r="M27" s="1055"/>
      <c r="N27" s="1055"/>
      <c r="O27" s="1055"/>
      <c r="P27" s="1055"/>
      <c r="Q27" s="1055"/>
      <c r="R27" s="1055"/>
      <c r="S27" s="1055"/>
      <c r="T27" s="1055"/>
      <c r="U27" s="1055"/>
      <c r="V27" s="1055"/>
      <c r="W27" s="1055"/>
      <c r="X27" s="1055"/>
      <c r="Y27" s="1055"/>
      <c r="Z27" s="1055"/>
      <c r="AA27" s="1055"/>
      <c r="AB27" s="1055"/>
      <c r="AC27" s="1055"/>
      <c r="AD27" s="1055"/>
      <c r="AE27" s="1055"/>
      <c r="AF27" s="1055"/>
      <c r="AG27" s="1055"/>
      <c r="AH27" s="1055"/>
      <c r="AI27" s="1055"/>
      <c r="AJ27" s="1055"/>
      <c r="AK27" s="1055"/>
      <c r="AL27" s="1055"/>
      <c r="AM27" s="1055"/>
      <c r="AN27" s="1055"/>
      <c r="AO27" s="1055"/>
      <c r="AP27" s="1055"/>
      <c r="AQ27" s="1055"/>
      <c r="AR27" s="1055"/>
      <c r="AS27" s="1055"/>
      <c r="AT27" s="1055"/>
      <c r="AU27" s="1055"/>
      <c r="AV27" s="1055"/>
      <c r="AW27" s="1055"/>
      <c r="AX27" s="1055"/>
      <c r="AY27" s="1055"/>
      <c r="AZ27" s="1055"/>
      <c r="BA27" s="1055"/>
      <c r="BB27" s="1055"/>
      <c r="BC27" s="1055"/>
      <c r="BD27" s="1055"/>
      <c r="BE27" s="1055"/>
      <c r="BF27" s="1055"/>
      <c r="BG27" s="1056"/>
    </row>
    <row r="28" spans="1:59" ht="15" thickBot="1" x14ac:dyDescent="0.2">
      <c r="A28" s="1050"/>
      <c r="B28" s="1064"/>
      <c r="C28" s="1763" t="str">
        <f>+Nyilatkozatok!C27</f>
        <v>legördülő cella</v>
      </c>
      <c r="D28" s="1764"/>
      <c r="E28" s="1764"/>
      <c r="F28" s="1764"/>
      <c r="G28" s="1764"/>
      <c r="H28" s="1764"/>
      <c r="I28" s="1764"/>
      <c r="J28" s="1764"/>
      <c r="K28" s="1764"/>
      <c r="L28" s="1764"/>
      <c r="M28" s="1764"/>
      <c r="N28" s="1764"/>
      <c r="O28" s="1764"/>
      <c r="P28" s="1764"/>
      <c r="Q28" s="1764"/>
      <c r="R28" s="1764"/>
      <c r="S28" s="1764"/>
      <c r="T28" s="1765"/>
      <c r="U28" s="1055"/>
      <c r="V28" s="1055"/>
      <c r="W28" s="1055"/>
      <c r="X28" s="1763" t="str">
        <f>+Nyilatkozatok!X27</f>
        <v>legördülő cella</v>
      </c>
      <c r="Y28" s="1764"/>
      <c r="Z28" s="1764"/>
      <c r="AA28" s="1764"/>
      <c r="AB28" s="1764"/>
      <c r="AC28" s="1764"/>
      <c r="AD28" s="1764"/>
      <c r="AE28" s="1764"/>
      <c r="AF28" s="1764"/>
      <c r="AG28" s="1764"/>
      <c r="AH28" s="1764"/>
      <c r="AI28" s="1764"/>
      <c r="AJ28" s="1764"/>
      <c r="AK28" s="1764"/>
      <c r="AL28" s="1765"/>
      <c r="AM28" s="1055"/>
      <c r="AN28" s="1055"/>
      <c r="AO28" s="1055"/>
      <c r="AP28" s="1055"/>
      <c r="AQ28" s="1055"/>
      <c r="AR28" s="1055"/>
      <c r="AS28" s="1055"/>
      <c r="AT28" s="1055"/>
      <c r="AU28" s="1055"/>
      <c r="AV28" s="1055"/>
      <c r="AW28" s="1055"/>
      <c r="AX28" s="1055"/>
      <c r="AY28" s="1055"/>
      <c r="AZ28" s="1055"/>
      <c r="BA28" s="1055"/>
      <c r="BB28" s="1055"/>
      <c r="BC28" s="1055"/>
      <c r="BD28" s="1055"/>
      <c r="BE28" s="1055"/>
      <c r="BF28" s="1055"/>
      <c r="BG28" s="1056"/>
    </row>
    <row r="29" spans="1:59" x14ac:dyDescent="0.15">
      <c r="A29" s="1050"/>
      <c r="B29" s="1064"/>
      <c r="C29" s="1055" t="s">
        <v>593</v>
      </c>
      <c r="D29" s="1055"/>
      <c r="E29" s="1055"/>
      <c r="F29" s="1055"/>
      <c r="G29" s="1055"/>
      <c r="H29" s="1055"/>
      <c r="I29" s="1055"/>
      <c r="J29" s="1055"/>
      <c r="K29" s="1055"/>
      <c r="L29" s="1055"/>
      <c r="M29" s="1055"/>
      <c r="N29" s="1055"/>
      <c r="O29" s="1055"/>
      <c r="P29" s="1055"/>
      <c r="Q29" s="1055"/>
      <c r="R29" s="1055"/>
      <c r="S29" s="1055"/>
      <c r="T29" s="1055"/>
      <c r="U29" s="1055"/>
      <c r="V29" s="1055"/>
      <c r="W29" s="1055"/>
      <c r="X29" s="1055" t="s">
        <v>594</v>
      </c>
      <c r="Y29" s="1055"/>
      <c r="Z29" s="1055"/>
      <c r="AA29" s="1055"/>
      <c r="AB29" s="1055"/>
      <c r="AC29" s="1055"/>
      <c r="AD29" s="1055"/>
      <c r="AE29" s="1055"/>
      <c r="AF29" s="1055"/>
      <c r="AG29" s="1055"/>
      <c r="AH29" s="1055"/>
      <c r="AI29" s="1055"/>
      <c r="AJ29" s="1055"/>
      <c r="AK29" s="1055"/>
      <c r="AL29" s="1055"/>
      <c r="AM29" s="1055"/>
      <c r="AN29" s="1055"/>
      <c r="AO29" s="1055"/>
      <c r="AP29" s="1055"/>
      <c r="AQ29" s="1055"/>
      <c r="AR29" s="1055"/>
      <c r="AS29" s="1055"/>
      <c r="AT29" s="1055"/>
      <c r="AU29" s="1055"/>
      <c r="AV29" s="1055"/>
      <c r="AW29" s="1055"/>
      <c r="AX29" s="1055"/>
      <c r="AY29" s="1055"/>
      <c r="AZ29" s="1055"/>
      <c r="BA29" s="1055"/>
      <c r="BB29" s="1055"/>
      <c r="BC29" s="1055"/>
      <c r="BD29" s="1055"/>
      <c r="BE29" s="1055"/>
      <c r="BF29" s="1055"/>
      <c r="BG29" s="1056"/>
    </row>
    <row r="30" spans="1:59" ht="15" thickBot="1" x14ac:dyDescent="0.2">
      <c r="A30" s="1050"/>
      <c r="B30" s="1064"/>
      <c r="C30" s="1055"/>
      <c r="D30" s="1055"/>
      <c r="E30" s="1055"/>
      <c r="F30" s="1055"/>
      <c r="G30" s="1055"/>
      <c r="H30" s="1055"/>
      <c r="I30" s="1055"/>
      <c r="J30" s="1055"/>
      <c r="K30" s="1055"/>
      <c r="L30" s="1055"/>
      <c r="M30" s="1055"/>
      <c r="N30" s="1055"/>
      <c r="O30" s="1055"/>
      <c r="P30" s="1055"/>
      <c r="Q30" s="1055"/>
      <c r="R30" s="1055"/>
      <c r="S30" s="1055"/>
      <c r="T30" s="1055"/>
      <c r="U30" s="1055"/>
      <c r="V30" s="1055"/>
      <c r="W30" s="1055"/>
      <c r="X30" s="1055"/>
      <c r="Y30" s="1055"/>
      <c r="Z30" s="1055"/>
      <c r="AA30" s="1055"/>
      <c r="AB30" s="1055"/>
      <c r="AC30" s="1055"/>
      <c r="AD30" s="1055"/>
      <c r="AE30" s="1055"/>
      <c r="AF30" s="1055"/>
      <c r="AG30" s="1055"/>
      <c r="AH30" s="1055"/>
      <c r="AI30" s="1055"/>
      <c r="AJ30" s="1055"/>
      <c r="AK30" s="1055"/>
      <c r="AL30" s="1055"/>
      <c r="AM30" s="1055"/>
      <c r="AN30" s="1055"/>
      <c r="AO30" s="1055"/>
      <c r="AP30" s="1055"/>
      <c r="AQ30" s="1055"/>
      <c r="AR30" s="1055"/>
      <c r="AS30" s="1055"/>
      <c r="AT30" s="1055"/>
      <c r="AU30" s="1055"/>
      <c r="AV30" s="1055"/>
      <c r="AW30" s="1055"/>
      <c r="AX30" s="1055"/>
      <c r="AY30" s="1055"/>
      <c r="AZ30" s="1055"/>
      <c r="BA30" s="1055"/>
      <c r="BB30" s="1055"/>
      <c r="BC30" s="1055"/>
      <c r="BD30" s="1055"/>
      <c r="BE30" s="1055"/>
      <c r="BF30" s="1055"/>
      <c r="BG30" s="1056"/>
    </row>
    <row r="31" spans="1:59" ht="15" thickBot="1" x14ac:dyDescent="0.2">
      <c r="A31" s="1050"/>
      <c r="B31" s="1064"/>
      <c r="C31" s="1763" t="str">
        <f>+IF(Nyilatkozatok!C30="","",Nyilatkozatok!C30)</f>
        <v/>
      </c>
      <c r="D31" s="1764"/>
      <c r="E31" s="1764"/>
      <c r="F31" s="1764"/>
      <c r="G31" s="1764"/>
      <c r="H31" s="1764"/>
      <c r="I31" s="1764"/>
      <c r="J31" s="1764"/>
      <c r="K31" s="1764"/>
      <c r="L31" s="1764"/>
      <c r="M31" s="1764"/>
      <c r="N31" s="1764"/>
      <c r="O31" s="1764"/>
      <c r="P31" s="1764"/>
      <c r="Q31" s="1764"/>
      <c r="R31" s="1764"/>
      <c r="S31" s="1764"/>
      <c r="T31" s="1765"/>
      <c r="U31" s="1055"/>
      <c r="V31" s="1055"/>
      <c r="W31" s="1055"/>
      <c r="X31" s="1763" t="str">
        <f>+IF(Nyilatkozatok!X30="","",Nyilatkozatok!X30)</f>
        <v/>
      </c>
      <c r="Y31" s="1764"/>
      <c r="Z31" s="1764"/>
      <c r="AA31" s="1764"/>
      <c r="AB31" s="1764"/>
      <c r="AC31" s="1764"/>
      <c r="AD31" s="1764"/>
      <c r="AE31" s="1764"/>
      <c r="AF31" s="1764"/>
      <c r="AG31" s="1764"/>
      <c r="AH31" s="1764"/>
      <c r="AI31" s="1764"/>
      <c r="AJ31" s="1764"/>
      <c r="AK31" s="1764"/>
      <c r="AL31" s="1765"/>
      <c r="AM31" s="1055"/>
      <c r="AN31" s="1055"/>
      <c r="AO31" s="1763" t="str">
        <f>+IF(Nyilatkozatok!AO30="","",Nyilatkozatok!AO30)</f>
        <v/>
      </c>
      <c r="AP31" s="1764"/>
      <c r="AQ31" s="1764"/>
      <c r="AR31" s="1764"/>
      <c r="AS31" s="1764"/>
      <c r="AT31" s="1764"/>
      <c r="AU31" s="1764"/>
      <c r="AV31" s="1764"/>
      <c r="AW31" s="1764"/>
      <c r="AX31" s="1764"/>
      <c r="AY31" s="1764"/>
      <c r="AZ31" s="1764"/>
      <c r="BA31" s="1764"/>
      <c r="BB31" s="1764"/>
      <c r="BC31" s="1764"/>
      <c r="BD31" s="1764"/>
      <c r="BE31" s="1764"/>
      <c r="BF31" s="1765"/>
      <c r="BG31" s="1056"/>
    </row>
    <row r="32" spans="1:59" x14ac:dyDescent="0.15">
      <c r="A32" s="1050"/>
      <c r="B32" s="1064"/>
      <c r="C32" s="1055" t="s">
        <v>587</v>
      </c>
      <c r="D32" s="1055"/>
      <c r="E32" s="1055"/>
      <c r="F32" s="1055"/>
      <c r="G32" s="1055"/>
      <c r="H32" s="1055"/>
      <c r="I32" s="1055"/>
      <c r="J32" s="1055"/>
      <c r="K32" s="1055"/>
      <c r="L32" s="1055"/>
      <c r="M32" s="1055"/>
      <c r="N32" s="1055"/>
      <c r="O32" s="1055"/>
      <c r="P32" s="1055"/>
      <c r="Q32" s="1055"/>
      <c r="R32" s="1055"/>
      <c r="S32" s="1055"/>
      <c r="T32" s="1055"/>
      <c r="U32" s="1055"/>
      <c r="V32" s="1055"/>
      <c r="W32" s="1055"/>
      <c r="X32" s="1055" t="s">
        <v>586</v>
      </c>
      <c r="Y32" s="1055"/>
      <c r="Z32" s="1055"/>
      <c r="AA32" s="1055"/>
      <c r="AB32" s="1055"/>
      <c r="AC32" s="1055"/>
      <c r="AD32" s="1055"/>
      <c r="AE32" s="1055"/>
      <c r="AF32" s="1055"/>
      <c r="AG32" s="1055"/>
      <c r="AH32" s="1055"/>
      <c r="AI32" s="1055"/>
      <c r="AJ32" s="1055"/>
      <c r="AK32" s="1055"/>
      <c r="AL32" s="1055"/>
      <c r="AM32" s="1055"/>
      <c r="AN32" s="1055"/>
      <c r="AO32" s="1055" t="s">
        <v>585</v>
      </c>
      <c r="AP32" s="1055"/>
      <c r="AQ32" s="1055"/>
      <c r="AR32" s="1055"/>
      <c r="AS32" s="1055"/>
      <c r="AT32" s="1055"/>
      <c r="AU32" s="1055"/>
      <c r="AV32" s="1055"/>
      <c r="AW32" s="1055"/>
      <c r="AX32" s="1055"/>
      <c r="AY32" s="1055"/>
      <c r="AZ32" s="1055"/>
      <c r="BA32" s="1055"/>
      <c r="BB32" s="1055"/>
      <c r="BC32" s="1055"/>
      <c r="BD32" s="1055"/>
      <c r="BE32" s="1055"/>
      <c r="BF32" s="1055"/>
      <c r="BG32" s="1056"/>
    </row>
    <row r="33" spans="1:59" ht="15" thickBot="1" x14ac:dyDescent="0.2">
      <c r="A33" s="1050"/>
      <c r="B33" s="1064"/>
      <c r="C33" s="1055"/>
      <c r="D33" s="1055"/>
      <c r="E33" s="1055"/>
      <c r="F33" s="1055"/>
      <c r="G33" s="1055"/>
      <c r="H33" s="1055"/>
      <c r="I33" s="1055"/>
      <c r="J33" s="1055"/>
      <c r="K33" s="1055"/>
      <c r="L33" s="1055"/>
      <c r="M33" s="1055"/>
      <c r="N33" s="1055"/>
      <c r="O33" s="1055"/>
      <c r="P33" s="1055"/>
      <c r="Q33" s="1055"/>
      <c r="R33" s="1055"/>
      <c r="S33" s="1055"/>
      <c r="T33" s="1055"/>
      <c r="U33" s="1055"/>
      <c r="V33" s="1055"/>
      <c r="W33" s="1055"/>
      <c r="X33" s="1055"/>
      <c r="Y33" s="1055"/>
      <c r="Z33" s="1055"/>
      <c r="AA33" s="1055"/>
      <c r="AB33" s="1055"/>
      <c r="AC33" s="1055"/>
      <c r="AD33" s="1055"/>
      <c r="AE33" s="1055"/>
      <c r="AF33" s="1055"/>
      <c r="AG33" s="1055"/>
      <c r="AH33" s="1055"/>
      <c r="AI33" s="1055"/>
      <c r="AJ33" s="1055"/>
      <c r="AK33" s="1055"/>
      <c r="AL33" s="1055"/>
      <c r="AM33" s="1055"/>
      <c r="AN33" s="1055"/>
      <c r="AO33" s="1055"/>
      <c r="AP33" s="1055"/>
      <c r="AQ33" s="1055"/>
      <c r="AR33" s="1055"/>
      <c r="AS33" s="1055"/>
      <c r="AT33" s="1055"/>
      <c r="AU33" s="1055"/>
      <c r="AV33" s="1055"/>
      <c r="AW33" s="1055"/>
      <c r="AX33" s="1055"/>
      <c r="AY33" s="1055"/>
      <c r="AZ33" s="1055"/>
      <c r="BA33" s="1055"/>
      <c r="BB33" s="1055"/>
      <c r="BC33" s="1055"/>
      <c r="BD33" s="1055"/>
      <c r="BE33" s="1055"/>
      <c r="BF33" s="1055"/>
      <c r="BG33" s="1056"/>
    </row>
    <row r="34" spans="1:59" ht="15" thickBot="1" x14ac:dyDescent="0.2">
      <c r="A34" s="1050"/>
      <c r="B34" s="1064"/>
      <c r="C34" s="1763" t="str">
        <f>+IF(Nyilatkozatok!C33="","",Nyilatkozatok!C33)</f>
        <v/>
      </c>
      <c r="D34" s="1764"/>
      <c r="E34" s="1764"/>
      <c r="F34" s="1764"/>
      <c r="G34" s="1764"/>
      <c r="H34" s="1764"/>
      <c r="I34" s="1764"/>
      <c r="J34" s="1764"/>
      <c r="K34" s="1764"/>
      <c r="L34" s="1764"/>
      <c r="M34" s="1764"/>
      <c r="N34" s="1764"/>
      <c r="O34" s="1764"/>
      <c r="P34" s="1764"/>
      <c r="Q34" s="1764"/>
      <c r="R34" s="1764"/>
      <c r="S34" s="1764"/>
      <c r="T34" s="1765"/>
      <c r="U34" s="1055"/>
      <c r="V34" s="1055"/>
      <c r="W34" s="1055"/>
      <c r="X34" s="1763" t="str">
        <f>+IF(Nyilatkozatok!X33="","",Nyilatkozatok!X33)</f>
        <v/>
      </c>
      <c r="Y34" s="1764"/>
      <c r="Z34" s="1764"/>
      <c r="AA34" s="1764"/>
      <c r="AB34" s="1764"/>
      <c r="AC34" s="1764"/>
      <c r="AD34" s="1764"/>
      <c r="AE34" s="1764"/>
      <c r="AF34" s="1764"/>
      <c r="AG34" s="1764"/>
      <c r="AH34" s="1764"/>
      <c r="AI34" s="1764"/>
      <c r="AJ34" s="1764"/>
      <c r="AK34" s="1764"/>
      <c r="AL34" s="1765"/>
      <c r="AM34" s="1055"/>
      <c r="AN34" s="1055"/>
      <c r="AO34" s="1055"/>
      <c r="AP34" s="1055"/>
      <c r="AQ34" s="1055"/>
      <c r="AR34" s="1055"/>
      <c r="AS34" s="1055"/>
      <c r="AT34" s="1055"/>
      <c r="AU34" s="1055"/>
      <c r="AV34" s="1055"/>
      <c r="AW34" s="1055"/>
      <c r="AX34" s="1055"/>
      <c r="AY34" s="1055"/>
      <c r="AZ34" s="1055"/>
      <c r="BA34" s="1055"/>
      <c r="BB34" s="1055"/>
      <c r="BC34" s="1055"/>
      <c r="BD34" s="1055"/>
      <c r="BE34" s="1055"/>
      <c r="BF34" s="1055"/>
      <c r="BG34" s="1056"/>
    </row>
    <row r="35" spans="1:59" x14ac:dyDescent="0.15">
      <c r="A35" s="1050"/>
      <c r="B35" s="1064"/>
      <c r="C35" s="1055" t="s">
        <v>588</v>
      </c>
      <c r="D35" s="1055"/>
      <c r="E35" s="1055"/>
      <c r="F35" s="1055"/>
      <c r="G35" s="1055"/>
      <c r="H35" s="1055"/>
      <c r="I35" s="1055"/>
      <c r="J35" s="1055"/>
      <c r="K35" s="1055"/>
      <c r="L35" s="1055"/>
      <c r="M35" s="1055"/>
      <c r="N35" s="1055"/>
      <c r="O35" s="1055"/>
      <c r="P35" s="1055"/>
      <c r="Q35" s="1055"/>
      <c r="R35" s="1055"/>
      <c r="S35" s="1055"/>
      <c r="T35" s="1055"/>
      <c r="U35" s="1055"/>
      <c r="V35" s="1055"/>
      <c r="W35" s="1055"/>
      <c r="X35" s="1055" t="s">
        <v>589</v>
      </c>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5"/>
      <c r="AT35" s="1055"/>
      <c r="AU35" s="1055"/>
      <c r="AV35" s="1055"/>
      <c r="AW35" s="1055"/>
      <c r="AX35" s="1055"/>
      <c r="AY35" s="1055"/>
      <c r="AZ35" s="1055"/>
      <c r="BA35" s="1055"/>
      <c r="BB35" s="1055"/>
      <c r="BC35" s="1055"/>
      <c r="BD35" s="1055"/>
      <c r="BE35" s="1055"/>
      <c r="BF35" s="1055"/>
      <c r="BG35" s="1056"/>
    </row>
    <row r="36" spans="1:59" x14ac:dyDescent="0.15">
      <c r="A36" s="1050"/>
      <c r="B36" s="1065"/>
      <c r="C36" s="1066"/>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7"/>
    </row>
    <row r="37" spans="1:59" x14ac:dyDescent="0.15">
      <c r="A37" s="1050"/>
      <c r="B37" s="1753" t="s">
        <v>846</v>
      </c>
      <c r="C37" s="1754"/>
      <c r="D37" s="1754"/>
      <c r="E37" s="1754"/>
      <c r="F37" s="1754"/>
      <c r="G37" s="1754"/>
      <c r="H37" s="1754"/>
      <c r="I37" s="1754"/>
      <c r="J37" s="1754"/>
      <c r="K37" s="1754"/>
      <c r="L37" s="1754"/>
      <c r="M37" s="1754"/>
      <c r="N37" s="1754"/>
      <c r="O37" s="1754"/>
      <c r="P37" s="1754"/>
      <c r="Q37" s="1754"/>
      <c r="R37" s="1754"/>
      <c r="S37" s="1754"/>
      <c r="T37" s="1754"/>
      <c r="U37" s="1754"/>
      <c r="V37" s="1754"/>
      <c r="W37" s="1754"/>
      <c r="X37" s="1754"/>
      <c r="Y37" s="1754"/>
      <c r="Z37" s="1754"/>
      <c r="AA37" s="1754"/>
      <c r="AB37" s="1754"/>
      <c r="AC37" s="1754"/>
      <c r="AD37" s="1754"/>
      <c r="AE37" s="1754"/>
      <c r="AF37" s="1754"/>
      <c r="AG37" s="1754"/>
      <c r="AH37" s="1754"/>
      <c r="AI37" s="1754"/>
      <c r="AJ37" s="1754"/>
      <c r="AK37" s="1754"/>
      <c r="AL37" s="1754"/>
      <c r="AM37" s="1754"/>
      <c r="AN37" s="1754"/>
      <c r="AO37" s="1754"/>
      <c r="AP37" s="1754"/>
      <c r="AQ37" s="1754"/>
      <c r="AR37" s="1754"/>
      <c r="AS37" s="1754"/>
      <c r="AT37" s="1754"/>
      <c r="AU37" s="1754"/>
      <c r="AV37" s="1754"/>
      <c r="AW37" s="1754"/>
      <c r="AX37" s="1754"/>
      <c r="AY37" s="1754"/>
      <c r="AZ37" s="1754"/>
      <c r="BA37" s="1754"/>
      <c r="BB37" s="1754"/>
      <c r="BC37" s="1754"/>
      <c r="BD37" s="1754"/>
      <c r="BE37" s="1754"/>
      <c r="BF37" s="1754"/>
      <c r="BG37" s="1755"/>
    </row>
    <row r="38" spans="1:59" x14ac:dyDescent="0.15">
      <c r="A38" s="1050"/>
      <c r="B38" s="1068"/>
      <c r="C38" s="1751"/>
      <c r="D38" s="1751"/>
      <c r="E38" s="1751"/>
      <c r="F38" s="1751"/>
      <c r="G38" s="1751"/>
      <c r="H38" s="1751"/>
      <c r="I38" s="1751"/>
      <c r="J38" s="1751"/>
      <c r="K38" s="1751"/>
      <c r="L38" s="1751"/>
      <c r="M38" s="1751"/>
      <c r="N38" s="1751"/>
      <c r="O38" s="1751"/>
      <c r="P38" s="1751"/>
      <c r="Q38" s="1751"/>
      <c r="R38" s="1751"/>
      <c r="S38" s="1751"/>
      <c r="T38" s="1751"/>
      <c r="U38" s="1751"/>
      <c r="V38" s="1751"/>
      <c r="W38" s="1751"/>
      <c r="X38" s="1751"/>
      <c r="Y38" s="1751"/>
      <c r="Z38" s="1751"/>
      <c r="AA38" s="1751"/>
      <c r="AB38" s="1751"/>
      <c r="AC38" s="1751"/>
      <c r="AD38" s="1751"/>
      <c r="AE38" s="1751"/>
      <c r="AF38" s="1751"/>
      <c r="AG38" s="1751"/>
      <c r="AH38" s="1751"/>
      <c r="AI38" s="1751"/>
      <c r="AJ38" s="1751"/>
      <c r="AK38" s="1751"/>
      <c r="AL38" s="1751"/>
      <c r="AM38" s="1751"/>
      <c r="AN38" s="1751"/>
      <c r="AO38" s="1751"/>
      <c r="AP38" s="1751"/>
      <c r="AQ38" s="1751"/>
      <c r="AR38" s="1751"/>
      <c r="AS38" s="1751"/>
      <c r="AT38" s="1751"/>
      <c r="AU38" s="1751"/>
      <c r="AV38" s="1751"/>
      <c r="AW38" s="1751"/>
      <c r="AX38" s="1751"/>
      <c r="AY38" s="1751"/>
      <c r="AZ38" s="1751"/>
      <c r="BA38" s="1751"/>
      <c r="BB38" s="1751"/>
      <c r="BC38" s="1751"/>
      <c r="BD38" s="1751"/>
      <c r="BE38" s="1751"/>
      <c r="BF38" s="1751"/>
      <c r="BG38" s="1069"/>
    </row>
    <row r="39" spans="1:59" ht="15" thickBot="1" x14ac:dyDescent="0.2">
      <c r="A39" s="1050"/>
      <c r="B39" s="1064"/>
      <c r="C39" s="1761" t="s">
        <v>914</v>
      </c>
      <c r="D39" s="1761"/>
      <c r="E39" s="1761"/>
      <c r="F39" s="1761"/>
      <c r="G39" s="1761"/>
      <c r="H39" s="1761"/>
      <c r="I39" s="1761"/>
      <c r="J39" s="1761"/>
      <c r="K39" s="1761"/>
      <c r="L39" s="1761"/>
      <c r="M39" s="1761"/>
      <c r="N39" s="1761"/>
      <c r="O39" s="1761"/>
      <c r="P39" s="1761"/>
      <c r="Q39" s="1761"/>
      <c r="R39" s="1761"/>
      <c r="S39" s="1761"/>
      <c r="T39" s="1761"/>
      <c r="U39" s="1761"/>
      <c r="V39" s="1761"/>
      <c r="W39" s="1761"/>
      <c r="X39" s="1761"/>
      <c r="Y39" s="1761"/>
      <c r="Z39" s="1761"/>
      <c r="AA39" s="1761"/>
      <c r="AB39" s="1761"/>
      <c r="AC39" s="1761"/>
      <c r="AD39" s="1761"/>
      <c r="AE39" s="1761"/>
      <c r="AF39" s="1761"/>
      <c r="AG39" s="1761"/>
      <c r="AH39" s="1761"/>
      <c r="AI39" s="1761"/>
      <c r="AJ39" s="1761"/>
      <c r="AK39" s="1761"/>
      <c r="AL39" s="1761"/>
      <c r="AM39" s="1761"/>
      <c r="AN39" s="1761"/>
      <c r="AO39" s="1761"/>
      <c r="AP39" s="1761"/>
      <c r="AQ39" s="1761"/>
      <c r="AR39" s="1761"/>
      <c r="AS39" s="1761"/>
      <c r="AT39" s="1761"/>
      <c r="AU39" s="1761"/>
      <c r="AV39" s="1761"/>
      <c r="AW39" s="1761"/>
      <c r="AX39" s="1761"/>
      <c r="AY39" s="1761"/>
      <c r="AZ39" s="1761"/>
      <c r="BA39" s="1761"/>
      <c r="BB39" s="1761"/>
      <c r="BC39" s="1761"/>
      <c r="BD39" s="1761"/>
      <c r="BE39" s="1761"/>
      <c r="BF39" s="1761"/>
      <c r="BG39" s="1056"/>
    </row>
    <row r="40" spans="1:59" ht="15" thickBot="1" x14ac:dyDescent="0.2">
      <c r="A40" s="1050"/>
      <c r="B40" s="1064"/>
      <c r="C40" s="1748" t="str">
        <f>+Nyilatkozatok!BK113</f>
        <v>általános csekély összegű támogatás</v>
      </c>
      <c r="D40" s="1749"/>
      <c r="E40" s="1749"/>
      <c r="F40" s="1749"/>
      <c r="G40" s="1749"/>
      <c r="H40" s="1749"/>
      <c r="I40" s="1749"/>
      <c r="J40" s="1749"/>
      <c r="K40" s="1749"/>
      <c r="L40" s="1749"/>
      <c r="M40" s="1749"/>
      <c r="N40" s="1749"/>
      <c r="O40" s="1749"/>
      <c r="P40" s="1749"/>
      <c r="Q40" s="1749"/>
      <c r="R40" s="1749"/>
      <c r="S40" s="1749"/>
      <c r="T40" s="1749"/>
      <c r="U40" s="1749"/>
      <c r="V40" s="1749"/>
      <c r="W40" s="1749"/>
      <c r="X40" s="1749"/>
      <c r="Y40" s="1749"/>
      <c r="Z40" s="1749"/>
      <c r="AA40" s="1749"/>
      <c r="AB40" s="1749"/>
      <c r="AC40" s="1749"/>
      <c r="AD40" s="1749"/>
      <c r="AE40" s="1749"/>
      <c r="AF40" s="1749"/>
      <c r="AG40" s="1749"/>
      <c r="AH40" s="1750"/>
      <c r="AI40" s="1070"/>
      <c r="AJ40" s="1070"/>
      <c r="AK40" s="1070"/>
      <c r="AL40" s="1070"/>
      <c r="AM40" s="1070"/>
      <c r="AN40" s="1070"/>
      <c r="AO40" s="1070"/>
      <c r="AP40" s="1070"/>
      <c r="AQ40" s="1070"/>
      <c r="AR40" s="1070"/>
      <c r="AS40" s="1070"/>
      <c r="AT40" s="1070"/>
      <c r="AU40" s="1070"/>
      <c r="AV40" s="1070"/>
      <c r="AW40" s="1070"/>
      <c r="AX40" s="1070"/>
      <c r="AY40" s="1070"/>
      <c r="AZ40" s="1070"/>
      <c r="BA40" s="1070"/>
      <c r="BB40" s="1070"/>
      <c r="BC40" s="1070"/>
      <c r="BD40" s="1070"/>
      <c r="BE40" s="1070"/>
      <c r="BF40" s="1070"/>
      <c r="BG40" s="1056"/>
    </row>
    <row r="41" spans="1:59" x14ac:dyDescent="0.15">
      <c r="A41" s="1050"/>
      <c r="B41" s="1064"/>
      <c r="C41" s="1761" t="s">
        <v>856</v>
      </c>
      <c r="D41" s="1761"/>
      <c r="E41" s="1761"/>
      <c r="F41" s="1761"/>
      <c r="G41" s="1761"/>
      <c r="H41" s="1761"/>
      <c r="I41" s="1761"/>
      <c r="J41" s="1761"/>
      <c r="K41" s="1761"/>
      <c r="L41" s="1761"/>
      <c r="M41" s="1761"/>
      <c r="N41" s="1761"/>
      <c r="O41" s="1761"/>
      <c r="P41" s="1761"/>
      <c r="Q41" s="1761"/>
      <c r="R41" s="1761"/>
      <c r="S41" s="1761"/>
      <c r="T41" s="1761"/>
      <c r="U41" s="1761"/>
      <c r="V41" s="1761"/>
      <c r="W41" s="1761"/>
      <c r="X41" s="1761"/>
      <c r="Y41" s="1761"/>
      <c r="Z41" s="1761"/>
      <c r="AA41" s="1761"/>
      <c r="AB41" s="1761"/>
      <c r="AC41" s="1761"/>
      <c r="AD41" s="1761"/>
      <c r="AE41" s="1761"/>
      <c r="AF41" s="1761"/>
      <c r="AG41" s="1761"/>
      <c r="AH41" s="1761"/>
      <c r="AI41" s="1761"/>
      <c r="AJ41" s="1761"/>
      <c r="AK41" s="1761"/>
      <c r="AL41" s="1761"/>
      <c r="AM41" s="1761"/>
      <c r="AN41" s="1761"/>
      <c r="AO41" s="1761"/>
      <c r="AP41" s="1761"/>
      <c r="AQ41" s="1761"/>
      <c r="AR41" s="1761"/>
      <c r="AS41" s="1761"/>
      <c r="AT41" s="1761"/>
      <c r="AU41" s="1761"/>
      <c r="AV41" s="1761"/>
      <c r="AW41" s="1761"/>
      <c r="AX41" s="1761"/>
      <c r="AY41" s="1761"/>
      <c r="AZ41" s="1761"/>
      <c r="BA41" s="1761"/>
      <c r="BB41" s="1761"/>
      <c r="BC41" s="1761"/>
      <c r="BD41" s="1761"/>
      <c r="BE41" s="1761"/>
      <c r="BF41" s="1761"/>
      <c r="BG41" s="1056"/>
    </row>
    <row r="42" spans="1:59" ht="24.75" customHeight="1" x14ac:dyDescent="0.15">
      <c r="A42" s="1050"/>
      <c r="B42" s="1064"/>
      <c r="C42" s="1759" t="str">
        <f>+Nyilatkozatok!BK114</f>
        <v>– a finanszírozást nem visszaigényelhető általános forgalmi adó (ÁFA), vám, illeték finanszírozására használja fel, kivéve, ha ÁFA visszaigénylésére nem jogosult;</v>
      </c>
      <c r="D42" s="1759"/>
      <c r="E42" s="1759"/>
      <c r="F42" s="1759"/>
      <c r="G42" s="1759"/>
      <c r="H42" s="1759"/>
      <c r="I42" s="1759"/>
      <c r="J42" s="1759"/>
      <c r="K42" s="1759"/>
      <c r="L42" s="1759"/>
      <c r="M42" s="1759"/>
      <c r="N42" s="1759"/>
      <c r="O42" s="1759"/>
      <c r="P42" s="1759"/>
      <c r="Q42" s="1759"/>
      <c r="R42" s="1759"/>
      <c r="S42" s="1759"/>
      <c r="T42" s="1759"/>
      <c r="U42" s="1759"/>
      <c r="V42" s="1759"/>
      <c r="W42" s="1759"/>
      <c r="X42" s="1759"/>
      <c r="Y42" s="1759"/>
      <c r="Z42" s="1759"/>
      <c r="AA42" s="1759"/>
      <c r="AB42" s="1759"/>
      <c r="AC42" s="1759"/>
      <c r="AD42" s="1759"/>
      <c r="AE42" s="1759"/>
      <c r="AF42" s="1759"/>
      <c r="AG42" s="1759"/>
      <c r="AH42" s="1759"/>
      <c r="AI42" s="1759"/>
      <c r="AJ42" s="1759"/>
      <c r="AK42" s="1759"/>
      <c r="AL42" s="1759"/>
      <c r="AM42" s="1759"/>
      <c r="AN42" s="1759"/>
      <c r="AO42" s="1759"/>
      <c r="AP42" s="1759"/>
      <c r="AQ42" s="1759"/>
      <c r="AR42" s="1759"/>
      <c r="AS42" s="1759"/>
      <c r="AT42" s="1759"/>
      <c r="AU42" s="1759"/>
      <c r="AV42" s="1759"/>
      <c r="AW42" s="1759"/>
      <c r="AX42" s="1759"/>
      <c r="AY42" s="1759"/>
      <c r="AZ42" s="1759"/>
      <c r="BA42" s="1759"/>
      <c r="BB42" s="1759"/>
      <c r="BC42" s="1759"/>
      <c r="BD42" s="1759"/>
      <c r="BE42" s="1759"/>
      <c r="BF42" s="1759"/>
      <c r="BG42" s="1056"/>
    </row>
    <row r="43" spans="1:59" ht="24.75" customHeight="1" x14ac:dyDescent="0.15">
      <c r="A43" s="1050"/>
      <c r="B43" s="1064"/>
      <c r="C43" s="1759" t="str">
        <f>+Nyilatkozatok!BK115</f>
        <v>– a finanszírozást nem a finanszírozásról szóló döntés napján fizikailag már lezárt (befejezett) vagy teljes mértékben (fizikailag és pénzügyileg is) végrehajtott beruházás finanszírozására használja fel;</v>
      </c>
      <c r="D43" s="1759"/>
      <c r="E43" s="1759"/>
      <c r="F43" s="1759"/>
      <c r="G43" s="1759"/>
      <c r="H43" s="1759"/>
      <c r="I43" s="1759"/>
      <c r="J43" s="1759"/>
      <c r="K43" s="1759"/>
      <c r="L43" s="1759"/>
      <c r="M43" s="1759"/>
      <c r="N43" s="1759"/>
      <c r="O43" s="1759"/>
      <c r="P43" s="1759"/>
      <c r="Q43" s="1759"/>
      <c r="R43" s="1759"/>
      <c r="S43" s="1759"/>
      <c r="T43" s="1759"/>
      <c r="U43" s="1759"/>
      <c r="V43" s="1759"/>
      <c r="W43" s="1759"/>
      <c r="X43" s="1759"/>
      <c r="Y43" s="1759"/>
      <c r="Z43" s="1759"/>
      <c r="AA43" s="1759"/>
      <c r="AB43" s="1759"/>
      <c r="AC43" s="1759"/>
      <c r="AD43" s="1759"/>
      <c r="AE43" s="1759"/>
      <c r="AF43" s="1759"/>
      <c r="AG43" s="1759"/>
      <c r="AH43" s="1759"/>
      <c r="AI43" s="1759"/>
      <c r="AJ43" s="1759"/>
      <c r="AK43" s="1759"/>
      <c r="AL43" s="1759"/>
      <c r="AM43" s="1759"/>
      <c r="AN43" s="1759"/>
      <c r="AO43" s="1759"/>
      <c r="AP43" s="1759"/>
      <c r="AQ43" s="1759"/>
      <c r="AR43" s="1759"/>
      <c r="AS43" s="1759"/>
      <c r="AT43" s="1759"/>
      <c r="AU43" s="1759"/>
      <c r="AV43" s="1759"/>
      <c r="AW43" s="1759"/>
      <c r="AX43" s="1759"/>
      <c r="AY43" s="1759"/>
      <c r="AZ43" s="1759"/>
      <c r="BA43" s="1759"/>
      <c r="BB43" s="1759"/>
      <c r="BC43" s="1759"/>
      <c r="BD43" s="1759"/>
      <c r="BE43" s="1759"/>
      <c r="BF43" s="1759"/>
      <c r="BG43" s="1056"/>
    </row>
    <row r="44" spans="1:59" ht="24.75" customHeight="1" x14ac:dyDescent="0.15">
      <c r="A44" s="1050"/>
      <c r="B44" s="1064"/>
      <c r="C44" s="1759" t="str">
        <f>+Nyilatkozatok!BK116</f>
        <v>– a finanszírozást nem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használja fel,</v>
      </c>
      <c r="D44" s="1759"/>
      <c r="E44" s="1759"/>
      <c r="F44" s="1759"/>
      <c r="G44" s="1759"/>
      <c r="H44" s="1759"/>
      <c r="I44" s="1759"/>
      <c r="J44" s="1759"/>
      <c r="K44" s="1759"/>
      <c r="L44" s="1759"/>
      <c r="M44" s="1759"/>
      <c r="N44" s="1759"/>
      <c r="O44" s="1759"/>
      <c r="P44" s="1759"/>
      <c r="Q44" s="1759"/>
      <c r="R44" s="1759"/>
      <c r="S44" s="1759"/>
      <c r="T44" s="1759"/>
      <c r="U44" s="1759"/>
      <c r="V44" s="1759"/>
      <c r="W44" s="1759"/>
      <c r="X44" s="1759"/>
      <c r="Y44" s="1759"/>
      <c r="Z44" s="1759"/>
      <c r="AA44" s="1759"/>
      <c r="AB44" s="1759"/>
      <c r="AC44" s="1759"/>
      <c r="AD44" s="1759"/>
      <c r="AE44" s="1759"/>
      <c r="AF44" s="1759"/>
      <c r="AG44" s="1759"/>
      <c r="AH44" s="1759"/>
      <c r="AI44" s="1759"/>
      <c r="AJ44" s="1759"/>
      <c r="AK44" s="1759"/>
      <c r="AL44" s="1759"/>
      <c r="AM44" s="1759"/>
      <c r="AN44" s="1759"/>
      <c r="AO44" s="1759"/>
      <c r="AP44" s="1759"/>
      <c r="AQ44" s="1759"/>
      <c r="AR44" s="1759"/>
      <c r="AS44" s="1759"/>
      <c r="AT44" s="1759"/>
      <c r="AU44" s="1759"/>
      <c r="AV44" s="1759"/>
      <c r="AW44" s="1759"/>
      <c r="AX44" s="1759"/>
      <c r="AY44" s="1759"/>
      <c r="AZ44" s="1759"/>
      <c r="BA44" s="1759"/>
      <c r="BB44" s="1759"/>
      <c r="BC44" s="1759"/>
      <c r="BD44" s="1759"/>
      <c r="BE44" s="1759"/>
      <c r="BF44" s="1759"/>
      <c r="BG44" s="1056"/>
    </row>
    <row r="45" spans="1:59" ht="24.75" customHeight="1" x14ac:dyDescent="0.15">
      <c r="A45" s="1050"/>
      <c r="B45" s="1064"/>
      <c r="C45" s="1759" t="str">
        <f>+Nyilatkozatok!BK117</f>
        <v>– a finanszírozást nem olyan feltétellel használja fel, amely az európai uniós jog megsértését eredményezi,</v>
      </c>
      <c r="D45" s="1759"/>
      <c r="E45" s="1759"/>
      <c r="F45" s="1759"/>
      <c r="G45" s="1759"/>
      <c r="H45" s="1759"/>
      <c r="I45" s="1759"/>
      <c r="J45" s="1759"/>
      <c r="K45" s="1759"/>
      <c r="L45" s="1759"/>
      <c r="M45" s="1759"/>
      <c r="N45" s="1759"/>
      <c r="O45" s="1759"/>
      <c r="P45" s="1759"/>
      <c r="Q45" s="1759"/>
      <c r="R45" s="1759"/>
      <c r="S45" s="1759"/>
      <c r="T45" s="1759"/>
      <c r="U45" s="1759"/>
      <c r="V45" s="1759"/>
      <c r="W45" s="1759"/>
      <c r="X45" s="1759"/>
      <c r="Y45" s="1759"/>
      <c r="Z45" s="1759"/>
      <c r="AA45" s="1759"/>
      <c r="AB45" s="1759"/>
      <c r="AC45" s="1759"/>
      <c r="AD45" s="1759"/>
      <c r="AE45" s="1759"/>
      <c r="AF45" s="1759"/>
      <c r="AG45" s="1759"/>
      <c r="AH45" s="1759"/>
      <c r="AI45" s="1759"/>
      <c r="AJ45" s="1759"/>
      <c r="AK45" s="1759"/>
      <c r="AL45" s="1759"/>
      <c r="AM45" s="1759"/>
      <c r="AN45" s="1759"/>
      <c r="AO45" s="1759"/>
      <c r="AP45" s="1759"/>
      <c r="AQ45" s="1759"/>
      <c r="AR45" s="1759"/>
      <c r="AS45" s="1759"/>
      <c r="AT45" s="1759"/>
      <c r="AU45" s="1759"/>
      <c r="AV45" s="1759"/>
      <c r="AW45" s="1759"/>
      <c r="AX45" s="1759"/>
      <c r="AY45" s="1759"/>
      <c r="AZ45" s="1759"/>
      <c r="BA45" s="1759"/>
      <c r="BB45" s="1759"/>
      <c r="BC45" s="1759"/>
      <c r="BD45" s="1759"/>
      <c r="BE45" s="1759"/>
      <c r="BF45" s="1759"/>
      <c r="BG45" s="1056"/>
    </row>
    <row r="46" spans="1:59" ht="24.75" customHeight="1" x14ac:dyDescent="0.15">
      <c r="A46" s="1050"/>
      <c r="B46" s="1064"/>
      <c r="C46" s="1759" t="str">
        <f>+Nyilatkozatok!BK118</f>
        <v>– a finanszírozást nem az 1379/2013/EU rendelet  szerinti halászati és akvakultúra ágazattal kapcsolatos tevékenység finanszírozására,</v>
      </c>
      <c r="D46" s="1759"/>
      <c r="E46" s="1759"/>
      <c r="F46" s="1759"/>
      <c r="G46" s="1759"/>
      <c r="H46" s="1759"/>
      <c r="I46" s="1759"/>
      <c r="J46" s="1759"/>
      <c r="K46" s="1759"/>
      <c r="L46" s="1759"/>
      <c r="M46" s="1759"/>
      <c r="N46" s="1759"/>
      <c r="O46" s="1759"/>
      <c r="P46" s="1759"/>
      <c r="Q46" s="1759"/>
      <c r="R46" s="1759"/>
      <c r="S46" s="1759"/>
      <c r="T46" s="1759"/>
      <c r="U46" s="1759"/>
      <c r="V46" s="1759"/>
      <c r="W46" s="1759"/>
      <c r="X46" s="1759"/>
      <c r="Y46" s="1759"/>
      <c r="Z46" s="1759"/>
      <c r="AA46" s="1759"/>
      <c r="AB46" s="1759"/>
      <c r="AC46" s="1759"/>
      <c r="AD46" s="1759"/>
      <c r="AE46" s="1759"/>
      <c r="AF46" s="1759"/>
      <c r="AG46" s="1759"/>
      <c r="AH46" s="1759"/>
      <c r="AI46" s="1759"/>
      <c r="AJ46" s="1759"/>
      <c r="AK46" s="1759"/>
      <c r="AL46" s="1759"/>
      <c r="AM46" s="1759"/>
      <c r="AN46" s="1759"/>
      <c r="AO46" s="1759"/>
      <c r="AP46" s="1759"/>
      <c r="AQ46" s="1759"/>
      <c r="AR46" s="1759"/>
      <c r="AS46" s="1759"/>
      <c r="AT46" s="1759"/>
      <c r="AU46" s="1759"/>
      <c r="AV46" s="1759"/>
      <c r="AW46" s="1759"/>
      <c r="AX46" s="1759"/>
      <c r="AY46" s="1759"/>
      <c r="AZ46" s="1759"/>
      <c r="BA46" s="1759"/>
      <c r="BB46" s="1759"/>
      <c r="BC46" s="1759"/>
      <c r="BD46" s="1759"/>
      <c r="BE46" s="1759"/>
      <c r="BF46" s="1759"/>
      <c r="BG46" s="1056"/>
    </row>
    <row r="47" spans="1:59" ht="24.75" customHeight="1" x14ac:dyDescent="0.15">
      <c r="A47" s="1050"/>
      <c r="B47" s="1064"/>
      <c r="C47" s="1759" t="str">
        <f>+Nyilatkozatok!BK119</f>
        <v>– a finanszírozást nem mezőgazdasági termékek elsődleges termelésével kapcsolatos tevékenység finanszírozására,</v>
      </c>
      <c r="D47" s="1759"/>
      <c r="E47" s="1759"/>
      <c r="F47" s="1759"/>
      <c r="G47" s="1759"/>
      <c r="H47" s="1759"/>
      <c r="I47" s="1759"/>
      <c r="J47" s="1759"/>
      <c r="K47" s="1759"/>
      <c r="L47" s="1759"/>
      <c r="M47" s="1759"/>
      <c r="N47" s="1759"/>
      <c r="O47" s="1759"/>
      <c r="P47" s="1759"/>
      <c r="Q47" s="1759"/>
      <c r="R47" s="1759"/>
      <c r="S47" s="1759"/>
      <c r="T47" s="1759"/>
      <c r="U47" s="1759"/>
      <c r="V47" s="1759"/>
      <c r="W47" s="1759"/>
      <c r="X47" s="1759"/>
      <c r="Y47" s="1759"/>
      <c r="Z47" s="1759"/>
      <c r="AA47" s="1759"/>
      <c r="AB47" s="1759"/>
      <c r="AC47" s="1759"/>
      <c r="AD47" s="1759"/>
      <c r="AE47" s="1759"/>
      <c r="AF47" s="1759"/>
      <c r="AG47" s="1759"/>
      <c r="AH47" s="1759"/>
      <c r="AI47" s="1759"/>
      <c r="AJ47" s="1759"/>
      <c r="AK47" s="1759"/>
      <c r="AL47" s="1759"/>
      <c r="AM47" s="1759"/>
      <c r="AN47" s="1759"/>
      <c r="AO47" s="1759"/>
      <c r="AP47" s="1759"/>
      <c r="AQ47" s="1759"/>
      <c r="AR47" s="1759"/>
      <c r="AS47" s="1759"/>
      <c r="AT47" s="1759"/>
      <c r="AU47" s="1759"/>
      <c r="AV47" s="1759"/>
      <c r="AW47" s="1759"/>
      <c r="AX47" s="1759"/>
      <c r="AY47" s="1759"/>
      <c r="AZ47" s="1759"/>
      <c r="BA47" s="1759"/>
      <c r="BB47" s="1759"/>
      <c r="BC47" s="1759"/>
      <c r="BD47" s="1759"/>
      <c r="BE47" s="1759"/>
      <c r="BF47" s="1759"/>
      <c r="BG47" s="1056"/>
    </row>
    <row r="48" spans="1:59" ht="57" customHeight="1" x14ac:dyDescent="0.15">
      <c r="A48" s="1050"/>
      <c r="B48" s="1064"/>
      <c r="C48" s="1759" t="str">
        <f>+Nyilatkozatok!BK120</f>
        <v>– a finanszírozást nem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*amennyiben a támogatás feltétele az elsődleges termelőknek történő teljes, vagy részleges továbbadás;</v>
      </c>
      <c r="D48" s="1759"/>
      <c r="E48" s="1759"/>
      <c r="F48" s="1759"/>
      <c r="G48" s="1759"/>
      <c r="H48" s="1759"/>
      <c r="I48" s="1759"/>
      <c r="J48" s="1759"/>
      <c r="K48" s="1759"/>
      <c r="L48" s="1759"/>
      <c r="M48" s="1759"/>
      <c r="N48" s="1759"/>
      <c r="O48" s="1759"/>
      <c r="P48" s="1759"/>
      <c r="Q48" s="1759"/>
      <c r="R48" s="1759"/>
      <c r="S48" s="1759"/>
      <c r="T48" s="1759"/>
      <c r="U48" s="1759"/>
      <c r="V48" s="1759"/>
      <c r="W48" s="1759"/>
      <c r="X48" s="1759"/>
      <c r="Y48" s="1759"/>
      <c r="Z48" s="1759"/>
      <c r="AA48" s="1759"/>
      <c r="AB48" s="1759"/>
      <c r="AC48" s="1759"/>
      <c r="AD48" s="1759"/>
      <c r="AE48" s="1759"/>
      <c r="AF48" s="1759"/>
      <c r="AG48" s="1759"/>
      <c r="AH48" s="1759"/>
      <c r="AI48" s="1759"/>
      <c r="AJ48" s="1759"/>
      <c r="AK48" s="1759"/>
      <c r="AL48" s="1759"/>
      <c r="AM48" s="1759"/>
      <c r="AN48" s="1759"/>
      <c r="AO48" s="1759"/>
      <c r="AP48" s="1759"/>
      <c r="AQ48" s="1759"/>
      <c r="AR48" s="1759"/>
      <c r="AS48" s="1759"/>
      <c r="AT48" s="1759"/>
      <c r="AU48" s="1759"/>
      <c r="AV48" s="1759"/>
      <c r="AW48" s="1759"/>
      <c r="AX48" s="1759"/>
      <c r="AY48" s="1759"/>
      <c r="AZ48" s="1759"/>
      <c r="BA48" s="1759"/>
      <c r="BB48" s="1759"/>
      <c r="BC48" s="1759"/>
      <c r="BD48" s="1759"/>
      <c r="BE48" s="1759"/>
      <c r="BF48" s="1759"/>
      <c r="BG48" s="1056"/>
    </row>
    <row r="49" spans="1:59" ht="25.5" customHeight="1" x14ac:dyDescent="0.15">
      <c r="A49" s="1050"/>
      <c r="B49" s="1064"/>
      <c r="C49" s="1759" t="str">
        <f>+Nyilatkozatok!BK121</f>
        <v>– a finanszírozást nem teherszállító járművek megvásárlására használja fel, amennyiben közúti kereskedelmi árufuvarozást ellenszolgáltatás fejében történő végző vállalkozásnak minősül.</v>
      </c>
      <c r="D49" s="1759"/>
      <c r="E49" s="1759"/>
      <c r="F49" s="1759"/>
      <c r="G49" s="1759"/>
      <c r="H49" s="1759"/>
      <c r="I49" s="1759"/>
      <c r="J49" s="1759"/>
      <c r="K49" s="1759"/>
      <c r="L49" s="1759"/>
      <c r="M49" s="1759"/>
      <c r="N49" s="1759"/>
      <c r="O49" s="1759"/>
      <c r="P49" s="1759"/>
      <c r="Q49" s="1759"/>
      <c r="R49" s="1759"/>
      <c r="S49" s="1759"/>
      <c r="T49" s="1759"/>
      <c r="U49" s="1759"/>
      <c r="V49" s="1759"/>
      <c r="W49" s="1759"/>
      <c r="X49" s="1759"/>
      <c r="Y49" s="1759"/>
      <c r="Z49" s="1759"/>
      <c r="AA49" s="1759"/>
      <c r="AB49" s="1759"/>
      <c r="AC49" s="1759"/>
      <c r="AD49" s="1759"/>
      <c r="AE49" s="1759"/>
      <c r="AF49" s="1759"/>
      <c r="AG49" s="1759"/>
      <c r="AH49" s="1759"/>
      <c r="AI49" s="1759"/>
      <c r="AJ49" s="1759"/>
      <c r="AK49" s="1759"/>
      <c r="AL49" s="1759"/>
      <c r="AM49" s="1759"/>
      <c r="AN49" s="1759"/>
      <c r="AO49" s="1759"/>
      <c r="AP49" s="1759"/>
      <c r="AQ49" s="1759"/>
      <c r="AR49" s="1759"/>
      <c r="AS49" s="1759"/>
      <c r="AT49" s="1759"/>
      <c r="AU49" s="1759"/>
      <c r="AV49" s="1759"/>
      <c r="AW49" s="1759"/>
      <c r="AX49" s="1759"/>
      <c r="AY49" s="1759"/>
      <c r="AZ49" s="1759"/>
      <c r="BA49" s="1759"/>
      <c r="BB49" s="1759"/>
      <c r="BC49" s="1759"/>
      <c r="BD49" s="1759"/>
      <c r="BE49" s="1759"/>
      <c r="BF49" s="1759"/>
      <c r="BG49" s="1056"/>
    </row>
    <row r="50" spans="1:59" x14ac:dyDescent="0.15">
      <c r="A50" s="1050"/>
      <c r="B50" s="1064"/>
      <c r="C50" s="1760" t="str">
        <f>+Nyilatkozatok!BK122</f>
        <v/>
      </c>
      <c r="D50" s="1760"/>
      <c r="E50" s="1760"/>
      <c r="F50" s="1760"/>
      <c r="G50" s="1760"/>
      <c r="H50" s="1760"/>
      <c r="I50" s="1760"/>
      <c r="J50" s="1760"/>
      <c r="K50" s="1760"/>
      <c r="L50" s="1760"/>
      <c r="M50" s="1760"/>
      <c r="N50" s="1760"/>
      <c r="O50" s="1760"/>
      <c r="P50" s="1760"/>
      <c r="Q50" s="1760"/>
      <c r="R50" s="1760"/>
      <c r="S50" s="1760"/>
      <c r="T50" s="1760"/>
      <c r="U50" s="1760"/>
      <c r="V50" s="1760"/>
      <c r="W50" s="1760"/>
      <c r="X50" s="1760"/>
      <c r="Y50" s="1760"/>
      <c r="Z50" s="1760"/>
      <c r="AA50" s="1760"/>
      <c r="AB50" s="1760"/>
      <c r="AC50" s="1760"/>
      <c r="AD50" s="1760"/>
      <c r="AE50" s="1760"/>
      <c r="AF50" s="1760"/>
      <c r="AG50" s="1760"/>
      <c r="AH50" s="1760"/>
      <c r="AI50" s="1760"/>
      <c r="AJ50" s="1760"/>
      <c r="AK50" s="1760"/>
      <c r="AL50" s="1760"/>
      <c r="AM50" s="1760"/>
      <c r="AN50" s="1760"/>
      <c r="AO50" s="1760"/>
      <c r="AP50" s="1760"/>
      <c r="AQ50" s="1760"/>
      <c r="AR50" s="1760"/>
      <c r="AS50" s="1760"/>
      <c r="AT50" s="1760"/>
      <c r="AU50" s="1760"/>
      <c r="AV50" s="1760"/>
      <c r="AW50" s="1760"/>
      <c r="AX50" s="1760"/>
      <c r="AY50" s="1760"/>
      <c r="AZ50" s="1760"/>
      <c r="BA50" s="1760"/>
      <c r="BB50" s="1760"/>
      <c r="BC50" s="1760"/>
      <c r="BD50" s="1760"/>
      <c r="BE50" s="1760"/>
      <c r="BF50" s="1760"/>
      <c r="BG50" s="1056"/>
    </row>
    <row r="51" spans="1:59" ht="14.25" customHeight="1" x14ac:dyDescent="0.15">
      <c r="A51" s="1050"/>
      <c r="B51" s="1064"/>
      <c r="C51" s="1779" t="s">
        <v>787</v>
      </c>
      <c r="D51" s="1761"/>
      <c r="E51" s="1761"/>
      <c r="F51" s="1761"/>
      <c r="G51" s="1761"/>
      <c r="H51" s="1761"/>
      <c r="I51" s="1761"/>
      <c r="J51" s="1761"/>
      <c r="K51" s="1761"/>
      <c r="L51" s="1761"/>
      <c r="M51" s="1761"/>
      <c r="N51" s="1761"/>
      <c r="O51" s="1761"/>
      <c r="P51" s="1761"/>
      <c r="Q51" s="1761"/>
      <c r="R51" s="1761"/>
      <c r="S51" s="1761"/>
      <c r="T51" s="1761"/>
      <c r="U51" s="1761"/>
      <c r="V51" s="1761"/>
      <c r="W51" s="1761"/>
      <c r="X51" s="1761"/>
      <c r="Y51" s="1761"/>
      <c r="Z51" s="1761"/>
      <c r="AA51" s="1761"/>
      <c r="AB51" s="1761"/>
      <c r="AC51" s="1761"/>
      <c r="AD51" s="1761"/>
      <c r="AE51" s="1761"/>
      <c r="AF51" s="1761"/>
      <c r="AG51" s="1761"/>
      <c r="AH51" s="1761"/>
      <c r="AI51" s="1761"/>
      <c r="AJ51" s="1761"/>
      <c r="AK51" s="1761"/>
      <c r="AL51" s="1761"/>
      <c r="AM51" s="1761"/>
      <c r="AN51" s="1761"/>
      <c r="AO51" s="1761"/>
      <c r="AP51" s="1761"/>
      <c r="AQ51" s="1761"/>
      <c r="AR51" s="1761"/>
      <c r="AS51" s="1761"/>
      <c r="AT51" s="1761"/>
      <c r="AU51" s="1761"/>
      <c r="AV51" s="1761"/>
      <c r="AW51" s="1761"/>
      <c r="AX51" s="1761"/>
      <c r="AY51" s="1761"/>
      <c r="AZ51" s="1761"/>
      <c r="BA51" s="1761"/>
      <c r="BB51" s="1761"/>
      <c r="BC51" s="1761"/>
      <c r="BD51" s="1761"/>
      <c r="BE51" s="1761"/>
      <c r="BF51" s="1761"/>
      <c r="BG51" s="1056"/>
    </row>
    <row r="52" spans="1:59" x14ac:dyDescent="0.15">
      <c r="A52" s="1050"/>
      <c r="B52" s="1053"/>
      <c r="C52" s="1760"/>
      <c r="D52" s="1760"/>
      <c r="E52" s="1760"/>
      <c r="F52" s="1760"/>
      <c r="G52" s="1760"/>
      <c r="H52" s="1760"/>
      <c r="I52" s="1760"/>
      <c r="J52" s="1760"/>
      <c r="K52" s="1760"/>
      <c r="L52" s="1760"/>
      <c r="M52" s="1760"/>
      <c r="N52" s="1760"/>
      <c r="O52" s="1760"/>
      <c r="P52" s="1760"/>
      <c r="Q52" s="1760"/>
      <c r="R52" s="1760"/>
      <c r="S52" s="1760"/>
      <c r="T52" s="1760"/>
      <c r="U52" s="1760"/>
      <c r="V52" s="1760"/>
      <c r="W52" s="1760"/>
      <c r="X52" s="1760"/>
      <c r="Y52" s="1760"/>
      <c r="Z52" s="1760"/>
      <c r="AA52" s="1760"/>
      <c r="AB52" s="1760"/>
      <c r="AC52" s="1760"/>
      <c r="AD52" s="1760"/>
      <c r="AE52" s="1760"/>
      <c r="AF52" s="1760"/>
      <c r="AG52" s="1760"/>
      <c r="AH52" s="1760"/>
      <c r="AI52" s="1760"/>
      <c r="AJ52" s="1760"/>
      <c r="AK52" s="1760"/>
      <c r="AL52" s="1760"/>
      <c r="AM52" s="1760"/>
      <c r="AN52" s="1760"/>
      <c r="AO52" s="1760"/>
      <c r="AP52" s="1760"/>
      <c r="AQ52" s="1760"/>
      <c r="AR52" s="1760"/>
      <c r="AS52" s="1760"/>
      <c r="AT52" s="1760"/>
      <c r="AU52" s="1760"/>
      <c r="AV52" s="1760"/>
      <c r="AW52" s="1760"/>
      <c r="AX52" s="1760"/>
      <c r="AY52" s="1760"/>
      <c r="AZ52" s="1760"/>
      <c r="BA52" s="1760"/>
      <c r="BB52" s="1760"/>
      <c r="BC52" s="1760"/>
      <c r="BD52" s="1760"/>
      <c r="BE52" s="1760"/>
      <c r="BF52" s="1760"/>
      <c r="BG52" s="1071"/>
    </row>
    <row r="53" spans="1:59" x14ac:dyDescent="0.15">
      <c r="A53" s="1050"/>
      <c r="B53" s="1064"/>
      <c r="C53" s="1760"/>
      <c r="D53" s="1760"/>
      <c r="E53" s="1760"/>
      <c r="F53" s="1760"/>
      <c r="G53" s="1760"/>
      <c r="H53" s="1760"/>
      <c r="I53" s="1760"/>
      <c r="J53" s="1760"/>
      <c r="K53" s="1760"/>
      <c r="L53" s="1760"/>
      <c r="M53" s="1760"/>
      <c r="N53" s="1760"/>
      <c r="O53" s="1760"/>
      <c r="P53" s="1760"/>
      <c r="Q53" s="1760"/>
      <c r="R53" s="1760"/>
      <c r="S53" s="1760"/>
      <c r="T53" s="1760"/>
      <c r="U53" s="1760"/>
      <c r="V53" s="1760"/>
      <c r="W53" s="1760"/>
      <c r="X53" s="1760"/>
      <c r="Y53" s="1760"/>
      <c r="Z53" s="1760"/>
      <c r="AA53" s="1760"/>
      <c r="AB53" s="1760"/>
      <c r="AC53" s="1760"/>
      <c r="AD53" s="1760"/>
      <c r="AE53" s="1760"/>
      <c r="AF53" s="1760"/>
      <c r="AG53" s="1760"/>
      <c r="AH53" s="1760"/>
      <c r="AI53" s="1760"/>
      <c r="AJ53" s="1760"/>
      <c r="AK53" s="1760"/>
      <c r="AL53" s="1760"/>
      <c r="AM53" s="1760"/>
      <c r="AN53" s="1760"/>
      <c r="AO53" s="1760"/>
      <c r="AP53" s="1760"/>
      <c r="AQ53" s="1760"/>
      <c r="AR53" s="1760"/>
      <c r="AS53" s="1760"/>
      <c r="AT53" s="1760"/>
      <c r="AU53" s="1760"/>
      <c r="AV53" s="1760"/>
      <c r="AW53" s="1760"/>
      <c r="AX53" s="1760"/>
      <c r="AY53" s="1760"/>
      <c r="AZ53" s="1760"/>
      <c r="BA53" s="1760"/>
      <c r="BB53" s="1760"/>
      <c r="BC53" s="1760"/>
      <c r="BD53" s="1760"/>
      <c r="BE53" s="1760"/>
      <c r="BF53" s="1760"/>
      <c r="BG53" s="1056"/>
    </row>
    <row r="54" spans="1:59" x14ac:dyDescent="0.15">
      <c r="A54" s="1050"/>
      <c r="B54" s="1064"/>
      <c r="C54" s="1054"/>
      <c r="D54" s="1054"/>
      <c r="E54" s="1054"/>
      <c r="F54" s="1054" t="s">
        <v>796</v>
      </c>
      <c r="G54" s="1054"/>
      <c r="H54" s="1780" t="str">
        <f>+IF(keltezes="","",keltezes)</f>
        <v/>
      </c>
      <c r="I54" s="1760"/>
      <c r="J54" s="1760"/>
      <c r="K54" s="1760"/>
      <c r="L54" s="1760"/>
      <c r="M54" s="1760"/>
      <c r="N54" s="1760"/>
      <c r="O54" s="1760"/>
      <c r="P54" s="1760"/>
      <c r="Q54" s="1760"/>
      <c r="R54" s="1760"/>
      <c r="S54" s="1760"/>
      <c r="T54" s="1760"/>
      <c r="U54" s="1054"/>
      <c r="V54" s="1054"/>
      <c r="W54" s="1054"/>
      <c r="X54" s="1054"/>
      <c r="Y54" s="1054"/>
      <c r="Z54" s="1054"/>
      <c r="AA54" s="1054"/>
      <c r="AB54" s="1054"/>
      <c r="AC54" s="1054"/>
      <c r="AD54" s="1054"/>
      <c r="AE54" s="1054"/>
      <c r="AF54" s="1054"/>
      <c r="AG54" s="1054"/>
      <c r="AH54" s="1054"/>
      <c r="AI54" s="1054"/>
      <c r="AJ54" s="1054"/>
      <c r="AK54" s="1054"/>
      <c r="AL54" s="1054"/>
      <c r="AM54" s="1054"/>
      <c r="AN54" s="1054"/>
      <c r="AO54" s="1054"/>
      <c r="AP54" s="1054"/>
      <c r="AQ54" s="1054"/>
      <c r="AR54" s="1054"/>
      <c r="AS54" s="1054"/>
      <c r="AT54" s="1054"/>
      <c r="AU54" s="1054"/>
      <c r="AV54" s="1054"/>
      <c r="AW54" s="1054"/>
      <c r="AX54" s="1054"/>
      <c r="AY54" s="1054"/>
      <c r="AZ54" s="1054"/>
      <c r="BA54" s="1054"/>
      <c r="BB54" s="1054"/>
      <c r="BC54" s="1054"/>
      <c r="BD54" s="1054"/>
      <c r="BE54" s="1054"/>
      <c r="BF54" s="1054"/>
      <c r="BG54" s="1056"/>
    </row>
    <row r="55" spans="1:59" x14ac:dyDescent="0.15">
      <c r="A55" s="1050"/>
      <c r="B55" s="1064"/>
      <c r="C55" s="1054"/>
      <c r="D55" s="1054"/>
      <c r="E55" s="1054"/>
      <c r="F55" s="1054"/>
      <c r="G55" s="1054"/>
      <c r="H55" s="1054"/>
      <c r="I55" s="1054"/>
      <c r="J55" s="1054"/>
      <c r="K55" s="1054"/>
      <c r="L55" s="1054"/>
      <c r="M55" s="1054"/>
      <c r="N55" s="1054"/>
      <c r="O55" s="1054"/>
      <c r="P55" s="1054"/>
      <c r="Q55" s="1054"/>
      <c r="R55" s="1054"/>
      <c r="S55" s="1054"/>
      <c r="T55" s="1054"/>
      <c r="U55" s="1054"/>
      <c r="V55" s="1054"/>
      <c r="W55" s="1054"/>
      <c r="X55" s="1054"/>
      <c r="Y55" s="1054"/>
      <c r="Z55" s="1054"/>
      <c r="AA55" s="1054"/>
      <c r="AB55" s="1054"/>
      <c r="AC55" s="1054"/>
      <c r="AD55" s="1054"/>
      <c r="AE55" s="1054"/>
      <c r="AF55" s="1054"/>
      <c r="AG55" s="1054"/>
      <c r="AH55" s="1054"/>
      <c r="AI55" s="1054"/>
      <c r="AJ55" s="1054"/>
      <c r="AK55" s="1054"/>
      <c r="AL55" s="1054"/>
      <c r="AM55" s="1054"/>
      <c r="AN55" s="1054"/>
      <c r="AO55" s="1054"/>
      <c r="AP55" s="1054"/>
      <c r="AQ55" s="1054"/>
      <c r="AR55" s="1054"/>
      <c r="AS55" s="1054"/>
      <c r="AT55" s="1054"/>
      <c r="AU55" s="1054"/>
      <c r="AV55" s="1054"/>
      <c r="AW55" s="1054"/>
      <c r="AX55" s="1054"/>
      <c r="AY55" s="1054"/>
      <c r="AZ55" s="1054"/>
      <c r="BA55" s="1054"/>
      <c r="BB55" s="1054"/>
      <c r="BC55" s="1054"/>
      <c r="BD55" s="1054"/>
      <c r="BE55" s="1054"/>
      <c r="BF55" s="1054"/>
      <c r="BG55" s="1056"/>
    </row>
    <row r="56" spans="1:59" x14ac:dyDescent="0.15">
      <c r="A56" s="1050"/>
      <c r="B56" s="1064"/>
      <c r="C56" s="1054"/>
      <c r="D56" s="1054"/>
      <c r="E56" s="1054"/>
      <c r="F56" s="1054"/>
      <c r="G56" s="1054"/>
      <c r="H56" s="1054"/>
      <c r="I56" s="1054"/>
      <c r="J56" s="1054"/>
      <c r="K56" s="1054"/>
      <c r="L56" s="1054"/>
      <c r="M56" s="1054"/>
      <c r="N56" s="1054"/>
      <c r="O56" s="1054"/>
      <c r="P56" s="1054"/>
      <c r="Q56" s="1054"/>
      <c r="R56" s="1054"/>
      <c r="S56" s="1054"/>
      <c r="T56" s="1054"/>
      <c r="U56" s="1054"/>
      <c r="V56" s="1054"/>
      <c r="W56" s="1054"/>
      <c r="X56" s="1054"/>
      <c r="Y56" s="1054"/>
      <c r="Z56" s="1054"/>
      <c r="AA56" s="1054"/>
      <c r="AB56" s="1054"/>
      <c r="AC56" s="1054"/>
      <c r="AD56" s="1054"/>
      <c r="AE56" s="1054"/>
      <c r="AF56" s="1054"/>
      <c r="AG56" s="1054"/>
      <c r="AH56" s="1747"/>
      <c r="AI56" s="1747"/>
      <c r="AJ56" s="1747"/>
      <c r="AK56" s="1747"/>
      <c r="AL56" s="1747"/>
      <c r="AM56" s="1747"/>
      <c r="AN56" s="1747"/>
      <c r="AO56" s="1747"/>
      <c r="AP56" s="1747"/>
      <c r="AQ56" s="1747"/>
      <c r="AR56" s="1747"/>
      <c r="AS56" s="1747"/>
      <c r="AT56" s="1747"/>
      <c r="AU56" s="1747"/>
      <c r="AV56" s="1747"/>
      <c r="AW56" s="1747"/>
      <c r="AX56" s="1747"/>
      <c r="AY56" s="1747"/>
      <c r="AZ56" s="1747"/>
      <c r="BA56" s="1747"/>
      <c r="BB56" s="1747"/>
      <c r="BC56" s="1747"/>
      <c r="BD56" s="1747"/>
      <c r="BE56" s="1054"/>
      <c r="BF56" s="1054"/>
      <c r="BG56" s="1056"/>
    </row>
    <row r="57" spans="1:59" ht="15" customHeight="1" x14ac:dyDescent="0.15">
      <c r="A57" s="1050"/>
      <c r="B57" s="1064"/>
      <c r="C57" s="1054"/>
      <c r="D57" s="1054"/>
      <c r="E57" s="1054"/>
      <c r="F57" s="1054"/>
      <c r="G57" s="1054"/>
      <c r="H57" s="1054"/>
      <c r="I57" s="1054"/>
      <c r="J57" s="1054"/>
      <c r="K57" s="1054"/>
      <c r="L57" s="1054"/>
      <c r="M57" s="1054"/>
      <c r="N57" s="1054"/>
      <c r="O57" s="1054"/>
      <c r="P57" s="1054"/>
      <c r="Q57" s="1054"/>
      <c r="R57" s="1054"/>
      <c r="S57" s="1054"/>
      <c r="T57" s="1054"/>
      <c r="U57" s="1054"/>
      <c r="V57" s="1054"/>
      <c r="W57" s="1054"/>
      <c r="X57" s="1054"/>
      <c r="Y57" s="1054"/>
      <c r="Z57" s="1054"/>
      <c r="AA57" s="1054"/>
      <c r="AB57" s="1054"/>
      <c r="AC57" s="1054"/>
      <c r="AD57" s="1054"/>
      <c r="AE57" s="1054"/>
      <c r="AF57" s="1054"/>
      <c r="AG57" s="1054"/>
      <c r="AH57" s="1746" t="str">
        <f>+IF('Támogatási Nyilatkozatok_all'!C10="","",'Támogatási Nyilatkozatok_all'!C10)</f>
        <v/>
      </c>
      <c r="AI57" s="1746"/>
      <c r="AJ57" s="1746"/>
      <c r="AK57" s="1746"/>
      <c r="AL57" s="1746"/>
      <c r="AM57" s="1746"/>
      <c r="AN57" s="1746"/>
      <c r="AO57" s="1746"/>
      <c r="AP57" s="1746"/>
      <c r="AQ57" s="1746"/>
      <c r="AR57" s="1746"/>
      <c r="AS57" s="1746"/>
      <c r="AT57" s="1746"/>
      <c r="AU57" s="1746"/>
      <c r="AV57" s="1746"/>
      <c r="AW57" s="1746"/>
      <c r="AX57" s="1746"/>
      <c r="AY57" s="1746"/>
      <c r="AZ57" s="1746"/>
      <c r="BA57" s="1746"/>
      <c r="BB57" s="1746"/>
      <c r="BC57" s="1746"/>
      <c r="BD57" s="1746"/>
      <c r="BE57" s="1054"/>
      <c r="BF57" s="1054"/>
      <c r="BG57" s="1056"/>
    </row>
    <row r="58" spans="1:59" x14ac:dyDescent="0.15">
      <c r="A58" s="1050"/>
      <c r="B58" s="1064"/>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054"/>
      <c r="AM58" s="1054"/>
      <c r="AN58" s="1054"/>
      <c r="AO58" s="1054"/>
      <c r="AP58" s="1054"/>
      <c r="AQ58" s="1054"/>
      <c r="AR58" s="1054"/>
      <c r="AS58" s="1054"/>
      <c r="AT58" s="1054"/>
      <c r="AU58" s="1054"/>
      <c r="AV58" s="1054"/>
      <c r="AW58" s="1054"/>
      <c r="AX58" s="1054"/>
      <c r="AY58" s="1054"/>
      <c r="AZ58" s="1054"/>
      <c r="BA58" s="1054"/>
      <c r="BB58" s="1054"/>
      <c r="BC58" s="1054"/>
      <c r="BD58" s="1054"/>
      <c r="BE58" s="1054"/>
      <c r="BF58" s="1054"/>
      <c r="BG58" s="1056"/>
    </row>
    <row r="59" spans="1:59" x14ac:dyDescent="0.15">
      <c r="A59" s="1050"/>
      <c r="B59" s="1064"/>
      <c r="C59" s="1054"/>
      <c r="D59" s="1054"/>
      <c r="E59" s="1054"/>
      <c r="F59" s="1054"/>
      <c r="G59" s="1054"/>
      <c r="H59" s="1054"/>
      <c r="I59" s="1054"/>
      <c r="J59" s="1054"/>
      <c r="K59" s="1054"/>
      <c r="L59" s="1054"/>
      <c r="M59" s="1054"/>
      <c r="N59" s="1054"/>
      <c r="O59" s="1054"/>
      <c r="P59" s="1054"/>
      <c r="Q59" s="1054"/>
      <c r="R59" s="1054"/>
      <c r="S59" s="1054"/>
      <c r="T59" s="1054"/>
      <c r="U59" s="1054"/>
      <c r="V59" s="1054"/>
      <c r="W59" s="1054"/>
      <c r="X59" s="1054"/>
      <c r="Y59" s="1054"/>
      <c r="Z59" s="1054"/>
      <c r="AA59" s="1054"/>
      <c r="AB59" s="1054"/>
      <c r="AC59" s="1054"/>
      <c r="AD59" s="1054"/>
      <c r="AE59" s="1054"/>
      <c r="AF59" s="1054"/>
      <c r="AG59" s="1054"/>
      <c r="AH59" s="1054"/>
      <c r="AI59" s="1054"/>
      <c r="AJ59" s="1054"/>
      <c r="AK59" s="1054"/>
      <c r="AL59" s="1054"/>
      <c r="AM59" s="1054"/>
      <c r="AN59" s="1054"/>
      <c r="AO59" s="1054"/>
      <c r="AP59" s="1054"/>
      <c r="AQ59" s="1054"/>
      <c r="AR59" s="1054"/>
      <c r="AS59" s="1054"/>
      <c r="AT59" s="1054"/>
      <c r="AU59" s="1054"/>
      <c r="AV59" s="1054"/>
      <c r="AW59" s="1054"/>
      <c r="AX59" s="1054"/>
      <c r="AY59" s="1054"/>
      <c r="AZ59" s="1054"/>
      <c r="BA59" s="1054"/>
      <c r="BB59" s="1054"/>
      <c r="BC59" s="1054"/>
      <c r="BD59" s="1054"/>
      <c r="BE59" s="1054"/>
      <c r="BF59" s="1054"/>
      <c r="BG59" s="1056"/>
    </row>
    <row r="60" spans="1:59" x14ac:dyDescent="0.15">
      <c r="A60" s="1050"/>
      <c r="B60" s="1064"/>
      <c r="C60" s="1054"/>
      <c r="D60" s="1054"/>
      <c r="E60" s="1054" t="s">
        <v>797</v>
      </c>
      <c r="F60" s="1054"/>
      <c r="G60" s="1054"/>
      <c r="H60" s="1054"/>
      <c r="I60" s="1054"/>
      <c r="J60" s="1054"/>
      <c r="K60" s="1054"/>
      <c r="L60" s="1054"/>
      <c r="M60" s="1054"/>
      <c r="N60" s="1054"/>
      <c r="O60" s="1054"/>
      <c r="P60" s="1054"/>
      <c r="Q60" s="1054"/>
      <c r="R60" s="1054"/>
      <c r="S60" s="1054"/>
      <c r="T60" s="1054"/>
      <c r="U60" s="1054"/>
      <c r="V60" s="1054"/>
      <c r="W60" s="1054"/>
      <c r="X60" s="1054"/>
      <c r="Y60" s="1054"/>
      <c r="Z60" s="1054"/>
      <c r="AA60" s="1054"/>
      <c r="AB60" s="1054"/>
      <c r="AC60" s="1054"/>
      <c r="AD60" s="1054"/>
      <c r="AE60" s="1054"/>
      <c r="AF60" s="1054"/>
      <c r="AG60" s="1054"/>
      <c r="AH60" s="1054"/>
      <c r="AI60" s="1054"/>
      <c r="AJ60" s="1054"/>
      <c r="AK60" s="1054"/>
      <c r="AL60" s="1054"/>
      <c r="AM60" s="1054"/>
      <c r="AN60" s="1054"/>
      <c r="AO60" s="1054"/>
      <c r="AP60" s="1054"/>
      <c r="AQ60" s="1054"/>
      <c r="AR60" s="1054"/>
      <c r="AS60" s="1054"/>
      <c r="AT60" s="1054"/>
      <c r="AU60" s="1054"/>
      <c r="AV60" s="1054"/>
      <c r="AW60" s="1054"/>
      <c r="AX60" s="1054"/>
      <c r="AY60" s="1054"/>
      <c r="AZ60" s="1054"/>
      <c r="BA60" s="1054"/>
      <c r="BB60" s="1054"/>
      <c r="BC60" s="1054"/>
      <c r="BD60" s="1054"/>
      <c r="BE60" s="1054"/>
      <c r="BF60" s="1054"/>
      <c r="BG60" s="1056"/>
    </row>
    <row r="61" spans="1:59" x14ac:dyDescent="0.15">
      <c r="A61" s="1050"/>
      <c r="B61" s="1064"/>
      <c r="C61" s="1054"/>
      <c r="D61" s="1054"/>
      <c r="E61" s="1054" t="s">
        <v>798</v>
      </c>
      <c r="F61" s="1054"/>
      <c r="G61" s="1054"/>
      <c r="H61" s="1054"/>
      <c r="I61" s="1054"/>
      <c r="J61" s="1054"/>
      <c r="K61" s="1054"/>
      <c r="L61" s="1054"/>
      <c r="M61" s="1054"/>
      <c r="N61" s="1054"/>
      <c r="O61" s="1054"/>
      <c r="P61" s="1054"/>
      <c r="Q61" s="1054"/>
      <c r="R61" s="1054"/>
      <c r="S61" s="1054"/>
      <c r="T61" s="1054"/>
      <c r="U61" s="1054"/>
      <c r="V61" s="1054"/>
      <c r="W61" s="1054"/>
      <c r="X61" s="1054"/>
      <c r="Y61" s="1054"/>
      <c r="Z61" s="1054"/>
      <c r="AA61" s="1054"/>
      <c r="AB61" s="1054"/>
      <c r="AC61" s="1054"/>
      <c r="AD61" s="1054"/>
      <c r="AE61" s="1054"/>
      <c r="AF61" s="1054"/>
      <c r="AG61" s="1054"/>
      <c r="AH61" s="1054"/>
      <c r="AI61" s="1054"/>
      <c r="AJ61" s="1054"/>
      <c r="AK61" s="1054"/>
      <c r="AL61" s="1054"/>
      <c r="AM61" s="1054"/>
      <c r="AN61" s="1054"/>
      <c r="AO61" s="1054"/>
      <c r="AP61" s="1054"/>
      <c r="AQ61" s="1054"/>
      <c r="AR61" s="1054"/>
      <c r="AS61" s="1054"/>
      <c r="AT61" s="1054"/>
      <c r="AU61" s="1054"/>
      <c r="AV61" s="1054"/>
      <c r="AW61" s="1054"/>
      <c r="AX61" s="1054"/>
      <c r="AY61" s="1054"/>
      <c r="AZ61" s="1054"/>
      <c r="BA61" s="1054"/>
      <c r="BB61" s="1054"/>
      <c r="BC61" s="1054"/>
      <c r="BD61" s="1054"/>
      <c r="BE61" s="1054"/>
      <c r="BF61" s="1054"/>
      <c r="BG61" s="1056"/>
    </row>
    <row r="62" spans="1:59" x14ac:dyDescent="0.15">
      <c r="A62" s="1050"/>
      <c r="B62" s="1064"/>
      <c r="C62" s="1054"/>
      <c r="D62" s="1054"/>
      <c r="E62" s="1054"/>
      <c r="F62" s="1054"/>
      <c r="G62" s="1054"/>
      <c r="H62" s="1054"/>
      <c r="I62" s="1054"/>
      <c r="J62" s="1054"/>
      <c r="K62" s="1054"/>
      <c r="L62" s="1054"/>
      <c r="M62" s="1054"/>
      <c r="N62" s="1054"/>
      <c r="O62" s="1054"/>
      <c r="P62" s="1054"/>
      <c r="Q62" s="1054"/>
      <c r="R62" s="1054"/>
      <c r="S62" s="1054"/>
      <c r="T62" s="1054"/>
      <c r="U62" s="1054"/>
      <c r="V62" s="1054"/>
      <c r="W62" s="1054"/>
      <c r="X62" s="1054"/>
      <c r="Y62" s="1054"/>
      <c r="Z62" s="1054"/>
      <c r="AA62" s="1054"/>
      <c r="AB62" s="1054"/>
      <c r="AC62" s="1054"/>
      <c r="AD62" s="1054"/>
      <c r="AE62" s="1054"/>
      <c r="AF62" s="1054"/>
      <c r="AG62" s="1054"/>
      <c r="AH62" s="1054"/>
      <c r="AI62" s="1054"/>
      <c r="AJ62" s="1054"/>
      <c r="AK62" s="1054"/>
      <c r="AL62" s="1054"/>
      <c r="AM62" s="1054"/>
      <c r="AN62" s="1054"/>
      <c r="AO62" s="1054"/>
      <c r="AP62" s="1054"/>
      <c r="AQ62" s="1054"/>
      <c r="AR62" s="1054"/>
      <c r="AS62" s="1054"/>
      <c r="AT62" s="1054"/>
      <c r="AU62" s="1054"/>
      <c r="AV62" s="1054"/>
      <c r="AW62" s="1054"/>
      <c r="AX62" s="1054"/>
      <c r="AY62" s="1054"/>
      <c r="AZ62" s="1054"/>
      <c r="BA62" s="1054"/>
      <c r="BB62" s="1054"/>
      <c r="BC62" s="1054"/>
      <c r="BD62" s="1054"/>
      <c r="BE62" s="1054"/>
      <c r="BF62" s="1054"/>
      <c r="BG62" s="1056"/>
    </row>
    <row r="63" spans="1:59" x14ac:dyDescent="0.15">
      <c r="A63" s="1050"/>
      <c r="B63" s="1064"/>
      <c r="C63" s="1055"/>
      <c r="D63" s="1055"/>
      <c r="E63" s="1055" t="s">
        <v>799</v>
      </c>
      <c r="F63" s="1055"/>
      <c r="G63" s="1055"/>
      <c r="H63" s="1055"/>
      <c r="I63" s="1055"/>
      <c r="J63" s="1747"/>
      <c r="K63" s="1747"/>
      <c r="L63" s="1747"/>
      <c r="M63" s="1747"/>
      <c r="N63" s="1747"/>
      <c r="O63" s="1747"/>
      <c r="P63" s="1747"/>
      <c r="Q63" s="1747"/>
      <c r="R63" s="1747"/>
      <c r="S63" s="1747"/>
      <c r="T63" s="1747"/>
      <c r="U63" s="1747"/>
      <c r="V63" s="1747"/>
      <c r="W63" s="1747"/>
      <c r="X63" s="1747"/>
      <c r="Y63" s="1747"/>
      <c r="Z63" s="1747"/>
      <c r="AA63" s="1747"/>
      <c r="AB63" s="1747"/>
      <c r="AC63" s="1055"/>
      <c r="AD63" s="1055"/>
      <c r="AE63" s="1055"/>
      <c r="AF63" s="1055" t="s">
        <v>800</v>
      </c>
      <c r="AG63" s="1055"/>
      <c r="AH63" s="1055"/>
      <c r="AI63" s="1055"/>
      <c r="AJ63" s="1747"/>
      <c r="AK63" s="1747"/>
      <c r="AL63" s="1747"/>
      <c r="AM63" s="1747"/>
      <c r="AN63" s="1747"/>
      <c r="AO63" s="1747"/>
      <c r="AP63" s="1747"/>
      <c r="AQ63" s="1747"/>
      <c r="AR63" s="1747"/>
      <c r="AS63" s="1747"/>
      <c r="AT63" s="1747"/>
      <c r="AU63" s="1747"/>
      <c r="AV63" s="1747"/>
      <c r="AW63" s="1747"/>
      <c r="AX63" s="1747"/>
      <c r="AY63" s="1747"/>
      <c r="AZ63" s="1747"/>
      <c r="BA63" s="1747"/>
      <c r="BB63" s="1747"/>
      <c r="BC63" s="1055"/>
      <c r="BD63" s="1055"/>
      <c r="BE63" s="1055"/>
      <c r="BF63" s="1055"/>
      <c r="BG63" s="1056"/>
    </row>
    <row r="64" spans="1:59" x14ac:dyDescent="0.15">
      <c r="A64" s="1050"/>
      <c r="B64" s="1064"/>
      <c r="C64" s="1055"/>
      <c r="D64" s="1055"/>
      <c r="E64" s="1055"/>
      <c r="F64" s="1055"/>
      <c r="G64" s="1055"/>
      <c r="H64" s="1055"/>
      <c r="I64" s="1055"/>
      <c r="J64" s="1055"/>
      <c r="K64" s="1055"/>
      <c r="L64" s="1055"/>
      <c r="M64" s="1055"/>
      <c r="N64" s="1746" t="s">
        <v>315</v>
      </c>
      <c r="O64" s="1746"/>
      <c r="P64" s="1746"/>
      <c r="Q64" s="1746"/>
      <c r="R64" s="1746"/>
      <c r="S64" s="1746"/>
      <c r="T64" s="1746"/>
      <c r="U64" s="1746"/>
      <c r="V64" s="1746"/>
      <c r="W64" s="1746"/>
      <c r="X64" s="1746"/>
      <c r="Y64" s="1055"/>
      <c r="Z64" s="1055"/>
      <c r="AA64" s="1055"/>
      <c r="AB64" s="1055"/>
      <c r="AC64" s="1055"/>
      <c r="AD64" s="1055"/>
      <c r="AE64" s="1055"/>
      <c r="AF64" s="1055"/>
      <c r="AG64" s="1055"/>
      <c r="AH64" s="1055"/>
      <c r="AI64" s="1055"/>
      <c r="AJ64" s="1055"/>
      <c r="AK64" s="1055"/>
      <c r="AL64" s="1055"/>
      <c r="AM64" s="1055"/>
      <c r="AN64" s="1746" t="s">
        <v>315</v>
      </c>
      <c r="AO64" s="1746"/>
      <c r="AP64" s="1746"/>
      <c r="AQ64" s="1746"/>
      <c r="AR64" s="1746"/>
      <c r="AS64" s="1746"/>
      <c r="AT64" s="1746"/>
      <c r="AU64" s="1746"/>
      <c r="AV64" s="1746"/>
      <c r="AW64" s="1746"/>
      <c r="AX64" s="1746"/>
      <c r="AY64" s="1055"/>
      <c r="AZ64" s="1055"/>
      <c r="BA64" s="1055"/>
      <c r="BB64" s="1055"/>
      <c r="BC64" s="1055"/>
      <c r="BD64" s="1055"/>
      <c r="BE64" s="1055"/>
      <c r="BF64" s="1055"/>
      <c r="BG64" s="1056"/>
    </row>
    <row r="65" spans="1:59" x14ac:dyDescent="0.15">
      <c r="A65" s="1050"/>
      <c r="B65" s="1064"/>
      <c r="C65" s="1055"/>
      <c r="D65" s="1055"/>
      <c r="E65" s="1055"/>
      <c r="F65" s="1055"/>
      <c r="G65" s="1055"/>
      <c r="H65" s="1055"/>
      <c r="I65" s="1055"/>
      <c r="J65" s="1055"/>
      <c r="K65" s="1055"/>
      <c r="L65" s="1055"/>
      <c r="M65" s="1055"/>
      <c r="N65" s="1055"/>
      <c r="O65" s="1055"/>
      <c r="P65" s="1055"/>
      <c r="Q65" s="1055"/>
      <c r="R65" s="1055"/>
      <c r="S65" s="1055"/>
      <c r="T65" s="1055"/>
      <c r="U65" s="1055"/>
      <c r="V65" s="1055"/>
      <c r="W65" s="1055"/>
      <c r="X65" s="1055"/>
      <c r="Y65" s="1055"/>
      <c r="Z65" s="1055"/>
      <c r="AA65" s="1055"/>
      <c r="AB65" s="1055"/>
      <c r="AC65" s="1055"/>
      <c r="AD65" s="1055"/>
      <c r="AE65" s="1055"/>
      <c r="AF65" s="1055"/>
      <c r="AG65" s="1055"/>
      <c r="AH65" s="1055"/>
      <c r="AI65" s="1055"/>
      <c r="AJ65" s="1055"/>
      <c r="AK65" s="1055"/>
      <c r="AL65" s="1055"/>
      <c r="AM65" s="1055"/>
      <c r="AN65" s="1055"/>
      <c r="AO65" s="1055"/>
      <c r="AP65" s="1055"/>
      <c r="AQ65" s="1055"/>
      <c r="AR65" s="1055"/>
      <c r="AS65" s="1055"/>
      <c r="AT65" s="1055"/>
      <c r="AU65" s="1055"/>
      <c r="AV65" s="1055"/>
      <c r="AW65" s="1055"/>
      <c r="AX65" s="1055"/>
      <c r="AY65" s="1055"/>
      <c r="AZ65" s="1055"/>
      <c r="BA65" s="1055"/>
      <c r="BB65" s="1055"/>
      <c r="BC65" s="1055"/>
      <c r="BD65" s="1055"/>
      <c r="BE65" s="1055"/>
      <c r="BF65" s="1055"/>
      <c r="BG65" s="1056"/>
    </row>
    <row r="66" spans="1:59" x14ac:dyDescent="0.15">
      <c r="A66" s="1050"/>
      <c r="B66" s="1064"/>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c r="BB66" s="1055"/>
      <c r="BC66" s="1055"/>
      <c r="BD66" s="1055"/>
      <c r="BE66" s="1055"/>
      <c r="BF66" s="1055"/>
      <c r="BG66" s="1056"/>
    </row>
    <row r="67" spans="1:59" x14ac:dyDescent="0.15">
      <c r="A67" s="1050"/>
      <c r="B67" s="1064"/>
      <c r="C67" s="1055"/>
      <c r="D67" s="1055"/>
      <c r="E67" s="1055"/>
      <c r="F67" s="1055"/>
      <c r="G67" s="1055"/>
      <c r="H67" s="1055"/>
      <c r="I67" s="1055"/>
      <c r="J67" s="1747"/>
      <c r="K67" s="1747"/>
      <c r="L67" s="1747"/>
      <c r="M67" s="1747"/>
      <c r="N67" s="1747"/>
      <c r="O67" s="1747"/>
      <c r="P67" s="1747"/>
      <c r="Q67" s="1747"/>
      <c r="R67" s="1747"/>
      <c r="S67" s="1747"/>
      <c r="T67" s="1747"/>
      <c r="U67" s="1747"/>
      <c r="V67" s="1747"/>
      <c r="W67" s="1747"/>
      <c r="X67" s="1747"/>
      <c r="Y67" s="1747"/>
      <c r="Z67" s="1747"/>
      <c r="AA67" s="1747"/>
      <c r="AB67" s="1747"/>
      <c r="AC67" s="1055"/>
      <c r="AD67" s="1055"/>
      <c r="AE67" s="1055"/>
      <c r="AF67" s="1055"/>
      <c r="AG67" s="1055"/>
      <c r="AH67" s="1055"/>
      <c r="AI67" s="1055"/>
      <c r="AJ67" s="1747"/>
      <c r="AK67" s="1747"/>
      <c r="AL67" s="1747"/>
      <c r="AM67" s="1747"/>
      <c r="AN67" s="1747"/>
      <c r="AO67" s="1747"/>
      <c r="AP67" s="1747"/>
      <c r="AQ67" s="1747"/>
      <c r="AR67" s="1747"/>
      <c r="AS67" s="1747"/>
      <c r="AT67" s="1747"/>
      <c r="AU67" s="1747"/>
      <c r="AV67" s="1747"/>
      <c r="AW67" s="1747"/>
      <c r="AX67" s="1747"/>
      <c r="AY67" s="1747"/>
      <c r="AZ67" s="1747"/>
      <c r="BA67" s="1747"/>
      <c r="BB67" s="1747"/>
      <c r="BC67" s="1055"/>
      <c r="BD67" s="1055"/>
      <c r="BE67" s="1055"/>
      <c r="BF67" s="1055"/>
      <c r="BG67" s="1056"/>
    </row>
    <row r="68" spans="1:59" x14ac:dyDescent="0.15">
      <c r="A68" s="1050"/>
      <c r="B68" s="1064"/>
      <c r="C68" s="1055"/>
      <c r="D68" s="1055"/>
      <c r="E68" s="1055"/>
      <c r="F68" s="1055"/>
      <c r="G68" s="1055"/>
      <c r="H68" s="1055"/>
      <c r="I68" s="1055"/>
      <c r="J68" s="1055"/>
      <c r="K68" s="1055"/>
      <c r="L68" s="1055"/>
      <c r="M68" s="1055"/>
      <c r="N68" s="1746" t="s">
        <v>316</v>
      </c>
      <c r="O68" s="1746"/>
      <c r="P68" s="1746"/>
      <c r="Q68" s="1746"/>
      <c r="R68" s="1746"/>
      <c r="S68" s="1746"/>
      <c r="T68" s="1746"/>
      <c r="U68" s="1746"/>
      <c r="V68" s="1746"/>
      <c r="W68" s="1746"/>
      <c r="X68" s="1746"/>
      <c r="Y68" s="1055"/>
      <c r="Z68" s="1055"/>
      <c r="AA68" s="1055"/>
      <c r="AB68" s="1055"/>
      <c r="AC68" s="1055"/>
      <c r="AD68" s="1055"/>
      <c r="AE68" s="1055"/>
      <c r="AF68" s="1055"/>
      <c r="AG68" s="1055"/>
      <c r="AH68" s="1055"/>
      <c r="AI68" s="1055"/>
      <c r="AJ68" s="1055"/>
      <c r="AK68" s="1055"/>
      <c r="AL68" s="1055"/>
      <c r="AM68" s="1055"/>
      <c r="AN68" s="1746" t="s">
        <v>316</v>
      </c>
      <c r="AO68" s="1746"/>
      <c r="AP68" s="1746"/>
      <c r="AQ68" s="1746"/>
      <c r="AR68" s="1746"/>
      <c r="AS68" s="1746"/>
      <c r="AT68" s="1746"/>
      <c r="AU68" s="1746"/>
      <c r="AV68" s="1746"/>
      <c r="AW68" s="1746"/>
      <c r="AX68" s="1746"/>
      <c r="AY68" s="1055"/>
      <c r="AZ68" s="1055"/>
      <c r="BA68" s="1055"/>
      <c r="BB68" s="1055"/>
      <c r="BC68" s="1055"/>
      <c r="BD68" s="1055"/>
      <c r="BE68" s="1055"/>
      <c r="BF68" s="1055"/>
      <c r="BG68" s="1056"/>
    </row>
    <row r="69" spans="1:59" x14ac:dyDescent="0.15">
      <c r="A69" s="1050"/>
      <c r="B69" s="1064"/>
      <c r="C69" s="1055"/>
      <c r="D69" s="1055"/>
      <c r="E69" s="1055"/>
      <c r="F69" s="1055"/>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c r="AL69" s="1055"/>
      <c r="AM69" s="1055"/>
      <c r="AN69" s="1055"/>
      <c r="AO69" s="1055"/>
      <c r="AP69" s="1055"/>
      <c r="AQ69" s="1055"/>
      <c r="AR69" s="1055"/>
      <c r="AS69" s="1055"/>
      <c r="AT69" s="1055"/>
      <c r="AU69" s="1055"/>
      <c r="AV69" s="1055"/>
      <c r="AW69" s="1055"/>
      <c r="AX69" s="1055"/>
      <c r="AY69" s="1055"/>
      <c r="AZ69" s="1055"/>
      <c r="BA69" s="1055"/>
      <c r="BB69" s="1055"/>
      <c r="BC69" s="1055"/>
      <c r="BD69" s="1055"/>
      <c r="BE69" s="1055"/>
      <c r="BF69" s="1055"/>
      <c r="BG69" s="1056"/>
    </row>
    <row r="70" spans="1:59" x14ac:dyDescent="0.15">
      <c r="A70" s="1050"/>
      <c r="B70" s="1064"/>
      <c r="C70" s="1055"/>
      <c r="D70" s="1055"/>
      <c r="E70" s="1055"/>
      <c r="F70" s="1055"/>
      <c r="G70" s="1055"/>
      <c r="H70" s="1055"/>
      <c r="I70" s="1055"/>
      <c r="J70" s="1055"/>
      <c r="K70" s="1055"/>
      <c r="L70" s="1055"/>
      <c r="M70" s="1055"/>
      <c r="N70" s="1055"/>
      <c r="O70" s="1055"/>
      <c r="P70" s="1055"/>
      <c r="Q70" s="1055"/>
      <c r="R70" s="1055"/>
      <c r="S70" s="1055"/>
      <c r="T70" s="1055"/>
      <c r="U70" s="1055"/>
      <c r="V70" s="1055"/>
      <c r="W70" s="1055"/>
      <c r="X70" s="1055"/>
      <c r="Y70" s="1055"/>
      <c r="Z70" s="1055"/>
      <c r="AA70" s="1055"/>
      <c r="AB70" s="1055"/>
      <c r="AC70" s="1055"/>
      <c r="AD70" s="1055"/>
      <c r="AE70" s="1055"/>
      <c r="AF70" s="1055"/>
      <c r="AG70" s="1055"/>
      <c r="AH70" s="1055"/>
      <c r="AI70" s="1055"/>
      <c r="AJ70" s="1055"/>
      <c r="AK70" s="1055"/>
      <c r="AL70" s="1055"/>
      <c r="AM70" s="1055"/>
      <c r="AN70" s="1055"/>
      <c r="AO70" s="1055"/>
      <c r="AP70" s="1055"/>
      <c r="AQ70" s="1055"/>
      <c r="AR70" s="1055"/>
      <c r="AS70" s="1055"/>
      <c r="AT70" s="1055"/>
      <c r="AU70" s="1055"/>
      <c r="AV70" s="1055"/>
      <c r="AW70" s="1055"/>
      <c r="AX70" s="1055"/>
      <c r="AY70" s="1055"/>
      <c r="AZ70" s="1055"/>
      <c r="BA70" s="1055"/>
      <c r="BB70" s="1055"/>
      <c r="BC70" s="1055"/>
      <c r="BD70" s="1055"/>
      <c r="BE70" s="1055"/>
      <c r="BF70" s="1055"/>
      <c r="BG70" s="1056"/>
    </row>
    <row r="71" spans="1:59" x14ac:dyDescent="0.15">
      <c r="A71" s="1050"/>
      <c r="B71" s="1064"/>
      <c r="C71" s="1055"/>
      <c r="D71" s="1055"/>
      <c r="E71" s="1055"/>
      <c r="F71" s="1055"/>
      <c r="G71" s="1055"/>
      <c r="H71" s="1055"/>
      <c r="I71" s="1055"/>
      <c r="J71" s="1747"/>
      <c r="K71" s="1747"/>
      <c r="L71" s="1747"/>
      <c r="M71" s="1747"/>
      <c r="N71" s="1747"/>
      <c r="O71" s="1747"/>
      <c r="P71" s="1747"/>
      <c r="Q71" s="1747"/>
      <c r="R71" s="1747"/>
      <c r="S71" s="1747"/>
      <c r="T71" s="1747"/>
      <c r="U71" s="1747"/>
      <c r="V71" s="1747"/>
      <c r="W71" s="1747"/>
      <c r="X71" s="1747"/>
      <c r="Y71" s="1747"/>
      <c r="Z71" s="1747"/>
      <c r="AA71" s="1747"/>
      <c r="AB71" s="1747"/>
      <c r="AC71" s="1055"/>
      <c r="AD71" s="1055"/>
      <c r="AE71" s="1055"/>
      <c r="AF71" s="1055"/>
      <c r="AG71" s="1055"/>
      <c r="AH71" s="1055"/>
      <c r="AI71" s="1055"/>
      <c r="AJ71" s="1747"/>
      <c r="AK71" s="1747"/>
      <c r="AL71" s="1747"/>
      <c r="AM71" s="1747"/>
      <c r="AN71" s="1747"/>
      <c r="AO71" s="1747"/>
      <c r="AP71" s="1747"/>
      <c r="AQ71" s="1747"/>
      <c r="AR71" s="1747"/>
      <c r="AS71" s="1747"/>
      <c r="AT71" s="1747"/>
      <c r="AU71" s="1747"/>
      <c r="AV71" s="1747"/>
      <c r="AW71" s="1747"/>
      <c r="AX71" s="1747"/>
      <c r="AY71" s="1747"/>
      <c r="AZ71" s="1747"/>
      <c r="BA71" s="1747"/>
      <c r="BB71" s="1747"/>
      <c r="BC71" s="1055"/>
      <c r="BD71" s="1055"/>
      <c r="BE71" s="1055"/>
      <c r="BF71" s="1055"/>
      <c r="BG71" s="1056"/>
    </row>
    <row r="72" spans="1:59" x14ac:dyDescent="0.15">
      <c r="A72" s="1050"/>
      <c r="B72" s="1064"/>
      <c r="C72" s="1055"/>
      <c r="D72" s="1055"/>
      <c r="E72" s="1055"/>
      <c r="F72" s="1055"/>
      <c r="G72" s="1055"/>
      <c r="H72" s="1055"/>
      <c r="I72" s="1055"/>
      <c r="J72" s="1055"/>
      <c r="K72" s="1055"/>
      <c r="L72" s="1055"/>
      <c r="M72" s="1055"/>
      <c r="N72" s="1746" t="s">
        <v>801</v>
      </c>
      <c r="O72" s="1746"/>
      <c r="P72" s="1746"/>
      <c r="Q72" s="1746"/>
      <c r="R72" s="1746"/>
      <c r="S72" s="1746"/>
      <c r="T72" s="1746"/>
      <c r="U72" s="1746"/>
      <c r="V72" s="1746"/>
      <c r="W72" s="1746"/>
      <c r="X72" s="1746"/>
      <c r="Y72" s="1055"/>
      <c r="Z72" s="1055"/>
      <c r="AA72" s="1055"/>
      <c r="AB72" s="1055"/>
      <c r="AC72" s="1055"/>
      <c r="AD72" s="1055"/>
      <c r="AE72" s="1055"/>
      <c r="AF72" s="1055"/>
      <c r="AG72" s="1055"/>
      <c r="AH72" s="1055"/>
      <c r="AI72" s="1055"/>
      <c r="AJ72" s="1055"/>
      <c r="AK72" s="1055"/>
      <c r="AL72" s="1055"/>
      <c r="AM72" s="1055"/>
      <c r="AN72" s="1746" t="s">
        <v>801</v>
      </c>
      <c r="AO72" s="1746"/>
      <c r="AP72" s="1746"/>
      <c r="AQ72" s="1746"/>
      <c r="AR72" s="1746"/>
      <c r="AS72" s="1746"/>
      <c r="AT72" s="1746"/>
      <c r="AU72" s="1746"/>
      <c r="AV72" s="1746"/>
      <c r="AW72" s="1746"/>
      <c r="AX72" s="1746"/>
      <c r="AY72" s="1055"/>
      <c r="AZ72" s="1055"/>
      <c r="BA72" s="1055"/>
      <c r="BB72" s="1055"/>
      <c r="BC72" s="1055"/>
      <c r="BD72" s="1055"/>
      <c r="BE72" s="1055"/>
      <c r="BF72" s="1055"/>
      <c r="BG72" s="1056"/>
    </row>
    <row r="73" spans="1:59" x14ac:dyDescent="0.15">
      <c r="A73" s="1050"/>
      <c r="B73" s="1064"/>
      <c r="C73" s="1055"/>
      <c r="D73" s="1055"/>
      <c r="E73" s="1055"/>
      <c r="F73" s="1055"/>
      <c r="G73" s="1055"/>
      <c r="H73" s="1055"/>
      <c r="I73" s="1055"/>
      <c r="J73" s="1055"/>
      <c r="K73" s="1055"/>
      <c r="L73" s="1055"/>
      <c r="M73" s="1055"/>
      <c r="N73" s="1055"/>
      <c r="O73" s="1055"/>
      <c r="P73" s="1055"/>
      <c r="Q73" s="1055"/>
      <c r="R73" s="1055"/>
      <c r="S73" s="1055"/>
      <c r="T73" s="1055"/>
      <c r="U73" s="1055"/>
      <c r="V73" s="1055"/>
      <c r="W73" s="1055"/>
      <c r="X73" s="1055"/>
      <c r="Y73" s="1055"/>
      <c r="Z73" s="1055"/>
      <c r="AA73" s="1055"/>
      <c r="AB73" s="1055"/>
      <c r="AC73" s="1055"/>
      <c r="AD73" s="1055"/>
      <c r="AE73" s="1055"/>
      <c r="AF73" s="1055"/>
      <c r="AG73" s="1055"/>
      <c r="AH73" s="1055"/>
      <c r="AI73" s="1055"/>
      <c r="AJ73" s="1055"/>
      <c r="AK73" s="1055"/>
      <c r="AL73" s="1055"/>
      <c r="AM73" s="1055"/>
      <c r="AN73" s="1055"/>
      <c r="AO73" s="1055"/>
      <c r="AP73" s="1055"/>
      <c r="AQ73" s="1055"/>
      <c r="AR73" s="1055"/>
      <c r="AS73" s="1055"/>
      <c r="AT73" s="1055"/>
      <c r="AU73" s="1055"/>
      <c r="AV73" s="1055"/>
      <c r="AW73" s="1055"/>
      <c r="AX73" s="1055"/>
      <c r="AY73" s="1055"/>
      <c r="AZ73" s="1055"/>
      <c r="BA73" s="1055"/>
      <c r="BB73" s="1055"/>
      <c r="BC73" s="1055"/>
      <c r="BD73" s="1055"/>
      <c r="BE73" s="1055"/>
      <c r="BF73" s="1055"/>
      <c r="BG73" s="1056"/>
    </row>
    <row r="74" spans="1:59" x14ac:dyDescent="0.15">
      <c r="A74" s="1050"/>
      <c r="B74" s="1064"/>
      <c r="C74" s="1055"/>
      <c r="D74" s="1055"/>
      <c r="E74" s="1055"/>
      <c r="F74" s="1055"/>
      <c r="G74" s="1055"/>
      <c r="H74" s="1055"/>
      <c r="I74" s="1055"/>
      <c r="J74" s="1055"/>
      <c r="K74" s="1055"/>
      <c r="L74" s="1055"/>
      <c r="M74" s="1055"/>
      <c r="N74" s="1055"/>
      <c r="O74" s="1055"/>
      <c r="P74" s="1055"/>
      <c r="Q74" s="1055"/>
      <c r="R74" s="1055"/>
      <c r="S74" s="1055"/>
      <c r="T74" s="1055"/>
      <c r="U74" s="1055"/>
      <c r="V74" s="1055"/>
      <c r="W74" s="1055"/>
      <c r="X74" s="1055"/>
      <c r="Y74" s="1055"/>
      <c r="Z74" s="1055"/>
      <c r="AA74" s="1055"/>
      <c r="AB74" s="1055"/>
      <c r="AC74" s="1055"/>
      <c r="AD74" s="1055"/>
      <c r="AE74" s="1055"/>
      <c r="AF74" s="1055"/>
      <c r="AG74" s="1055"/>
      <c r="AH74" s="1055"/>
      <c r="AI74" s="1055"/>
      <c r="AJ74" s="1055"/>
      <c r="AK74" s="1055"/>
      <c r="AL74" s="1055"/>
      <c r="AM74" s="1055"/>
      <c r="AN74" s="1055"/>
      <c r="AO74" s="1055"/>
      <c r="AP74" s="1055"/>
      <c r="AQ74" s="1055"/>
      <c r="AR74" s="1055"/>
      <c r="AS74" s="1055"/>
      <c r="AT74" s="1055"/>
      <c r="AU74" s="1055"/>
      <c r="AV74" s="1055"/>
      <c r="AW74" s="1055"/>
      <c r="AX74" s="1055"/>
      <c r="AY74" s="1055"/>
      <c r="AZ74" s="1055"/>
      <c r="BA74" s="1055"/>
      <c r="BB74" s="1055"/>
      <c r="BC74" s="1055"/>
      <c r="BD74" s="1055"/>
      <c r="BE74" s="1055"/>
      <c r="BF74" s="1055"/>
      <c r="BG74" s="1056"/>
    </row>
    <row r="75" spans="1:59" x14ac:dyDescent="0.15">
      <c r="A75" s="1050"/>
      <c r="B75" s="1064"/>
      <c r="C75" s="1055"/>
      <c r="D75" s="1055"/>
      <c r="E75" s="1055"/>
      <c r="F75" s="1055"/>
      <c r="G75" s="1055"/>
      <c r="H75" s="1055"/>
      <c r="I75" s="1055"/>
      <c r="J75" s="1747"/>
      <c r="K75" s="1747"/>
      <c r="L75" s="1747"/>
      <c r="M75" s="1747"/>
      <c r="N75" s="1747"/>
      <c r="O75" s="1747"/>
      <c r="P75" s="1747"/>
      <c r="Q75" s="1747"/>
      <c r="R75" s="1747"/>
      <c r="S75" s="1747"/>
      <c r="T75" s="1747"/>
      <c r="U75" s="1747"/>
      <c r="V75" s="1747"/>
      <c r="W75" s="1747"/>
      <c r="X75" s="1747"/>
      <c r="Y75" s="1747"/>
      <c r="Z75" s="1747"/>
      <c r="AA75" s="1747"/>
      <c r="AB75" s="1747"/>
      <c r="AC75" s="1055"/>
      <c r="AD75" s="1055"/>
      <c r="AE75" s="1055"/>
      <c r="AF75" s="1055"/>
      <c r="AG75" s="1055"/>
      <c r="AH75" s="1055"/>
      <c r="AI75" s="1055"/>
      <c r="AJ75" s="1747"/>
      <c r="AK75" s="1747"/>
      <c r="AL75" s="1747"/>
      <c r="AM75" s="1747"/>
      <c r="AN75" s="1747"/>
      <c r="AO75" s="1747"/>
      <c r="AP75" s="1747"/>
      <c r="AQ75" s="1747"/>
      <c r="AR75" s="1747"/>
      <c r="AS75" s="1747"/>
      <c r="AT75" s="1747"/>
      <c r="AU75" s="1747"/>
      <c r="AV75" s="1747"/>
      <c r="AW75" s="1747"/>
      <c r="AX75" s="1747"/>
      <c r="AY75" s="1747"/>
      <c r="AZ75" s="1747"/>
      <c r="BA75" s="1747"/>
      <c r="BB75" s="1747"/>
      <c r="BC75" s="1055"/>
      <c r="BD75" s="1055"/>
      <c r="BE75" s="1055"/>
      <c r="BF75" s="1055"/>
      <c r="BG75" s="1056"/>
    </row>
    <row r="76" spans="1:59" x14ac:dyDescent="0.15">
      <c r="A76" s="1050"/>
      <c r="B76" s="1064"/>
      <c r="C76" s="1055"/>
      <c r="D76" s="1055"/>
      <c r="E76" s="1055"/>
      <c r="F76" s="1055"/>
      <c r="G76" s="1055"/>
      <c r="H76" s="1055"/>
      <c r="I76" s="1055"/>
      <c r="J76" s="1055"/>
      <c r="K76" s="1055"/>
      <c r="L76" s="1055"/>
      <c r="M76" s="1055"/>
      <c r="N76" s="1746" t="s">
        <v>802</v>
      </c>
      <c r="O76" s="1746"/>
      <c r="P76" s="1746"/>
      <c r="Q76" s="1746"/>
      <c r="R76" s="1746"/>
      <c r="S76" s="1746"/>
      <c r="T76" s="1746"/>
      <c r="U76" s="1746"/>
      <c r="V76" s="1746"/>
      <c r="W76" s="1746"/>
      <c r="X76" s="1746"/>
      <c r="Y76" s="1055"/>
      <c r="Z76" s="1055"/>
      <c r="AA76" s="1055"/>
      <c r="AB76" s="1055"/>
      <c r="AC76" s="1055"/>
      <c r="AD76" s="1055"/>
      <c r="AE76" s="1055"/>
      <c r="AF76" s="1055"/>
      <c r="AG76" s="1055"/>
      <c r="AH76" s="1055"/>
      <c r="AI76" s="1055"/>
      <c r="AJ76" s="1055"/>
      <c r="AK76" s="1055"/>
      <c r="AL76" s="1055"/>
      <c r="AM76" s="1055"/>
      <c r="AN76" s="1746" t="s">
        <v>802</v>
      </c>
      <c r="AO76" s="1746"/>
      <c r="AP76" s="1746"/>
      <c r="AQ76" s="1746"/>
      <c r="AR76" s="1746"/>
      <c r="AS76" s="1746"/>
      <c r="AT76" s="1746"/>
      <c r="AU76" s="1746"/>
      <c r="AV76" s="1746"/>
      <c r="AW76" s="1746"/>
      <c r="AX76" s="1746"/>
      <c r="AY76" s="1055"/>
      <c r="AZ76" s="1055"/>
      <c r="BA76" s="1055"/>
      <c r="BB76" s="1055"/>
      <c r="BC76" s="1055"/>
      <c r="BD76" s="1055"/>
      <c r="BE76" s="1055"/>
      <c r="BF76" s="1055"/>
      <c r="BG76" s="1056"/>
    </row>
    <row r="77" spans="1:59" x14ac:dyDescent="0.15">
      <c r="A77" s="1050"/>
      <c r="B77" s="1064"/>
      <c r="C77" s="1760"/>
      <c r="D77" s="1760"/>
      <c r="E77" s="1760"/>
      <c r="F77" s="1760"/>
      <c r="G77" s="1760"/>
      <c r="H77" s="1760"/>
      <c r="I77" s="1760"/>
      <c r="J77" s="1760"/>
      <c r="K77" s="1760"/>
      <c r="L77" s="1760"/>
      <c r="M77" s="1760"/>
      <c r="N77" s="1760"/>
      <c r="O77" s="1760"/>
      <c r="P77" s="1760"/>
      <c r="Q77" s="1760"/>
      <c r="R77" s="1760"/>
      <c r="S77" s="1760"/>
      <c r="T77" s="1760"/>
      <c r="U77" s="1760"/>
      <c r="V77" s="1760"/>
      <c r="W77" s="1760"/>
      <c r="X77" s="1760"/>
      <c r="Y77" s="1760"/>
      <c r="Z77" s="1760"/>
      <c r="AA77" s="1760"/>
      <c r="AB77" s="1760"/>
      <c r="AC77" s="1760"/>
      <c r="AD77" s="1760"/>
      <c r="AE77" s="1760"/>
      <c r="AF77" s="1760"/>
      <c r="AG77" s="1760"/>
      <c r="AH77" s="1760"/>
      <c r="AI77" s="1760"/>
      <c r="AJ77" s="1760"/>
      <c r="AK77" s="1760"/>
      <c r="AL77" s="1760"/>
      <c r="AM77" s="1760"/>
      <c r="AN77" s="1760"/>
      <c r="AO77" s="1760"/>
      <c r="AP77" s="1760"/>
      <c r="AQ77" s="1760"/>
      <c r="AR77" s="1760"/>
      <c r="AS77" s="1760"/>
      <c r="AT77" s="1760"/>
      <c r="AU77" s="1760"/>
      <c r="AV77" s="1760"/>
      <c r="AW77" s="1760"/>
      <c r="AX77" s="1760"/>
      <c r="AY77" s="1760"/>
      <c r="AZ77" s="1760"/>
      <c r="BA77" s="1760"/>
      <c r="BB77" s="1760"/>
      <c r="BC77" s="1760"/>
      <c r="BD77" s="1760"/>
      <c r="BE77" s="1760"/>
      <c r="BF77" s="1760"/>
      <c r="BG77" s="1056"/>
    </row>
    <row r="78" spans="1:59" x14ac:dyDescent="0.15">
      <c r="A78" s="1050"/>
      <c r="B78" s="1065"/>
      <c r="C78" s="1747"/>
      <c r="D78" s="1747"/>
      <c r="E78" s="1747"/>
      <c r="F78" s="1747"/>
      <c r="G78" s="1747"/>
      <c r="H78" s="1747"/>
      <c r="I78" s="1747"/>
      <c r="J78" s="1747"/>
      <c r="K78" s="1747"/>
      <c r="L78" s="1747"/>
      <c r="M78" s="1747"/>
      <c r="N78" s="1747"/>
      <c r="O78" s="1747"/>
      <c r="P78" s="1747"/>
      <c r="Q78" s="1747"/>
      <c r="R78" s="1747"/>
      <c r="S78" s="1747"/>
      <c r="T78" s="1747"/>
      <c r="U78" s="1747"/>
      <c r="V78" s="1747"/>
      <c r="W78" s="1747"/>
      <c r="X78" s="1747"/>
      <c r="Y78" s="1747"/>
      <c r="Z78" s="1747"/>
      <c r="AA78" s="1747"/>
      <c r="AB78" s="1747"/>
      <c r="AC78" s="1747"/>
      <c r="AD78" s="1747"/>
      <c r="AE78" s="1747"/>
      <c r="AF78" s="1747"/>
      <c r="AG78" s="1747"/>
      <c r="AH78" s="1747"/>
      <c r="AI78" s="1747"/>
      <c r="AJ78" s="1747"/>
      <c r="AK78" s="1747"/>
      <c r="AL78" s="1747"/>
      <c r="AM78" s="1747"/>
      <c r="AN78" s="1747"/>
      <c r="AO78" s="1747"/>
      <c r="AP78" s="1747"/>
      <c r="AQ78" s="1747"/>
      <c r="AR78" s="1747"/>
      <c r="AS78" s="1747"/>
      <c r="AT78" s="1747"/>
      <c r="AU78" s="1747"/>
      <c r="AV78" s="1747"/>
      <c r="AW78" s="1747"/>
      <c r="AX78" s="1747"/>
      <c r="AY78" s="1747"/>
      <c r="AZ78" s="1747"/>
      <c r="BA78" s="1747"/>
      <c r="BB78" s="1747"/>
      <c r="BC78" s="1747"/>
      <c r="BD78" s="1747"/>
      <c r="BE78" s="1747"/>
      <c r="BF78" s="1747"/>
      <c r="BG78" s="1067"/>
    </row>
    <row r="79" spans="1:59" x14ac:dyDescent="0.15">
      <c r="A79" s="1050"/>
      <c r="B79" s="1050"/>
      <c r="C79" s="1781"/>
      <c r="D79" s="1781"/>
      <c r="E79" s="1781"/>
      <c r="F79" s="1781"/>
      <c r="G79" s="1781"/>
      <c r="H79" s="1781"/>
      <c r="I79" s="1781"/>
      <c r="J79" s="1781"/>
      <c r="K79" s="1781"/>
      <c r="L79" s="1781"/>
      <c r="M79" s="1781"/>
      <c r="N79" s="1781"/>
      <c r="O79" s="1781"/>
      <c r="P79" s="1781"/>
      <c r="Q79" s="1781"/>
      <c r="R79" s="1781"/>
      <c r="S79" s="1781"/>
      <c r="T79" s="1781"/>
      <c r="U79" s="1781"/>
      <c r="V79" s="1781"/>
      <c r="W79" s="1781"/>
      <c r="X79" s="1781"/>
      <c r="Y79" s="1781"/>
      <c r="Z79" s="1781"/>
      <c r="AA79" s="1781"/>
      <c r="AB79" s="1781"/>
      <c r="AC79" s="1781"/>
      <c r="AD79" s="1781"/>
      <c r="AE79" s="1781"/>
      <c r="AF79" s="1781"/>
      <c r="AG79" s="1781"/>
      <c r="AH79" s="1781"/>
      <c r="AI79" s="1781"/>
      <c r="AJ79" s="1781"/>
      <c r="AK79" s="1781"/>
      <c r="AL79" s="1781"/>
      <c r="AM79" s="1781"/>
      <c r="AN79" s="1781"/>
      <c r="AO79" s="1781"/>
      <c r="AP79" s="1781"/>
      <c r="AQ79" s="1781"/>
      <c r="AR79" s="1781"/>
      <c r="AS79" s="1781"/>
      <c r="AT79" s="1781"/>
      <c r="AU79" s="1781"/>
      <c r="AV79" s="1781"/>
      <c r="AW79" s="1781"/>
      <c r="AX79" s="1781"/>
      <c r="AY79" s="1781"/>
      <c r="AZ79" s="1781"/>
      <c r="BA79" s="1781"/>
      <c r="BB79" s="1781"/>
      <c r="BC79" s="1781"/>
      <c r="BD79" s="1781"/>
      <c r="BE79" s="1781"/>
      <c r="BF79" s="1781"/>
      <c r="BG79" s="1050"/>
    </row>
    <row r="80" spans="1:59" ht="14.25" customHeight="1" x14ac:dyDescent="0.15">
      <c r="A80" s="1050"/>
      <c r="B80" s="1762" t="str">
        <f>+IF(Hitelprog_Rovid="","",Hitelprog_Rovid)</f>
        <v/>
      </c>
      <c r="C80" s="1762"/>
      <c r="D80" s="1762"/>
      <c r="E80" s="1762"/>
      <c r="F80" s="1762"/>
      <c r="G80" s="1762"/>
      <c r="H80" s="1762"/>
      <c r="I80" s="1762"/>
      <c r="J80" s="1762"/>
      <c r="K80" s="1762"/>
      <c r="L80" s="1762"/>
      <c r="M80" s="1762"/>
      <c r="N80" s="1762"/>
      <c r="O80" s="1762"/>
      <c r="P80" s="1762"/>
      <c r="Q80" s="1762"/>
      <c r="R80" s="1762"/>
      <c r="S80" s="1762"/>
      <c r="T80" s="1762"/>
      <c r="U80" s="1762"/>
      <c r="V80" s="1762"/>
      <c r="W80" s="1762"/>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row>
    <row r="81" spans="1:59" ht="14.25" customHeight="1" x14ac:dyDescent="0.15">
      <c r="A81" s="1050"/>
      <c r="B81" s="1762"/>
      <c r="C81" s="1762"/>
      <c r="D81" s="1762"/>
      <c r="E81" s="1762"/>
      <c r="F81" s="1762"/>
      <c r="G81" s="1762"/>
      <c r="H81" s="1762"/>
      <c r="I81" s="1762"/>
      <c r="J81" s="1762"/>
      <c r="K81" s="1762"/>
      <c r="L81" s="1762"/>
      <c r="M81" s="1762"/>
      <c r="N81" s="1762"/>
      <c r="O81" s="1762"/>
      <c r="P81" s="1762"/>
      <c r="Q81" s="1762"/>
      <c r="R81" s="1762"/>
      <c r="S81" s="1762"/>
      <c r="T81" s="1762"/>
      <c r="U81" s="1762"/>
      <c r="V81" s="1762"/>
      <c r="W81" s="1762"/>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row>
    <row r="82" spans="1:59" x14ac:dyDescent="0.15">
      <c r="A82" s="1752"/>
      <c r="B82" s="1752"/>
      <c r="C82" s="1752"/>
      <c r="D82" s="1752"/>
      <c r="E82" s="1050"/>
      <c r="F82" s="1050"/>
      <c r="G82" s="1050"/>
      <c r="H82" s="1050"/>
      <c r="I82" s="1050"/>
      <c r="J82" s="1050"/>
      <c r="K82" s="1050"/>
      <c r="L82" s="1050"/>
      <c r="M82" s="1050"/>
      <c r="N82" s="1050"/>
      <c r="O82" s="1050"/>
      <c r="P82" s="1050"/>
      <c r="Q82" s="1050"/>
      <c r="R82" s="1050"/>
      <c r="S82" s="1050"/>
      <c r="T82" s="1050"/>
      <c r="U82" s="1050"/>
      <c r="V82" s="1050"/>
      <c r="W82" s="1050"/>
      <c r="X82" s="1050"/>
      <c r="Y82" s="1050"/>
      <c r="Z82" s="1050"/>
      <c r="AA82" s="1050"/>
      <c r="AB82" s="1050"/>
      <c r="AC82" s="1050"/>
      <c r="AD82" s="1050"/>
      <c r="AE82" s="1050"/>
      <c r="AF82" s="1050"/>
      <c r="AG82" s="1050"/>
      <c r="AH82" s="1050"/>
      <c r="AI82" s="1050"/>
      <c r="AJ82" s="1050"/>
      <c r="AK82" s="1050"/>
      <c r="AL82" s="1050"/>
      <c r="AM82" s="1050"/>
      <c r="AN82" s="1050"/>
      <c r="AO82" s="1050"/>
      <c r="AP82" s="1050"/>
      <c r="AQ82" s="1050"/>
      <c r="AR82" s="1050"/>
      <c r="AS82" s="1050"/>
      <c r="AT82" s="1050"/>
      <c r="AU82" s="1050"/>
      <c r="AV82" s="1050"/>
      <c r="AW82" s="1050"/>
      <c r="AX82" s="1050"/>
      <c r="AY82" s="1050"/>
      <c r="AZ82" s="1050"/>
      <c r="BA82" s="1050"/>
      <c r="BB82" s="1050"/>
      <c r="BC82" s="1050"/>
      <c r="BD82" s="1050"/>
      <c r="BE82" s="1050"/>
      <c r="BF82" s="1050"/>
      <c r="BG82" s="1050"/>
    </row>
    <row r="83" spans="1:59" ht="15" thickBot="1" x14ac:dyDescent="0.2">
      <c r="A83" s="1752"/>
      <c r="B83" s="1752"/>
      <c r="C83" s="1752"/>
      <c r="D83" s="1752"/>
      <c r="E83" s="1050"/>
      <c r="F83" s="1050"/>
      <c r="G83" s="1050"/>
      <c r="H83" s="1050"/>
      <c r="I83" s="1050"/>
      <c r="J83" s="1050"/>
      <c r="K83" s="1050"/>
      <c r="L83" s="1050"/>
      <c r="M83" s="1050"/>
      <c r="N83" s="1050"/>
      <c r="O83" s="1050"/>
      <c r="P83" s="1050"/>
      <c r="Q83" s="1050"/>
      <c r="R83" s="1050"/>
      <c r="S83" s="1050"/>
      <c r="T83" s="1050"/>
      <c r="U83" s="1050"/>
      <c r="V83" s="1050"/>
      <c r="W83" s="1050"/>
      <c r="X83" s="1050"/>
      <c r="Y83" s="1050"/>
      <c r="Z83" s="1050"/>
      <c r="AA83" s="1050"/>
      <c r="AB83" s="1050"/>
      <c r="AC83" s="1050"/>
      <c r="AD83" s="1050"/>
      <c r="AE83" s="1050"/>
      <c r="AF83" s="1050"/>
      <c r="AG83" s="1050"/>
      <c r="AH83" s="1050"/>
      <c r="AI83" s="1050"/>
      <c r="AJ83" s="1050"/>
      <c r="AK83" s="1050"/>
      <c r="AL83" s="1050"/>
      <c r="AM83" s="1050"/>
      <c r="AN83" s="1050"/>
      <c r="AO83" s="1050"/>
      <c r="AP83" s="1050"/>
      <c r="AQ83" s="1050"/>
      <c r="AR83" s="1050"/>
      <c r="AS83" s="1050"/>
      <c r="AT83" s="1050"/>
      <c r="AU83" s="1050"/>
      <c r="AV83" s="1050"/>
      <c r="AW83" s="1050"/>
      <c r="AX83" s="1050"/>
      <c r="AY83" s="1050"/>
      <c r="AZ83" s="1050"/>
      <c r="BA83" s="1050"/>
      <c r="BB83" s="1050"/>
      <c r="BC83" s="1050"/>
      <c r="BD83" s="1050"/>
      <c r="BE83" s="1050"/>
      <c r="BF83" s="1050"/>
      <c r="BG83" s="1050"/>
    </row>
    <row r="84" spans="1:59" ht="24" customHeight="1" thickBot="1" x14ac:dyDescent="0.2">
      <c r="A84" s="1752"/>
      <c r="B84" s="1752"/>
      <c r="C84" s="1752"/>
      <c r="D84" s="1752"/>
      <c r="E84" s="1050"/>
      <c r="F84" s="1050"/>
      <c r="G84" s="1050"/>
      <c r="H84" s="1050"/>
      <c r="I84" s="1050"/>
      <c r="J84" s="1050"/>
      <c r="K84" s="1050"/>
      <c r="L84" s="1050"/>
      <c r="M84" s="1050"/>
      <c r="N84" s="1050"/>
      <c r="O84" s="1050"/>
      <c r="P84" s="1050"/>
      <c r="Q84" s="1766" t="str">
        <f>+IF(B80="MFB NHP Fix Lízing Refinanszírozási Program","FINANSZÍROZÁSI KATEGÓRIA NYILATKOZAT","TÁMOGATÁSI KATEGÓRIA NYILATKOZAT")</f>
        <v>TÁMOGATÁSI KATEGÓRIA NYILATKOZAT</v>
      </c>
      <c r="R84" s="1767"/>
      <c r="S84" s="1767"/>
      <c r="T84" s="1767"/>
      <c r="U84" s="1767"/>
      <c r="V84" s="1767"/>
      <c r="W84" s="1767"/>
      <c r="X84" s="1767"/>
      <c r="Y84" s="1767"/>
      <c r="Z84" s="1767"/>
      <c r="AA84" s="1767"/>
      <c r="AB84" s="1767"/>
      <c r="AC84" s="1767"/>
      <c r="AD84" s="1767"/>
      <c r="AE84" s="1767"/>
      <c r="AF84" s="1767"/>
      <c r="AG84" s="1767"/>
      <c r="AH84" s="1767"/>
      <c r="AI84" s="1767"/>
      <c r="AJ84" s="1767"/>
      <c r="AK84" s="1767"/>
      <c r="AL84" s="1767"/>
      <c r="AM84" s="1767"/>
      <c r="AN84" s="1767"/>
      <c r="AO84" s="1767"/>
      <c r="AP84" s="1767"/>
      <c r="AQ84" s="1767"/>
      <c r="AR84" s="1767"/>
      <c r="AS84" s="1768"/>
      <c r="AT84" s="1050"/>
      <c r="AU84" s="1050"/>
      <c r="AV84" s="1050"/>
      <c r="AW84" s="1050"/>
      <c r="AX84" s="1050"/>
      <c r="AY84" s="1050"/>
      <c r="AZ84" s="1050"/>
      <c r="BA84" s="1050"/>
      <c r="BB84" s="1050"/>
      <c r="BC84" s="1050"/>
      <c r="BD84" s="1050"/>
      <c r="BE84" s="1050"/>
      <c r="BF84" s="1050"/>
      <c r="BG84" s="1050"/>
    </row>
    <row r="85" spans="1:59" x14ac:dyDescent="0.15">
      <c r="A85" s="1752"/>
      <c r="B85" s="1752"/>
      <c r="C85" s="1752"/>
      <c r="D85" s="1752"/>
      <c r="E85" s="1050"/>
      <c r="F85" s="1050"/>
      <c r="G85" s="1050"/>
      <c r="H85" s="1050"/>
      <c r="I85" s="1050"/>
      <c r="J85" s="1050"/>
      <c r="K85" s="1050"/>
      <c r="L85" s="1050"/>
      <c r="M85" s="1050"/>
      <c r="N85" s="1050"/>
      <c r="O85" s="1050"/>
      <c r="P85" s="1050"/>
      <c r="Q85" s="1050"/>
      <c r="R85" s="1050"/>
      <c r="S85" s="1050"/>
      <c r="T85" s="1050"/>
      <c r="U85" s="1050"/>
      <c r="V85" s="1050"/>
      <c r="W85" s="1050"/>
      <c r="X85" s="1050"/>
      <c r="Y85" s="1050"/>
      <c r="Z85" s="1050"/>
      <c r="AA85" s="1050"/>
      <c r="AB85" s="1050"/>
      <c r="AC85" s="1050"/>
      <c r="AD85" s="1050"/>
      <c r="AE85" s="1050"/>
      <c r="AF85" s="1050"/>
      <c r="AG85" s="1050"/>
      <c r="AH85" s="1050"/>
      <c r="AI85" s="1050"/>
      <c r="AJ85" s="1050"/>
      <c r="AK85" s="1050"/>
      <c r="AL85" s="1050"/>
      <c r="AM85" s="1050"/>
      <c r="AN85" s="1050"/>
      <c r="AO85" s="1050"/>
      <c r="AP85" s="1050"/>
      <c r="AQ85" s="1050"/>
      <c r="AR85" s="1050"/>
      <c r="AS85" s="1050"/>
      <c r="AT85" s="1050"/>
      <c r="AU85" s="1050"/>
      <c r="AV85" s="1050"/>
      <c r="AW85" s="1050"/>
      <c r="AX85" s="1050"/>
      <c r="AY85" s="1050"/>
      <c r="AZ85" s="1050"/>
      <c r="BA85" s="1050"/>
      <c r="BB85" s="1050"/>
      <c r="BC85" s="1050"/>
      <c r="BD85" s="1050"/>
      <c r="BE85" s="1050"/>
      <c r="BF85" s="1050"/>
      <c r="BG85" s="1050"/>
    </row>
    <row r="86" spans="1:59" x14ac:dyDescent="0.15">
      <c r="A86" s="1052"/>
      <c r="B86" s="1753" t="s">
        <v>841</v>
      </c>
      <c r="C86" s="1754"/>
      <c r="D86" s="1754"/>
      <c r="E86" s="1754"/>
      <c r="F86" s="1754"/>
      <c r="G86" s="1754"/>
      <c r="H86" s="1754"/>
      <c r="I86" s="1754"/>
      <c r="J86" s="1754"/>
      <c r="K86" s="1754"/>
      <c r="L86" s="1754"/>
      <c r="M86" s="1754"/>
      <c r="N86" s="1754"/>
      <c r="O86" s="1754"/>
      <c r="P86" s="1754"/>
      <c r="Q86" s="1754"/>
      <c r="R86" s="1754"/>
      <c r="S86" s="1754"/>
      <c r="T86" s="1754"/>
      <c r="U86" s="1754"/>
      <c r="V86" s="1754"/>
      <c r="W86" s="1754"/>
      <c r="X86" s="1754"/>
      <c r="Y86" s="1754"/>
      <c r="Z86" s="1754"/>
      <c r="AA86" s="1754"/>
      <c r="AB86" s="1754"/>
      <c r="AC86" s="1754"/>
      <c r="AD86" s="1754"/>
      <c r="AE86" s="1754"/>
      <c r="AF86" s="1754"/>
      <c r="AG86" s="1754"/>
      <c r="AH86" s="1754"/>
      <c r="AI86" s="1754"/>
      <c r="AJ86" s="1754"/>
      <c r="AK86" s="1754"/>
      <c r="AL86" s="1754"/>
      <c r="AM86" s="1754"/>
      <c r="AN86" s="1754"/>
      <c r="AO86" s="1754"/>
      <c r="AP86" s="1754"/>
      <c r="AQ86" s="1754"/>
      <c r="AR86" s="1754"/>
      <c r="AS86" s="1754"/>
      <c r="AT86" s="1754"/>
      <c r="AU86" s="1754"/>
      <c r="AV86" s="1754"/>
      <c r="AW86" s="1754"/>
      <c r="AX86" s="1754"/>
      <c r="AY86" s="1754"/>
      <c r="AZ86" s="1754"/>
      <c r="BA86" s="1754"/>
      <c r="BB86" s="1754"/>
      <c r="BC86" s="1754"/>
      <c r="BD86" s="1754"/>
      <c r="BE86" s="1754"/>
      <c r="BF86" s="1754"/>
      <c r="BG86" s="1755"/>
    </row>
    <row r="87" spans="1:59" ht="15" thickBot="1" x14ac:dyDescent="0.2">
      <c r="A87" s="1052"/>
      <c r="B87" s="1053"/>
      <c r="C87" s="1054"/>
      <c r="D87" s="1054"/>
      <c r="E87" s="1055"/>
      <c r="F87" s="1055"/>
      <c r="G87" s="1055"/>
      <c r="H87" s="1055"/>
      <c r="I87" s="1055"/>
      <c r="J87" s="1055"/>
      <c r="K87" s="1055"/>
      <c r="L87" s="1055"/>
      <c r="M87" s="1055"/>
      <c r="N87" s="1055"/>
      <c r="O87" s="1055"/>
      <c r="P87" s="1055"/>
      <c r="Q87" s="1055"/>
      <c r="R87" s="1055"/>
      <c r="S87" s="1055"/>
      <c r="T87" s="1055"/>
      <c r="U87" s="1055"/>
      <c r="V87" s="1055"/>
      <c r="W87" s="1055"/>
      <c r="X87" s="1055"/>
      <c r="Y87" s="1055"/>
      <c r="Z87" s="1055"/>
      <c r="AA87" s="1055"/>
      <c r="AB87" s="1055"/>
      <c r="AC87" s="1055"/>
      <c r="AD87" s="1055"/>
      <c r="AE87" s="1055"/>
      <c r="AF87" s="1055"/>
      <c r="AG87" s="1055"/>
      <c r="AH87" s="1055"/>
      <c r="AI87" s="1055"/>
      <c r="AJ87" s="1055"/>
      <c r="AK87" s="1055"/>
      <c r="AL87" s="1055"/>
      <c r="AM87" s="1055"/>
      <c r="AN87" s="1055"/>
      <c r="AO87" s="1055"/>
      <c r="AP87" s="1055"/>
      <c r="AQ87" s="1055"/>
      <c r="AR87" s="1055"/>
      <c r="AS87" s="1055"/>
      <c r="AT87" s="1055"/>
      <c r="AU87" s="1055"/>
      <c r="AV87" s="1055"/>
      <c r="AW87" s="1055"/>
      <c r="AX87" s="1055"/>
      <c r="AY87" s="1055"/>
      <c r="AZ87" s="1055"/>
      <c r="BA87" s="1055"/>
      <c r="BB87" s="1055"/>
      <c r="BC87" s="1055"/>
      <c r="BD87" s="1055"/>
      <c r="BE87" s="1055"/>
      <c r="BF87" s="1055"/>
      <c r="BG87" s="1056"/>
    </row>
    <row r="88" spans="1:59" ht="15" thickBot="1" x14ac:dyDescent="0.2">
      <c r="A88" s="1052"/>
      <c r="B88" s="1053"/>
      <c r="C88" s="1756" t="str">
        <f>+IF(Ugyfelnyil="","",Ugyfelnyil)</f>
        <v/>
      </c>
      <c r="D88" s="1757"/>
      <c r="E88" s="1757"/>
      <c r="F88" s="1757"/>
      <c r="G88" s="1757"/>
      <c r="H88" s="1757"/>
      <c r="I88" s="1757"/>
      <c r="J88" s="1757"/>
      <c r="K88" s="1757"/>
      <c r="L88" s="1757"/>
      <c r="M88" s="1757"/>
      <c r="N88" s="1757"/>
      <c r="O88" s="1757"/>
      <c r="P88" s="1757"/>
      <c r="Q88" s="1757"/>
      <c r="R88" s="1757"/>
      <c r="S88" s="1757"/>
      <c r="T88" s="1757"/>
      <c r="U88" s="1757"/>
      <c r="V88" s="1757"/>
      <c r="W88" s="1757"/>
      <c r="X88" s="1757"/>
      <c r="Y88" s="1757"/>
      <c r="Z88" s="1757"/>
      <c r="AA88" s="1757"/>
      <c r="AB88" s="1757"/>
      <c r="AC88" s="1757"/>
      <c r="AD88" s="1757"/>
      <c r="AE88" s="1757"/>
      <c r="AF88" s="1757"/>
      <c r="AG88" s="1757"/>
      <c r="AH88" s="1757"/>
      <c r="AI88" s="1757"/>
      <c r="AJ88" s="1757"/>
      <c r="AK88" s="1757"/>
      <c r="AL88" s="1757"/>
      <c r="AM88" s="1757"/>
      <c r="AN88" s="1757"/>
      <c r="AO88" s="1757"/>
      <c r="AP88" s="1757"/>
      <c r="AQ88" s="1757"/>
      <c r="AR88" s="1757"/>
      <c r="AS88" s="1757"/>
      <c r="AT88" s="1757"/>
      <c r="AU88" s="1757"/>
      <c r="AV88" s="1757"/>
      <c r="AW88" s="1757"/>
      <c r="AX88" s="1757"/>
      <c r="AY88" s="1757"/>
      <c r="AZ88" s="1757"/>
      <c r="BA88" s="1757"/>
      <c r="BB88" s="1757"/>
      <c r="BC88" s="1757"/>
      <c r="BD88" s="1757"/>
      <c r="BE88" s="1757"/>
      <c r="BF88" s="1758"/>
      <c r="BG88" s="1056"/>
    </row>
    <row r="89" spans="1:59" x14ac:dyDescent="0.15">
      <c r="A89" s="1052"/>
      <c r="B89" s="1053"/>
      <c r="C89" s="1054"/>
      <c r="D89" s="1057" t="s">
        <v>370</v>
      </c>
      <c r="E89" s="1055"/>
      <c r="F89" s="1055"/>
      <c r="G89" s="1055"/>
      <c r="H89" s="1055"/>
      <c r="I89" s="1055"/>
      <c r="J89" s="1055"/>
      <c r="K89" s="1055"/>
      <c r="L89" s="1055"/>
      <c r="M89" s="1055"/>
      <c r="N89" s="1055"/>
      <c r="O89" s="1055"/>
      <c r="P89" s="1055"/>
      <c r="Q89" s="1055"/>
      <c r="R89" s="1055"/>
      <c r="S89" s="1055"/>
      <c r="T89" s="1055"/>
      <c r="U89" s="1055"/>
      <c r="V89" s="1055"/>
      <c r="W89" s="1055"/>
      <c r="X89" s="1055"/>
      <c r="Y89" s="1055"/>
      <c r="Z89" s="1055"/>
      <c r="AA89" s="1055"/>
      <c r="AB89" s="1055"/>
      <c r="AC89" s="1055"/>
      <c r="AD89" s="1055"/>
      <c r="AE89" s="1055"/>
      <c r="AF89" s="1055"/>
      <c r="AG89" s="1055"/>
      <c r="AH89" s="1055"/>
      <c r="AI89" s="1055"/>
      <c r="AJ89" s="1055"/>
      <c r="AK89" s="1055"/>
      <c r="AL89" s="1055"/>
      <c r="AM89" s="1055"/>
      <c r="AN89" s="1055"/>
      <c r="AO89" s="1055"/>
      <c r="AP89" s="1055"/>
      <c r="AQ89" s="1055"/>
      <c r="AR89" s="1055"/>
      <c r="AS89" s="1055"/>
      <c r="AT89" s="1055"/>
      <c r="AU89" s="1055"/>
      <c r="AV89" s="1055"/>
      <c r="AW89" s="1055"/>
      <c r="AX89" s="1055"/>
      <c r="AY89" s="1055"/>
      <c r="AZ89" s="1055"/>
      <c r="BA89" s="1055"/>
      <c r="BB89" s="1055"/>
      <c r="BC89" s="1055"/>
      <c r="BD89" s="1055"/>
      <c r="BE89" s="1055"/>
      <c r="BF89" s="1055"/>
      <c r="BG89" s="1056"/>
    </row>
    <row r="90" spans="1:59" ht="15" thickBot="1" x14ac:dyDescent="0.2">
      <c r="A90" s="1052"/>
      <c r="B90" s="1053"/>
      <c r="C90" s="1054"/>
      <c r="D90" s="1054"/>
      <c r="E90" s="1055"/>
      <c r="F90" s="1055"/>
      <c r="G90" s="1055"/>
      <c r="H90" s="1055"/>
      <c r="I90" s="1055"/>
      <c r="J90" s="1055"/>
      <c r="K90" s="1055"/>
      <c r="L90" s="1055"/>
      <c r="M90" s="1055"/>
      <c r="N90" s="1055"/>
      <c r="O90" s="1055"/>
      <c r="P90" s="1055"/>
      <c r="Q90" s="1055"/>
      <c r="R90" s="1055"/>
      <c r="S90" s="1055"/>
      <c r="T90" s="1055"/>
      <c r="U90" s="1055"/>
      <c r="V90" s="1055"/>
      <c r="W90" s="1055"/>
      <c r="X90" s="1055"/>
      <c r="Y90" s="1055"/>
      <c r="Z90" s="1055"/>
      <c r="AA90" s="1055"/>
      <c r="AB90" s="1055"/>
      <c r="AC90" s="1055"/>
      <c r="AD90" s="1055"/>
      <c r="AE90" s="1055"/>
      <c r="AF90" s="1055"/>
      <c r="AG90" s="1055"/>
      <c r="AH90" s="1055"/>
      <c r="AI90" s="1055"/>
      <c r="AJ90" s="1055"/>
      <c r="AK90" s="1055"/>
      <c r="AL90" s="1055"/>
      <c r="AM90" s="1055"/>
      <c r="AN90" s="1055"/>
      <c r="AO90" s="1055"/>
      <c r="AP90" s="1055"/>
      <c r="AQ90" s="1055"/>
      <c r="AR90" s="1055"/>
      <c r="AS90" s="1055"/>
      <c r="AT90" s="1055"/>
      <c r="AU90" s="1055"/>
      <c r="AV90" s="1055"/>
      <c r="AW90" s="1055"/>
      <c r="AX90" s="1055"/>
      <c r="AY90" s="1055"/>
      <c r="AZ90" s="1055"/>
      <c r="BA90" s="1055"/>
      <c r="BB90" s="1055"/>
      <c r="BC90" s="1055"/>
      <c r="BD90" s="1055"/>
      <c r="BE90" s="1055"/>
      <c r="BF90" s="1055"/>
      <c r="BG90" s="1056"/>
    </row>
    <row r="91" spans="1:59" ht="15" thickBot="1" x14ac:dyDescent="0.2">
      <c r="A91" s="1052"/>
      <c r="B91" s="1053"/>
      <c r="C91" s="1763" t="str">
        <f>+IF(anyanyil="","",anyanyil)</f>
        <v/>
      </c>
      <c r="D91" s="1764"/>
      <c r="E91" s="1764"/>
      <c r="F91" s="1764"/>
      <c r="G91" s="1764"/>
      <c r="H91" s="1764"/>
      <c r="I91" s="1764"/>
      <c r="J91" s="1764"/>
      <c r="K91" s="1764"/>
      <c r="L91" s="1764"/>
      <c r="M91" s="1764"/>
      <c r="N91" s="1764"/>
      <c r="O91" s="1764"/>
      <c r="P91" s="1764"/>
      <c r="Q91" s="1764"/>
      <c r="R91" s="1764"/>
      <c r="S91" s="1764"/>
      <c r="T91" s="1765"/>
      <c r="U91" s="1055"/>
      <c r="V91" s="1055"/>
      <c r="W91" s="1055"/>
      <c r="X91" s="1763" t="str">
        <f>+IF(szülnyil="","",szülnyil)</f>
        <v/>
      </c>
      <c r="Y91" s="1764"/>
      <c r="Z91" s="1764"/>
      <c r="AA91" s="1764"/>
      <c r="AB91" s="1764"/>
      <c r="AC91" s="1764"/>
      <c r="AD91" s="1764"/>
      <c r="AE91" s="1764"/>
      <c r="AF91" s="1764"/>
      <c r="AG91" s="1764"/>
      <c r="AH91" s="1764"/>
      <c r="AI91" s="1764"/>
      <c r="AJ91" s="1764"/>
      <c r="AK91" s="1764"/>
      <c r="AL91" s="1764"/>
      <c r="AM91" s="1764"/>
      <c r="AN91" s="1765"/>
      <c r="AO91" s="1054"/>
      <c r="AP91" s="1054"/>
      <c r="AQ91" s="1055"/>
      <c r="AR91" s="1763" t="str">
        <f>+IF(szülidonyil="","",szülidonyil)</f>
        <v/>
      </c>
      <c r="AS91" s="1764"/>
      <c r="AT91" s="1764"/>
      <c r="AU91" s="1764"/>
      <c r="AV91" s="1764"/>
      <c r="AW91" s="1764"/>
      <c r="AX91" s="1764"/>
      <c r="AY91" s="1764"/>
      <c r="AZ91" s="1764"/>
      <c r="BA91" s="1764"/>
      <c r="BB91" s="1764"/>
      <c r="BC91" s="1764"/>
      <c r="BD91" s="1765"/>
      <c r="BE91" s="1055"/>
      <c r="BF91" s="1055"/>
      <c r="BG91" s="1056"/>
    </row>
    <row r="92" spans="1:59" x14ac:dyDescent="0.15">
      <c r="A92" s="1052"/>
      <c r="B92" s="1053"/>
      <c r="C92" s="1054" t="s">
        <v>581</v>
      </c>
      <c r="D92" s="1054"/>
      <c r="E92" s="1055"/>
      <c r="F92" s="1055"/>
      <c r="G92" s="1055"/>
      <c r="H92" s="1055"/>
      <c r="I92" s="1055"/>
      <c r="J92" s="1055"/>
      <c r="K92" s="1055"/>
      <c r="L92" s="1055"/>
      <c r="M92" s="1055"/>
      <c r="N92" s="1055"/>
      <c r="O92" s="1055"/>
      <c r="P92" s="1055"/>
      <c r="Q92" s="1055"/>
      <c r="R92" s="1055"/>
      <c r="S92" s="1055"/>
      <c r="T92" s="1055"/>
      <c r="U92" s="1055"/>
      <c r="V92" s="1055"/>
      <c r="W92" s="1055"/>
      <c r="X92" s="1055" t="s">
        <v>582</v>
      </c>
      <c r="Y92" s="1055"/>
      <c r="Z92" s="1055"/>
      <c r="AA92" s="1055"/>
      <c r="AB92" s="1055"/>
      <c r="AC92" s="1055"/>
      <c r="AD92" s="1055"/>
      <c r="AE92" s="1055"/>
      <c r="AF92" s="1055"/>
      <c r="AG92" s="1055"/>
      <c r="AH92" s="1055"/>
      <c r="AI92" s="1055"/>
      <c r="AJ92" s="1055"/>
      <c r="AK92" s="1055"/>
      <c r="AL92" s="1055"/>
      <c r="AM92" s="1055"/>
      <c r="AN92" s="1055"/>
      <c r="AO92" s="1055"/>
      <c r="AP92" s="1055"/>
      <c r="AQ92" s="1055"/>
      <c r="AR92" s="1055" t="s">
        <v>583</v>
      </c>
      <c r="AS92" s="1055"/>
      <c r="AT92" s="1055"/>
      <c r="AU92" s="1055"/>
      <c r="AV92" s="1055"/>
      <c r="AW92" s="1055"/>
      <c r="AX92" s="1055"/>
      <c r="AY92" s="1055"/>
      <c r="AZ92" s="1055"/>
      <c r="BA92" s="1055"/>
      <c r="BB92" s="1055"/>
      <c r="BC92" s="1055"/>
      <c r="BD92" s="1055"/>
      <c r="BE92" s="1055"/>
      <c r="BF92" s="1055"/>
      <c r="BG92" s="1056"/>
    </row>
    <row r="93" spans="1:59" ht="15" thickBot="1" x14ac:dyDescent="0.2">
      <c r="A93" s="1052"/>
      <c r="B93" s="1053"/>
      <c r="C93" s="1054"/>
      <c r="D93" s="1054"/>
      <c r="E93" s="1055"/>
      <c r="F93" s="1055"/>
      <c r="G93" s="1055"/>
      <c r="H93" s="1055"/>
      <c r="I93" s="1055"/>
      <c r="J93" s="1055"/>
      <c r="K93" s="1055"/>
      <c r="L93" s="1055"/>
      <c r="M93" s="1055"/>
      <c r="N93" s="1055"/>
      <c r="O93" s="1055"/>
      <c r="P93" s="1055"/>
      <c r="Q93" s="1055"/>
      <c r="R93" s="1055"/>
      <c r="S93" s="1055"/>
      <c r="T93" s="1055"/>
      <c r="U93" s="1055"/>
      <c r="V93" s="1055"/>
      <c r="W93" s="1055"/>
      <c r="X93" s="1055"/>
      <c r="Y93" s="1055"/>
      <c r="Z93" s="1055"/>
      <c r="AA93" s="1055"/>
      <c r="AB93" s="1055"/>
      <c r="AC93" s="1055"/>
      <c r="AD93" s="1055"/>
      <c r="AE93" s="1055"/>
      <c r="AF93" s="1055"/>
      <c r="AG93" s="1055"/>
      <c r="AH93" s="1055"/>
      <c r="AI93" s="1055"/>
      <c r="AJ93" s="1055"/>
      <c r="AK93" s="1055"/>
      <c r="AL93" s="1055"/>
      <c r="AM93" s="1055"/>
      <c r="AN93" s="1055"/>
      <c r="AO93" s="1055"/>
      <c r="AP93" s="1055"/>
      <c r="AQ93" s="1055"/>
      <c r="AR93" s="1055"/>
      <c r="AS93" s="1055"/>
      <c r="AT93" s="1055"/>
      <c r="AU93" s="1055"/>
      <c r="AV93" s="1055"/>
      <c r="AW93" s="1055"/>
      <c r="AX93" s="1055"/>
      <c r="AY93" s="1055"/>
      <c r="AZ93" s="1055"/>
      <c r="BA93" s="1055"/>
      <c r="BB93" s="1055"/>
      <c r="BC93" s="1055"/>
      <c r="BD93" s="1055"/>
      <c r="BE93" s="1055"/>
      <c r="BF93" s="1055"/>
      <c r="BG93" s="1056"/>
    </row>
    <row r="94" spans="1:59" ht="15" thickBot="1" x14ac:dyDescent="0.2">
      <c r="A94" s="1052"/>
      <c r="B94" s="1053"/>
      <c r="C94" s="1054"/>
      <c r="D94" s="1054"/>
      <c r="E94" s="1055"/>
      <c r="F94" s="1055"/>
      <c r="G94" s="1055"/>
      <c r="H94" s="1055"/>
      <c r="I94" s="1055"/>
      <c r="J94" s="1055"/>
      <c r="K94" s="1055"/>
      <c r="L94" s="1055"/>
      <c r="M94" s="1055"/>
      <c r="N94" s="1055"/>
      <c r="O94" s="1055"/>
      <c r="P94" s="1763" t="str">
        <f>+IF(orszagnyil="","",orszagnyil)</f>
        <v>HU</v>
      </c>
      <c r="Q94" s="1764"/>
      <c r="R94" s="1764"/>
      <c r="S94" s="1765"/>
      <c r="T94" s="1055"/>
      <c r="U94" s="1055"/>
      <c r="V94" s="1055"/>
      <c r="W94" s="1055"/>
      <c r="X94" s="1055"/>
      <c r="Y94" s="1055"/>
      <c r="Z94" s="1055"/>
      <c r="AA94" s="1055"/>
      <c r="AB94" s="1055"/>
      <c r="AC94" s="1055"/>
      <c r="AD94" s="1055"/>
      <c r="AE94" s="1055"/>
      <c r="AF94" s="1055"/>
      <c r="AG94" s="1055"/>
      <c r="AH94" s="1055"/>
      <c r="AI94" s="1055"/>
      <c r="AJ94" s="1055"/>
      <c r="AK94" s="1055"/>
      <c r="AL94" s="1055"/>
      <c r="AM94" s="1055"/>
      <c r="AN94" s="1055"/>
      <c r="AO94" s="1055"/>
      <c r="AP94" s="1055"/>
      <c r="AQ94" s="1055"/>
      <c r="AR94" s="1055"/>
      <c r="AS94" s="1055"/>
      <c r="AT94" s="1055"/>
      <c r="AU94" s="1055"/>
      <c r="AV94" s="1055"/>
      <c r="AW94" s="1055"/>
      <c r="AX94" s="1055"/>
      <c r="AY94" s="1055"/>
      <c r="AZ94" s="1055"/>
      <c r="BA94" s="1055"/>
      <c r="BB94" s="1055"/>
      <c r="BC94" s="1055"/>
      <c r="BD94" s="1055"/>
      <c r="BE94" s="1055"/>
      <c r="BF94" s="1055"/>
      <c r="BG94" s="1056"/>
    </row>
    <row r="95" spans="1:59" ht="15" customHeight="1" thickBot="1" x14ac:dyDescent="0.2">
      <c r="A95" s="1052"/>
      <c r="B95" s="1053"/>
      <c r="C95" s="1054"/>
      <c r="D95" s="1769" t="s">
        <v>584</v>
      </c>
      <c r="E95" s="1769"/>
      <c r="F95" s="1769"/>
      <c r="G95" s="1769"/>
      <c r="H95" s="1769"/>
      <c r="I95" s="1769"/>
      <c r="J95" s="1769"/>
      <c r="K95" s="1769"/>
      <c r="L95" s="1769"/>
      <c r="M95" s="1769"/>
      <c r="N95" s="1769"/>
      <c r="O95" s="1058"/>
      <c r="P95" s="1058" t="s">
        <v>297</v>
      </c>
      <c r="Q95" s="1058"/>
      <c r="R95" s="1058"/>
      <c r="S95" s="1057"/>
      <c r="T95" s="1058"/>
      <c r="U95" s="1058"/>
      <c r="V95" s="1057"/>
      <c r="W95" s="1057"/>
      <c r="X95" s="1057"/>
      <c r="Y95" s="1057"/>
      <c r="Z95" s="1057"/>
      <c r="AA95" s="1057"/>
      <c r="AB95" s="1057"/>
      <c r="AC95" s="1057"/>
      <c r="AD95" s="1057"/>
      <c r="AE95" s="1057"/>
      <c r="AF95" s="1057"/>
      <c r="AG95" s="1057"/>
      <c r="AH95" s="1057"/>
      <c r="AI95" s="1057"/>
      <c r="AJ95" s="1057"/>
      <c r="AK95" s="1057"/>
      <c r="AL95" s="1057"/>
      <c r="AM95" s="1057"/>
      <c r="AN95" s="1057"/>
      <c r="AO95" s="1057"/>
      <c r="AP95" s="1057"/>
      <c r="AQ95" s="1057"/>
      <c r="AR95" s="1057"/>
      <c r="AS95" s="1057"/>
      <c r="AT95" s="1057"/>
      <c r="AU95" s="1057"/>
      <c r="AV95" s="1057"/>
      <c r="AW95" s="1057"/>
      <c r="AX95" s="1057"/>
      <c r="AY95" s="1057"/>
      <c r="AZ95" s="1057"/>
      <c r="BA95" s="1057"/>
      <c r="BB95" s="1057"/>
      <c r="BC95" s="1057"/>
      <c r="BD95" s="1057"/>
      <c r="BE95" s="1057"/>
      <c r="BF95" s="1057"/>
      <c r="BG95" s="1056"/>
    </row>
    <row r="96" spans="1:59" ht="15" thickBot="1" x14ac:dyDescent="0.2">
      <c r="A96" s="1052"/>
      <c r="B96" s="1053"/>
      <c r="C96" s="1054"/>
      <c r="D96" s="1769"/>
      <c r="E96" s="1769"/>
      <c r="F96" s="1769"/>
      <c r="G96" s="1769"/>
      <c r="H96" s="1769"/>
      <c r="I96" s="1769"/>
      <c r="J96" s="1769"/>
      <c r="K96" s="1769"/>
      <c r="L96" s="1769"/>
      <c r="M96" s="1769"/>
      <c r="N96" s="1769"/>
      <c r="O96" s="1059"/>
      <c r="P96" s="1770" t="str">
        <f>+IF(irszamnyil="","",irszamnyil)</f>
        <v/>
      </c>
      <c r="Q96" s="1771"/>
      <c r="R96" s="1771"/>
      <c r="S96" s="1772"/>
      <c r="T96" s="1057"/>
      <c r="U96" s="1773" t="str">
        <f>+IF(helysegnyil="","",helysegnyil)</f>
        <v/>
      </c>
      <c r="V96" s="1774"/>
      <c r="W96" s="1774"/>
      <c r="X96" s="1774"/>
      <c r="Y96" s="1774"/>
      <c r="Z96" s="1774"/>
      <c r="AA96" s="1774"/>
      <c r="AB96" s="1774"/>
      <c r="AC96" s="1774"/>
      <c r="AD96" s="1774"/>
      <c r="AE96" s="1774"/>
      <c r="AF96" s="1774"/>
      <c r="AG96" s="1774"/>
      <c r="AH96" s="1774"/>
      <c r="AI96" s="1774"/>
      <c r="AJ96" s="1774"/>
      <c r="AK96" s="1774"/>
      <c r="AL96" s="1774"/>
      <c r="AM96" s="1774"/>
      <c r="AN96" s="1774"/>
      <c r="AO96" s="1774"/>
      <c r="AP96" s="1774"/>
      <c r="AQ96" s="1774"/>
      <c r="AR96" s="1774"/>
      <c r="AS96" s="1774"/>
      <c r="AT96" s="1774"/>
      <c r="AU96" s="1774"/>
      <c r="AV96" s="1774"/>
      <c r="AW96" s="1774"/>
      <c r="AX96" s="1774"/>
      <c r="AY96" s="1775"/>
      <c r="AZ96" s="1057"/>
      <c r="BA96" s="1770" t="str">
        <f>+IF(postafioknyil="","",postafioknyil)</f>
        <v/>
      </c>
      <c r="BB96" s="1771"/>
      <c r="BC96" s="1771"/>
      <c r="BD96" s="1771"/>
      <c r="BE96" s="1771"/>
      <c r="BF96" s="1772"/>
      <c r="BG96" s="1056"/>
    </row>
    <row r="97" spans="1:59" x14ac:dyDescent="0.15">
      <c r="A97" s="1052"/>
      <c r="B97" s="1053"/>
      <c r="C97" s="1054"/>
      <c r="D97" s="1769"/>
      <c r="E97" s="1769"/>
      <c r="F97" s="1769"/>
      <c r="G97" s="1769"/>
      <c r="H97" s="1769"/>
      <c r="I97" s="1769"/>
      <c r="J97" s="1769"/>
      <c r="K97" s="1769"/>
      <c r="L97" s="1769"/>
      <c r="M97" s="1769"/>
      <c r="N97" s="1769"/>
      <c r="O97" s="1057"/>
      <c r="P97" s="1057" t="s">
        <v>146</v>
      </c>
      <c r="Q97" s="1057"/>
      <c r="R97" s="1057"/>
      <c r="S97" s="1057"/>
      <c r="T97" s="1057"/>
      <c r="U97" s="1057" t="s">
        <v>147</v>
      </c>
      <c r="V97" s="1057"/>
      <c r="W97" s="1057"/>
      <c r="X97" s="1057"/>
      <c r="Y97" s="1057"/>
      <c r="Z97" s="1057"/>
      <c r="AA97" s="1057"/>
      <c r="AB97" s="1057"/>
      <c r="AC97" s="1057"/>
      <c r="AD97" s="1057"/>
      <c r="AE97" s="1057"/>
      <c r="AF97" s="1057"/>
      <c r="AG97" s="1057"/>
      <c r="AH97" s="1057"/>
      <c r="AI97" s="1057"/>
      <c r="AJ97" s="1057"/>
      <c r="AK97" s="1057"/>
      <c r="AL97" s="1057"/>
      <c r="AM97" s="1057"/>
      <c r="AN97" s="1057"/>
      <c r="AO97" s="1057"/>
      <c r="AP97" s="1057"/>
      <c r="AQ97" s="1057"/>
      <c r="AR97" s="1057"/>
      <c r="AS97" s="1057"/>
      <c r="AT97" s="1057"/>
      <c r="AU97" s="1057"/>
      <c r="AV97" s="1057"/>
      <c r="AW97" s="1057"/>
      <c r="AX97" s="1057"/>
      <c r="AY97" s="1057"/>
      <c r="AZ97" s="1057"/>
      <c r="BA97" s="1057" t="s">
        <v>148</v>
      </c>
      <c r="BB97" s="1057"/>
      <c r="BC97" s="1057"/>
      <c r="BD97" s="1057"/>
      <c r="BE97" s="1057"/>
      <c r="BF97" s="1057"/>
      <c r="BG97" s="1056"/>
    </row>
    <row r="98" spans="1:59" ht="15" thickBot="1" x14ac:dyDescent="0.2">
      <c r="A98" s="1052"/>
      <c r="B98" s="1053"/>
      <c r="C98" s="1054"/>
      <c r="D98" s="1060"/>
      <c r="E98" s="1060"/>
      <c r="F98" s="1060"/>
      <c r="G98" s="1060"/>
      <c r="H98" s="1060"/>
      <c r="I98" s="1060"/>
      <c r="J98" s="1060"/>
      <c r="K98" s="1060"/>
      <c r="L98" s="1060"/>
      <c r="M98" s="1060"/>
      <c r="N98" s="1060"/>
      <c r="O98" s="1061"/>
      <c r="P98" s="1057"/>
      <c r="Q98" s="1057"/>
      <c r="R98" s="1057"/>
      <c r="S98" s="1057"/>
      <c r="T98" s="1057"/>
      <c r="U98" s="1057"/>
      <c r="V98" s="1057"/>
      <c r="W98" s="1057"/>
      <c r="X98" s="1057"/>
      <c r="Y98" s="1057"/>
      <c r="Z98" s="1057"/>
      <c r="AA98" s="1057"/>
      <c r="AB98" s="1057"/>
      <c r="AC98" s="1057"/>
      <c r="AD98" s="1057"/>
      <c r="AE98" s="1057"/>
      <c r="AF98" s="1057"/>
      <c r="AG98" s="1057"/>
      <c r="AH98" s="1057"/>
      <c r="AI98" s="1057"/>
      <c r="AJ98" s="1057"/>
      <c r="AK98" s="1057"/>
      <c r="AL98" s="1057"/>
      <c r="AM98" s="1057"/>
      <c r="AN98" s="1057"/>
      <c r="AO98" s="1057"/>
      <c r="AP98" s="1057"/>
      <c r="AQ98" s="1057"/>
      <c r="AR98" s="1057"/>
      <c r="AS98" s="1057"/>
      <c r="AT98" s="1057"/>
      <c r="AU98" s="1057"/>
      <c r="AV98" s="1057"/>
      <c r="AW98" s="1057"/>
      <c r="AX98" s="1057"/>
      <c r="AY98" s="1057"/>
      <c r="AZ98" s="1057"/>
      <c r="BA98" s="1057"/>
      <c r="BB98" s="1057"/>
      <c r="BC98" s="1057"/>
      <c r="BD98" s="1057"/>
      <c r="BE98" s="1057"/>
      <c r="BF98" s="1057"/>
      <c r="BG98" s="1056"/>
    </row>
    <row r="99" spans="1:59" ht="15" thickBot="1" x14ac:dyDescent="0.2">
      <c r="A99" s="1052"/>
      <c r="B99" s="1053"/>
      <c r="C99" s="1054"/>
      <c r="D99" s="1770" t="str">
        <f>+IF(kozternevenyil="","",kozternevenyil)</f>
        <v/>
      </c>
      <c r="E99" s="1771"/>
      <c r="F99" s="1771"/>
      <c r="G99" s="1771"/>
      <c r="H99" s="1771"/>
      <c r="I99" s="1771"/>
      <c r="J99" s="1771"/>
      <c r="K99" s="1771"/>
      <c r="L99" s="1771"/>
      <c r="M99" s="1771"/>
      <c r="N99" s="1771"/>
      <c r="O99" s="1771"/>
      <c r="P99" s="1771"/>
      <c r="Q99" s="1771"/>
      <c r="R99" s="1771"/>
      <c r="S99" s="1771"/>
      <c r="T99" s="1771"/>
      <c r="U99" s="1771"/>
      <c r="V99" s="1771"/>
      <c r="W99" s="1771"/>
      <c r="X99" s="1771"/>
      <c r="Y99" s="1771"/>
      <c r="Z99" s="1771"/>
      <c r="AA99" s="1771"/>
      <c r="AB99" s="1771"/>
      <c r="AC99" s="1772"/>
      <c r="AD99" s="1062"/>
      <c r="AE99" s="1063"/>
      <c r="AF99" s="1770" t="str">
        <f>+IF(jellegnyil="","",jellegnyil)</f>
        <v>legördülő cella</v>
      </c>
      <c r="AG99" s="1771"/>
      <c r="AH99" s="1771"/>
      <c r="AI99" s="1771"/>
      <c r="AJ99" s="1771"/>
      <c r="AK99" s="1771"/>
      <c r="AL99" s="1771"/>
      <c r="AM99" s="1771"/>
      <c r="AN99" s="1771"/>
      <c r="AO99" s="1771"/>
      <c r="AP99" s="1772"/>
      <c r="AQ99" s="1062"/>
      <c r="AR99" s="1059"/>
      <c r="AS99" s="1059"/>
      <c r="AT99" s="1059"/>
      <c r="AU99" s="1059"/>
      <c r="AV99" s="1059"/>
      <c r="AW99" s="1059"/>
      <c r="AX99" s="1776" t="str">
        <f>+IF(ajtonyil="","",ajtonyil)</f>
        <v/>
      </c>
      <c r="AY99" s="1777"/>
      <c r="AZ99" s="1777"/>
      <c r="BA99" s="1777"/>
      <c r="BB99" s="1777"/>
      <c r="BC99" s="1777"/>
      <c r="BD99" s="1777"/>
      <c r="BE99" s="1777"/>
      <c r="BF99" s="1778"/>
      <c r="BG99" s="1056"/>
    </row>
    <row r="100" spans="1:59" x14ac:dyDescent="0.15">
      <c r="A100" s="1052"/>
      <c r="B100" s="1053"/>
      <c r="C100" s="1054"/>
      <c r="D100" s="1057" t="s">
        <v>149</v>
      </c>
      <c r="E100" s="1057"/>
      <c r="F100" s="1057"/>
      <c r="G100" s="1057"/>
      <c r="H100" s="1057"/>
      <c r="I100" s="1057"/>
      <c r="J100" s="1057"/>
      <c r="K100" s="1057"/>
      <c r="L100" s="1057"/>
      <c r="M100" s="1057"/>
      <c r="N100" s="1057"/>
      <c r="O100" s="1057"/>
      <c r="P100" s="1057"/>
      <c r="Q100" s="1057"/>
      <c r="R100" s="1057"/>
      <c r="S100" s="1057"/>
      <c r="T100" s="1057"/>
      <c r="U100" s="1057"/>
      <c r="V100" s="1057"/>
      <c r="W100" s="1057"/>
      <c r="X100" s="1057"/>
      <c r="Y100" s="1057"/>
      <c r="Z100" s="1057"/>
      <c r="AA100" s="1057"/>
      <c r="AB100" s="1057"/>
      <c r="AC100" s="1057"/>
      <c r="AD100" s="1057"/>
      <c r="AE100" s="1057"/>
      <c r="AF100" s="1057" t="s">
        <v>150</v>
      </c>
      <c r="AG100" s="1057"/>
      <c r="AH100" s="1057"/>
      <c r="AI100" s="1057"/>
      <c r="AJ100" s="1063"/>
      <c r="AK100" s="1057"/>
      <c r="AL100" s="1057"/>
      <c r="AM100" s="1057"/>
      <c r="AN100" s="1057"/>
      <c r="AO100" s="1057"/>
      <c r="AP100" s="1057"/>
      <c r="AQ100" s="1063"/>
      <c r="AR100" s="1057"/>
      <c r="AS100" s="1057"/>
      <c r="AT100" s="1057"/>
      <c r="AU100" s="1057"/>
      <c r="AV100" s="1057"/>
      <c r="AW100" s="1057"/>
      <c r="AX100" s="1058" t="s">
        <v>151</v>
      </c>
      <c r="AY100" s="1058"/>
      <c r="AZ100" s="1058"/>
      <c r="BA100" s="1058"/>
      <c r="BB100" s="1058"/>
      <c r="BC100" s="1058"/>
      <c r="BD100" s="1058"/>
      <c r="BE100" s="1058"/>
      <c r="BF100" s="1058"/>
      <c r="BG100" s="1056"/>
    </row>
    <row r="101" spans="1:59" x14ac:dyDescent="0.15">
      <c r="A101" s="1050"/>
      <c r="B101" s="1064"/>
      <c r="C101" s="1055"/>
      <c r="D101" s="1060"/>
      <c r="E101" s="1060"/>
      <c r="F101" s="1060"/>
      <c r="G101" s="1060"/>
      <c r="H101" s="1060"/>
      <c r="I101" s="1060"/>
      <c r="J101" s="1060"/>
      <c r="K101" s="1060"/>
      <c r="L101" s="1060"/>
      <c r="M101" s="1060"/>
      <c r="N101" s="1060"/>
      <c r="O101" s="1061"/>
      <c r="P101" s="1057"/>
      <c r="Q101" s="1057"/>
      <c r="R101" s="1057"/>
      <c r="S101" s="1057"/>
      <c r="T101" s="1057"/>
      <c r="U101" s="1057"/>
      <c r="V101" s="1057"/>
      <c r="W101" s="1057"/>
      <c r="X101" s="1057"/>
      <c r="Y101" s="1057"/>
      <c r="Z101" s="1057"/>
      <c r="AA101" s="1057"/>
      <c r="AB101" s="1057"/>
      <c r="AC101" s="1057"/>
      <c r="AD101" s="1057"/>
      <c r="AE101" s="1057"/>
      <c r="AF101" s="1057"/>
      <c r="AG101" s="1057"/>
      <c r="AH101" s="1057"/>
      <c r="AI101" s="1057"/>
      <c r="AJ101" s="1057"/>
      <c r="AK101" s="1057"/>
      <c r="AL101" s="1057"/>
      <c r="AM101" s="1057"/>
      <c r="AN101" s="1057"/>
      <c r="AO101" s="1057"/>
      <c r="AP101" s="1057"/>
      <c r="AQ101" s="1057"/>
      <c r="AR101" s="1057"/>
      <c r="AS101" s="1057"/>
      <c r="AT101" s="1057"/>
      <c r="AU101" s="1057"/>
      <c r="AV101" s="1057"/>
      <c r="AW101" s="1057"/>
      <c r="AX101" s="1057"/>
      <c r="AY101" s="1057"/>
      <c r="AZ101" s="1057"/>
      <c r="BA101" s="1057"/>
      <c r="BB101" s="1057"/>
      <c r="BC101" s="1057"/>
      <c r="BD101" s="1057"/>
      <c r="BE101" s="1057"/>
      <c r="BF101" s="1057"/>
      <c r="BG101" s="1056"/>
    </row>
    <row r="102" spans="1:59" ht="15" thickBot="1" x14ac:dyDescent="0.2">
      <c r="A102" s="1050"/>
      <c r="B102" s="1064"/>
      <c r="C102" s="1055"/>
      <c r="D102" s="1055"/>
      <c r="E102" s="1055"/>
      <c r="F102" s="1055"/>
      <c r="G102" s="1055"/>
      <c r="H102" s="1055"/>
      <c r="I102" s="1055"/>
      <c r="J102" s="1055"/>
      <c r="K102" s="1055"/>
      <c r="L102" s="1055"/>
      <c r="M102" s="1055"/>
      <c r="N102" s="1055"/>
      <c r="O102" s="1055"/>
      <c r="P102" s="1055"/>
      <c r="Q102" s="1055"/>
      <c r="R102" s="1055"/>
      <c r="S102" s="1055"/>
      <c r="T102" s="1055"/>
      <c r="U102" s="1055"/>
      <c r="V102" s="1055"/>
      <c r="W102" s="1055"/>
      <c r="X102" s="1055"/>
      <c r="Y102" s="1055"/>
      <c r="Z102" s="1055"/>
      <c r="AA102" s="1055"/>
      <c r="AB102" s="1055"/>
      <c r="AC102" s="1055"/>
      <c r="AD102" s="1055"/>
      <c r="AE102" s="1055"/>
      <c r="AF102" s="1055"/>
      <c r="AG102" s="1055"/>
      <c r="AH102" s="1055"/>
      <c r="AI102" s="1055"/>
      <c r="AJ102" s="1055"/>
      <c r="AK102" s="1055"/>
      <c r="AL102" s="1055"/>
      <c r="AM102" s="1055"/>
      <c r="AN102" s="1055"/>
      <c r="AO102" s="1055"/>
      <c r="AP102" s="1055"/>
      <c r="AQ102" s="1055"/>
      <c r="AR102" s="1055"/>
      <c r="AS102" s="1055"/>
      <c r="AT102" s="1055"/>
      <c r="AU102" s="1055"/>
      <c r="AV102" s="1055"/>
      <c r="AW102" s="1055"/>
      <c r="AX102" s="1055"/>
      <c r="AY102" s="1055"/>
      <c r="AZ102" s="1055"/>
      <c r="BA102" s="1055"/>
      <c r="BB102" s="1055"/>
      <c r="BC102" s="1055"/>
      <c r="BD102" s="1055"/>
      <c r="BE102" s="1055"/>
      <c r="BF102" s="1055"/>
      <c r="BG102" s="1056"/>
    </row>
    <row r="103" spans="1:59" ht="15" thickBot="1" x14ac:dyDescent="0.2">
      <c r="A103" s="1050"/>
      <c r="B103" s="1064"/>
      <c r="C103" s="1763" t="str">
        <f>+IF(adoszamnyil="","",adoszamnyil)</f>
        <v/>
      </c>
      <c r="D103" s="1764"/>
      <c r="E103" s="1764"/>
      <c r="F103" s="1764"/>
      <c r="G103" s="1764"/>
      <c r="H103" s="1764"/>
      <c r="I103" s="1764"/>
      <c r="J103" s="1764"/>
      <c r="K103" s="1764"/>
      <c r="L103" s="1764"/>
      <c r="M103" s="1764"/>
      <c r="N103" s="1764"/>
      <c r="O103" s="1764"/>
      <c r="P103" s="1764"/>
      <c r="Q103" s="1764"/>
      <c r="R103" s="1764"/>
      <c r="S103" s="1764"/>
      <c r="T103" s="1765"/>
      <c r="U103" s="1055"/>
      <c r="V103" s="1055"/>
      <c r="W103" s="1055"/>
      <c r="X103" s="1763" t="str">
        <f>+IF(evnyil="","",evnyil)</f>
        <v/>
      </c>
      <c r="Y103" s="1764"/>
      <c r="Z103" s="1764"/>
      <c r="AA103" s="1764"/>
      <c r="AB103" s="1764"/>
      <c r="AC103" s="1764"/>
      <c r="AD103" s="1764"/>
      <c r="AE103" s="1764"/>
      <c r="AF103" s="1764"/>
      <c r="AG103" s="1764"/>
      <c r="AH103" s="1764"/>
      <c r="AI103" s="1764"/>
      <c r="AJ103" s="1764"/>
      <c r="AK103" s="1764"/>
      <c r="AL103" s="1765"/>
      <c r="AM103" s="1055"/>
      <c r="AN103" s="1055"/>
      <c r="AO103" s="1763" t="str">
        <f>+IF(evszamnyil="","",evszamnyil)</f>
        <v/>
      </c>
      <c r="AP103" s="1764"/>
      <c r="AQ103" s="1764"/>
      <c r="AR103" s="1764"/>
      <c r="AS103" s="1764"/>
      <c r="AT103" s="1764"/>
      <c r="AU103" s="1764"/>
      <c r="AV103" s="1764"/>
      <c r="AW103" s="1764"/>
      <c r="AX103" s="1764"/>
      <c r="AY103" s="1764"/>
      <c r="AZ103" s="1764"/>
      <c r="BA103" s="1764"/>
      <c r="BB103" s="1764"/>
      <c r="BC103" s="1764"/>
      <c r="BD103" s="1764"/>
      <c r="BE103" s="1764"/>
      <c r="BF103" s="1765"/>
      <c r="BG103" s="1056"/>
    </row>
    <row r="104" spans="1:59" x14ac:dyDescent="0.15">
      <c r="A104" s="1050"/>
      <c r="B104" s="1064"/>
      <c r="C104" s="1055" t="s">
        <v>590</v>
      </c>
      <c r="D104" s="1055"/>
      <c r="E104" s="1055"/>
      <c r="F104" s="1055"/>
      <c r="G104" s="1055"/>
      <c r="H104" s="1055"/>
      <c r="I104" s="1055"/>
      <c r="J104" s="1055"/>
      <c r="K104" s="1055"/>
      <c r="L104" s="1055"/>
      <c r="M104" s="1055"/>
      <c r="N104" s="1055"/>
      <c r="O104" s="1055"/>
      <c r="P104" s="1055"/>
      <c r="Q104" s="1055"/>
      <c r="R104" s="1055"/>
      <c r="S104" s="1055"/>
      <c r="T104" s="1055"/>
      <c r="U104" s="1055"/>
      <c r="V104" s="1055"/>
      <c r="W104" s="1055"/>
      <c r="X104" s="1055" t="s">
        <v>591</v>
      </c>
      <c r="Y104" s="1055"/>
      <c r="Z104" s="1055"/>
      <c r="AA104" s="1055"/>
      <c r="AB104" s="1055"/>
      <c r="AC104" s="1055"/>
      <c r="AD104" s="1055"/>
      <c r="AE104" s="1055"/>
      <c r="AF104" s="1055"/>
      <c r="AG104" s="1055"/>
      <c r="AH104" s="1055"/>
      <c r="AI104" s="1055"/>
      <c r="AJ104" s="1055"/>
      <c r="AK104" s="1055"/>
      <c r="AL104" s="1055"/>
      <c r="AM104" s="1055"/>
      <c r="AN104" s="1055"/>
      <c r="AO104" s="1055" t="s">
        <v>592</v>
      </c>
      <c r="AP104" s="1055"/>
      <c r="AQ104" s="1055"/>
      <c r="AR104" s="1055"/>
      <c r="AS104" s="1055"/>
      <c r="AT104" s="1055"/>
      <c r="AU104" s="1055"/>
      <c r="AV104" s="1055"/>
      <c r="AW104" s="1055"/>
      <c r="AX104" s="1055"/>
      <c r="AY104" s="1055"/>
      <c r="AZ104" s="1055"/>
      <c r="BA104" s="1055"/>
      <c r="BB104" s="1055"/>
      <c r="BC104" s="1055"/>
      <c r="BD104" s="1055"/>
      <c r="BE104" s="1055"/>
      <c r="BF104" s="1055"/>
      <c r="BG104" s="1056"/>
    </row>
    <row r="105" spans="1:59" ht="15" thickBot="1" x14ac:dyDescent="0.2">
      <c r="A105" s="1050"/>
      <c r="B105" s="1064"/>
      <c r="C105" s="1055"/>
      <c r="D105" s="1055"/>
      <c r="E105" s="1055"/>
      <c r="F105" s="1055"/>
      <c r="G105" s="1055"/>
      <c r="H105" s="1055"/>
      <c r="I105" s="1055"/>
      <c r="J105" s="1055"/>
      <c r="K105" s="1055"/>
      <c r="L105" s="1055"/>
      <c r="M105" s="1055"/>
      <c r="N105" s="1055"/>
      <c r="O105" s="1055"/>
      <c r="P105" s="1055"/>
      <c r="Q105" s="1055"/>
      <c r="R105" s="1055"/>
      <c r="S105" s="1055"/>
      <c r="T105" s="1055"/>
      <c r="U105" s="1055"/>
      <c r="V105" s="1055"/>
      <c r="W105" s="1055"/>
      <c r="X105" s="1055"/>
      <c r="Y105" s="1055"/>
      <c r="Z105" s="1055"/>
      <c r="AA105" s="1055"/>
      <c r="AB105" s="1055"/>
      <c r="AC105" s="1055"/>
      <c r="AD105" s="1055"/>
      <c r="AE105" s="1055"/>
      <c r="AF105" s="1055"/>
      <c r="AG105" s="1055"/>
      <c r="AH105" s="1055"/>
      <c r="AI105" s="1055"/>
      <c r="AJ105" s="1055"/>
      <c r="AK105" s="1055"/>
      <c r="AL105" s="1055"/>
      <c r="AM105" s="1055"/>
      <c r="AN105" s="1055"/>
      <c r="AO105" s="1055"/>
      <c r="AP105" s="1055"/>
      <c r="AQ105" s="1055"/>
      <c r="AR105" s="1055"/>
      <c r="AS105" s="1055"/>
      <c r="AT105" s="1055"/>
      <c r="AU105" s="1055"/>
      <c r="AV105" s="1055"/>
      <c r="AW105" s="1055"/>
      <c r="AX105" s="1055"/>
      <c r="AY105" s="1055"/>
      <c r="AZ105" s="1055"/>
      <c r="BA105" s="1055"/>
      <c r="BB105" s="1055"/>
      <c r="BC105" s="1055"/>
      <c r="BD105" s="1055"/>
      <c r="BE105" s="1055"/>
      <c r="BF105" s="1055"/>
      <c r="BG105" s="1056"/>
    </row>
    <row r="106" spans="1:59" ht="15" thickBot="1" x14ac:dyDescent="0.2">
      <c r="A106" s="1050"/>
      <c r="B106" s="1064"/>
      <c r="C106" s="1763" t="str">
        <f>+IF(KKVnyil="","",KKVnyil)</f>
        <v>legördülő cella</v>
      </c>
      <c r="D106" s="1764"/>
      <c r="E106" s="1764"/>
      <c r="F106" s="1764"/>
      <c r="G106" s="1764"/>
      <c r="H106" s="1764"/>
      <c r="I106" s="1764"/>
      <c r="J106" s="1764"/>
      <c r="K106" s="1764"/>
      <c r="L106" s="1764"/>
      <c r="M106" s="1764"/>
      <c r="N106" s="1764"/>
      <c r="O106" s="1764"/>
      <c r="P106" s="1764"/>
      <c r="Q106" s="1764"/>
      <c r="R106" s="1764"/>
      <c r="S106" s="1764"/>
      <c r="T106" s="1765"/>
      <c r="U106" s="1055"/>
      <c r="V106" s="1055"/>
      <c r="W106" s="1055"/>
      <c r="X106" s="1763" t="str">
        <f>+IF(gazformnyil="","",gazformnyil)</f>
        <v>legördülő cella</v>
      </c>
      <c r="Y106" s="1764"/>
      <c r="Z106" s="1764"/>
      <c r="AA106" s="1764"/>
      <c r="AB106" s="1764"/>
      <c r="AC106" s="1764"/>
      <c r="AD106" s="1764"/>
      <c r="AE106" s="1764"/>
      <c r="AF106" s="1764"/>
      <c r="AG106" s="1764"/>
      <c r="AH106" s="1764"/>
      <c r="AI106" s="1764"/>
      <c r="AJ106" s="1764"/>
      <c r="AK106" s="1764"/>
      <c r="AL106" s="1765"/>
      <c r="AM106" s="1055"/>
      <c r="AN106" s="1055"/>
      <c r="AO106" s="1055"/>
      <c r="AP106" s="1055"/>
      <c r="AQ106" s="1055"/>
      <c r="AR106" s="1055"/>
      <c r="AS106" s="1055"/>
      <c r="AT106" s="1055"/>
      <c r="AU106" s="1055"/>
      <c r="AV106" s="1055"/>
      <c r="AW106" s="1055"/>
      <c r="AX106" s="1055"/>
      <c r="AY106" s="1055"/>
      <c r="AZ106" s="1055"/>
      <c r="BA106" s="1055"/>
      <c r="BB106" s="1055"/>
      <c r="BC106" s="1055"/>
      <c r="BD106" s="1055"/>
      <c r="BE106" s="1055"/>
      <c r="BF106" s="1055"/>
      <c r="BG106" s="1056"/>
    </row>
    <row r="107" spans="1:59" x14ac:dyDescent="0.15">
      <c r="A107" s="1050"/>
      <c r="B107" s="1064"/>
      <c r="C107" s="1055" t="s">
        <v>593</v>
      </c>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t="s">
        <v>594</v>
      </c>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055"/>
      <c r="AS107" s="1055"/>
      <c r="AT107" s="1055"/>
      <c r="AU107" s="1055"/>
      <c r="AV107" s="1055"/>
      <c r="AW107" s="1055"/>
      <c r="AX107" s="1055"/>
      <c r="AY107" s="1055"/>
      <c r="AZ107" s="1055"/>
      <c r="BA107" s="1055"/>
      <c r="BB107" s="1055"/>
      <c r="BC107" s="1055"/>
      <c r="BD107" s="1055"/>
      <c r="BE107" s="1055"/>
      <c r="BF107" s="1055"/>
      <c r="BG107" s="1056"/>
    </row>
    <row r="108" spans="1:59" ht="15" thickBot="1" x14ac:dyDescent="0.2">
      <c r="A108" s="1050"/>
      <c r="B108" s="1064"/>
      <c r="C108" s="1055"/>
      <c r="D108" s="1055"/>
      <c r="E108" s="1055"/>
      <c r="F108" s="1055"/>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c r="AA108" s="1055"/>
      <c r="AB108" s="1055"/>
      <c r="AC108" s="1055"/>
      <c r="AD108" s="1055"/>
      <c r="AE108" s="1055"/>
      <c r="AF108" s="1055"/>
      <c r="AG108" s="1055"/>
      <c r="AH108" s="1055"/>
      <c r="AI108" s="1055"/>
      <c r="AJ108" s="1055"/>
      <c r="AK108" s="1055"/>
      <c r="AL108" s="1055"/>
      <c r="AM108" s="1055"/>
      <c r="AN108" s="1055"/>
      <c r="AO108" s="1055"/>
      <c r="AP108" s="1055"/>
      <c r="AQ108" s="1055"/>
      <c r="AR108" s="1055"/>
      <c r="AS108" s="1055"/>
      <c r="AT108" s="1055"/>
      <c r="AU108" s="1055"/>
      <c r="AV108" s="1055"/>
      <c r="AW108" s="1055"/>
      <c r="AX108" s="1055"/>
      <c r="AY108" s="1055"/>
      <c r="AZ108" s="1055"/>
      <c r="BA108" s="1055"/>
      <c r="BB108" s="1055"/>
      <c r="BC108" s="1055"/>
      <c r="BD108" s="1055"/>
      <c r="BE108" s="1055"/>
      <c r="BF108" s="1055"/>
      <c r="BG108" s="1056"/>
    </row>
    <row r="109" spans="1:59" ht="15" thickBot="1" x14ac:dyDescent="0.2">
      <c r="A109" s="1050"/>
      <c r="B109" s="1064"/>
      <c r="C109" s="1763" t="str">
        <f>+IF(kapcsnyil="","",kapcsnyil)</f>
        <v/>
      </c>
      <c r="D109" s="1764"/>
      <c r="E109" s="1764"/>
      <c r="F109" s="1764"/>
      <c r="G109" s="1764"/>
      <c r="H109" s="1764"/>
      <c r="I109" s="1764"/>
      <c r="J109" s="1764"/>
      <c r="K109" s="1764"/>
      <c r="L109" s="1764"/>
      <c r="M109" s="1764"/>
      <c r="N109" s="1764"/>
      <c r="O109" s="1764"/>
      <c r="P109" s="1764"/>
      <c r="Q109" s="1764"/>
      <c r="R109" s="1764"/>
      <c r="S109" s="1764"/>
      <c r="T109" s="1765"/>
      <c r="U109" s="1055"/>
      <c r="V109" s="1055"/>
      <c r="W109" s="1055"/>
      <c r="X109" s="1763" t="str">
        <f>+IF(kapcstelnyil="","",kapcstelnyil)</f>
        <v/>
      </c>
      <c r="Y109" s="1764"/>
      <c r="Z109" s="1764"/>
      <c r="AA109" s="1764"/>
      <c r="AB109" s="1764"/>
      <c r="AC109" s="1764"/>
      <c r="AD109" s="1764"/>
      <c r="AE109" s="1764"/>
      <c r="AF109" s="1764"/>
      <c r="AG109" s="1764"/>
      <c r="AH109" s="1764"/>
      <c r="AI109" s="1764"/>
      <c r="AJ109" s="1764"/>
      <c r="AK109" s="1764"/>
      <c r="AL109" s="1765"/>
      <c r="AM109" s="1055"/>
      <c r="AN109" s="1055"/>
      <c r="AO109" s="1763" t="str">
        <f>+IF(kapcsemailnyil="","",kapcsemailnyil)</f>
        <v/>
      </c>
      <c r="AP109" s="1764"/>
      <c r="AQ109" s="1764"/>
      <c r="AR109" s="1764"/>
      <c r="AS109" s="1764"/>
      <c r="AT109" s="1764"/>
      <c r="AU109" s="1764"/>
      <c r="AV109" s="1764"/>
      <c r="AW109" s="1764"/>
      <c r="AX109" s="1764"/>
      <c r="AY109" s="1764"/>
      <c r="AZ109" s="1764"/>
      <c r="BA109" s="1764"/>
      <c r="BB109" s="1764"/>
      <c r="BC109" s="1764"/>
      <c r="BD109" s="1764"/>
      <c r="BE109" s="1764"/>
      <c r="BF109" s="1765"/>
      <c r="BG109" s="1056"/>
    </row>
    <row r="110" spans="1:59" x14ac:dyDescent="0.15">
      <c r="A110" s="1050"/>
      <c r="B110" s="1064"/>
      <c r="C110" s="1055" t="s">
        <v>587</v>
      </c>
      <c r="D110" s="1055"/>
      <c r="E110" s="1055"/>
      <c r="F110" s="1055"/>
      <c r="G110" s="1055"/>
      <c r="H110" s="1055"/>
      <c r="I110" s="1055"/>
      <c r="J110" s="1055"/>
      <c r="K110" s="1055"/>
      <c r="L110" s="1055"/>
      <c r="M110" s="1055"/>
      <c r="N110" s="1055"/>
      <c r="O110" s="1055"/>
      <c r="P110" s="1055"/>
      <c r="Q110" s="1055"/>
      <c r="R110" s="1055"/>
      <c r="S110" s="1055"/>
      <c r="T110" s="1055"/>
      <c r="U110" s="1055"/>
      <c r="V110" s="1055"/>
      <c r="W110" s="1055"/>
      <c r="X110" s="1055" t="s">
        <v>586</v>
      </c>
      <c r="Y110" s="1055"/>
      <c r="Z110" s="1055"/>
      <c r="AA110" s="1055"/>
      <c r="AB110" s="1055"/>
      <c r="AC110" s="1055"/>
      <c r="AD110" s="1055"/>
      <c r="AE110" s="1055"/>
      <c r="AF110" s="1055"/>
      <c r="AG110" s="1055"/>
      <c r="AH110" s="1055"/>
      <c r="AI110" s="1055"/>
      <c r="AJ110" s="1055"/>
      <c r="AK110" s="1055"/>
      <c r="AL110" s="1055"/>
      <c r="AM110" s="1055"/>
      <c r="AN110" s="1055"/>
      <c r="AO110" s="1055" t="s">
        <v>585</v>
      </c>
      <c r="AP110" s="1055"/>
      <c r="AQ110" s="1055"/>
      <c r="AR110" s="1055"/>
      <c r="AS110" s="1055"/>
      <c r="AT110" s="1055"/>
      <c r="AU110" s="1055"/>
      <c r="AV110" s="1055"/>
      <c r="AW110" s="1055"/>
      <c r="AX110" s="1055"/>
      <c r="AY110" s="1055"/>
      <c r="AZ110" s="1055"/>
      <c r="BA110" s="1055"/>
      <c r="BB110" s="1055"/>
      <c r="BC110" s="1055"/>
      <c r="BD110" s="1055"/>
      <c r="BE110" s="1055"/>
      <c r="BF110" s="1055"/>
      <c r="BG110" s="1056"/>
    </row>
    <row r="111" spans="1:59" ht="15" thickBot="1" x14ac:dyDescent="0.2">
      <c r="A111" s="1050"/>
      <c r="B111" s="1064"/>
      <c r="C111" s="1055"/>
      <c r="D111" s="1055"/>
      <c r="E111" s="1055"/>
      <c r="F111" s="1055"/>
      <c r="G111" s="1055"/>
      <c r="H111" s="1055"/>
      <c r="I111" s="1055"/>
      <c r="J111" s="1055"/>
      <c r="K111" s="1055"/>
      <c r="L111" s="1055"/>
      <c r="M111" s="1055"/>
      <c r="N111" s="1055"/>
      <c r="O111" s="1055"/>
      <c r="P111" s="1055"/>
      <c r="Q111" s="1055"/>
      <c r="R111" s="1055"/>
      <c r="S111" s="1055"/>
      <c r="T111" s="1055"/>
      <c r="U111" s="1055"/>
      <c r="V111" s="1055"/>
      <c r="W111" s="1055"/>
      <c r="X111" s="1055"/>
      <c r="Y111" s="1055"/>
      <c r="Z111" s="1055"/>
      <c r="AA111" s="1055"/>
      <c r="AB111" s="1055"/>
      <c r="AC111" s="1055"/>
      <c r="AD111" s="1055"/>
      <c r="AE111" s="1055"/>
      <c r="AF111" s="1055"/>
      <c r="AG111" s="1055"/>
      <c r="AH111" s="1055"/>
      <c r="AI111" s="1055"/>
      <c r="AJ111" s="1055"/>
      <c r="AK111" s="1055"/>
      <c r="AL111" s="1055"/>
      <c r="AM111" s="1055"/>
      <c r="AN111" s="1055"/>
      <c r="AO111" s="1055"/>
      <c r="AP111" s="1055"/>
      <c r="AQ111" s="1055"/>
      <c r="AR111" s="1055"/>
      <c r="AS111" s="1055"/>
      <c r="AT111" s="1055"/>
      <c r="AU111" s="1055"/>
      <c r="AV111" s="1055"/>
      <c r="AW111" s="1055"/>
      <c r="AX111" s="1055"/>
      <c r="AY111" s="1055"/>
      <c r="AZ111" s="1055"/>
      <c r="BA111" s="1055"/>
      <c r="BB111" s="1055"/>
      <c r="BC111" s="1055"/>
      <c r="BD111" s="1055"/>
      <c r="BE111" s="1055"/>
      <c r="BF111" s="1055"/>
      <c r="BG111" s="1056"/>
    </row>
    <row r="112" spans="1:59" ht="15" thickBot="1" x14ac:dyDescent="0.2">
      <c r="A112" s="1050"/>
      <c r="B112" s="1064"/>
      <c r="C112" s="1763" t="str">
        <f>+IF(vállemailnyil="","",vállemailnyil)</f>
        <v/>
      </c>
      <c r="D112" s="1764"/>
      <c r="E112" s="1764"/>
      <c r="F112" s="1764"/>
      <c r="G112" s="1764"/>
      <c r="H112" s="1764"/>
      <c r="I112" s="1764"/>
      <c r="J112" s="1764"/>
      <c r="K112" s="1764"/>
      <c r="L112" s="1764"/>
      <c r="M112" s="1764"/>
      <c r="N112" s="1764"/>
      <c r="O112" s="1764"/>
      <c r="P112" s="1764"/>
      <c r="Q112" s="1764"/>
      <c r="R112" s="1764"/>
      <c r="S112" s="1764"/>
      <c r="T112" s="1765"/>
      <c r="U112" s="1055"/>
      <c r="V112" s="1055"/>
      <c r="W112" s="1055"/>
      <c r="X112" s="1763" t="str">
        <f>+IF(válltelnyil="","",válltelnyil)</f>
        <v/>
      </c>
      <c r="Y112" s="1764"/>
      <c r="Z112" s="1764"/>
      <c r="AA112" s="1764"/>
      <c r="AB112" s="1764"/>
      <c r="AC112" s="1764"/>
      <c r="AD112" s="1764"/>
      <c r="AE112" s="1764"/>
      <c r="AF112" s="1764"/>
      <c r="AG112" s="1764"/>
      <c r="AH112" s="1764"/>
      <c r="AI112" s="1764"/>
      <c r="AJ112" s="1764"/>
      <c r="AK112" s="1764"/>
      <c r="AL112" s="1765"/>
      <c r="AM112" s="1055"/>
      <c r="AN112" s="1055"/>
      <c r="AO112" s="1055"/>
      <c r="AP112" s="1055"/>
      <c r="AQ112" s="1055"/>
      <c r="AR112" s="1055"/>
      <c r="AS112" s="1055"/>
      <c r="AT112" s="1055"/>
      <c r="AU112" s="1055"/>
      <c r="AV112" s="1055"/>
      <c r="AW112" s="1055"/>
      <c r="AX112" s="1055"/>
      <c r="AY112" s="1055"/>
      <c r="AZ112" s="1055"/>
      <c r="BA112" s="1055"/>
      <c r="BB112" s="1055"/>
      <c r="BC112" s="1055"/>
      <c r="BD112" s="1055"/>
      <c r="BE112" s="1055"/>
      <c r="BF112" s="1055"/>
      <c r="BG112" s="1056"/>
    </row>
    <row r="113" spans="1:59" x14ac:dyDescent="0.15">
      <c r="A113" s="1050"/>
      <c r="B113" s="1064"/>
      <c r="C113" s="1055" t="s">
        <v>588</v>
      </c>
      <c r="D113" s="1055"/>
      <c r="E113" s="1055"/>
      <c r="F113" s="1055"/>
      <c r="G113" s="1055"/>
      <c r="H113" s="1055"/>
      <c r="I113" s="1055"/>
      <c r="J113" s="1055"/>
      <c r="K113" s="1055"/>
      <c r="L113" s="1055"/>
      <c r="M113" s="1055"/>
      <c r="N113" s="1055"/>
      <c r="O113" s="1055"/>
      <c r="P113" s="1055"/>
      <c r="Q113" s="1055"/>
      <c r="R113" s="1055"/>
      <c r="S113" s="1055"/>
      <c r="T113" s="1055"/>
      <c r="U113" s="1055"/>
      <c r="V113" s="1055"/>
      <c r="W113" s="1055"/>
      <c r="X113" s="1055" t="s">
        <v>589</v>
      </c>
      <c r="Y113" s="1055"/>
      <c r="Z113" s="1055"/>
      <c r="AA113" s="1055"/>
      <c r="AB113" s="1055"/>
      <c r="AC113" s="1055"/>
      <c r="AD113" s="1055"/>
      <c r="AE113" s="1055"/>
      <c r="AF113" s="1055"/>
      <c r="AG113" s="1055"/>
      <c r="AH113" s="1055"/>
      <c r="AI113" s="1055"/>
      <c r="AJ113" s="1055"/>
      <c r="AK113" s="1055"/>
      <c r="AL113" s="1055"/>
      <c r="AM113" s="1055"/>
      <c r="AN113" s="1055"/>
      <c r="AO113" s="1055"/>
      <c r="AP113" s="1055"/>
      <c r="AQ113" s="1055"/>
      <c r="AR113" s="1055"/>
      <c r="AS113" s="1055"/>
      <c r="AT113" s="1055"/>
      <c r="AU113" s="1055"/>
      <c r="AV113" s="1055"/>
      <c r="AW113" s="1055"/>
      <c r="AX113" s="1055"/>
      <c r="AY113" s="1055"/>
      <c r="AZ113" s="1055"/>
      <c r="BA113" s="1055"/>
      <c r="BB113" s="1055"/>
      <c r="BC113" s="1055"/>
      <c r="BD113" s="1055"/>
      <c r="BE113" s="1055"/>
      <c r="BF113" s="1055"/>
      <c r="BG113" s="1056"/>
    </row>
    <row r="114" spans="1:59" x14ac:dyDescent="0.15">
      <c r="A114" s="1050"/>
      <c r="B114" s="1065"/>
      <c r="C114" s="1066"/>
      <c r="D114" s="1066"/>
      <c r="E114" s="1066"/>
      <c r="F114" s="1066"/>
      <c r="G114" s="1066"/>
      <c r="H114" s="1066"/>
      <c r="I114" s="1066"/>
      <c r="J114" s="1066"/>
      <c r="K114" s="1066"/>
      <c r="L114" s="1066"/>
      <c r="M114" s="1066"/>
      <c r="N114" s="1066"/>
      <c r="O114" s="1066"/>
      <c r="P114" s="1066"/>
      <c r="Q114" s="1066"/>
      <c r="R114" s="1066"/>
      <c r="S114" s="1066"/>
      <c r="T114" s="1066"/>
      <c r="U114" s="1066"/>
      <c r="V114" s="1066"/>
      <c r="W114" s="1066"/>
      <c r="X114" s="1066"/>
      <c r="Y114" s="1066"/>
      <c r="Z114" s="1066"/>
      <c r="AA114" s="1066"/>
      <c r="AB114" s="1066"/>
      <c r="AC114" s="1066"/>
      <c r="AD114" s="1066"/>
      <c r="AE114" s="1066"/>
      <c r="AF114" s="1066"/>
      <c r="AG114" s="1066"/>
      <c r="AH114" s="1066"/>
      <c r="AI114" s="1066"/>
      <c r="AJ114" s="1066"/>
      <c r="AK114" s="1066"/>
      <c r="AL114" s="1066"/>
      <c r="AM114" s="1066"/>
      <c r="AN114" s="1066"/>
      <c r="AO114" s="1066"/>
      <c r="AP114" s="1066"/>
      <c r="AQ114" s="1066"/>
      <c r="AR114" s="1066"/>
      <c r="AS114" s="1066"/>
      <c r="AT114" s="1066"/>
      <c r="AU114" s="1066"/>
      <c r="AV114" s="1066"/>
      <c r="AW114" s="1066"/>
      <c r="AX114" s="1066"/>
      <c r="AY114" s="1066"/>
      <c r="AZ114" s="1066"/>
      <c r="BA114" s="1066"/>
      <c r="BB114" s="1066"/>
      <c r="BC114" s="1066"/>
      <c r="BD114" s="1066"/>
      <c r="BE114" s="1066"/>
      <c r="BF114" s="1066"/>
      <c r="BG114" s="1067"/>
    </row>
    <row r="115" spans="1:59" x14ac:dyDescent="0.15">
      <c r="A115" s="1050"/>
      <c r="B115" s="1753" t="s">
        <v>846</v>
      </c>
      <c r="C115" s="1754"/>
      <c r="D115" s="1754"/>
      <c r="E115" s="1754"/>
      <c r="F115" s="1754"/>
      <c r="G115" s="1754"/>
      <c r="H115" s="1754"/>
      <c r="I115" s="1754"/>
      <c r="J115" s="1754"/>
      <c r="K115" s="1754"/>
      <c r="L115" s="1754"/>
      <c r="M115" s="1754"/>
      <c r="N115" s="1754"/>
      <c r="O115" s="1754"/>
      <c r="P115" s="1754"/>
      <c r="Q115" s="1754"/>
      <c r="R115" s="1754"/>
      <c r="S115" s="1754"/>
      <c r="T115" s="1754"/>
      <c r="U115" s="1754"/>
      <c r="V115" s="1754"/>
      <c r="W115" s="1754"/>
      <c r="X115" s="1754"/>
      <c r="Y115" s="1754"/>
      <c r="Z115" s="1754"/>
      <c r="AA115" s="1754"/>
      <c r="AB115" s="1754"/>
      <c r="AC115" s="1754"/>
      <c r="AD115" s="1754"/>
      <c r="AE115" s="1754"/>
      <c r="AF115" s="1754"/>
      <c r="AG115" s="1754"/>
      <c r="AH115" s="1754"/>
      <c r="AI115" s="1754"/>
      <c r="AJ115" s="1754"/>
      <c r="AK115" s="1754"/>
      <c r="AL115" s="1754"/>
      <c r="AM115" s="1754"/>
      <c r="AN115" s="1754"/>
      <c r="AO115" s="1754"/>
      <c r="AP115" s="1754"/>
      <c r="AQ115" s="1754"/>
      <c r="AR115" s="1754"/>
      <c r="AS115" s="1754"/>
      <c r="AT115" s="1754"/>
      <c r="AU115" s="1754"/>
      <c r="AV115" s="1754"/>
      <c r="AW115" s="1754"/>
      <c r="AX115" s="1754"/>
      <c r="AY115" s="1754"/>
      <c r="AZ115" s="1754"/>
      <c r="BA115" s="1754"/>
      <c r="BB115" s="1754"/>
      <c r="BC115" s="1754"/>
      <c r="BD115" s="1754"/>
      <c r="BE115" s="1754"/>
      <c r="BF115" s="1754"/>
      <c r="BG115" s="1755"/>
    </row>
    <row r="116" spans="1:59" x14ac:dyDescent="0.15">
      <c r="A116" s="1050"/>
      <c r="B116" s="1068"/>
      <c r="C116" s="1751"/>
      <c r="D116" s="1751"/>
      <c r="E116" s="1751"/>
      <c r="F116" s="1751"/>
      <c r="G116" s="1751"/>
      <c r="H116" s="1751"/>
      <c r="I116" s="1751"/>
      <c r="J116" s="1751"/>
      <c r="K116" s="1751"/>
      <c r="L116" s="1751"/>
      <c r="M116" s="1751"/>
      <c r="N116" s="1751"/>
      <c r="O116" s="1751"/>
      <c r="P116" s="1751"/>
      <c r="Q116" s="1751"/>
      <c r="R116" s="1751"/>
      <c r="S116" s="1751"/>
      <c r="T116" s="1751"/>
      <c r="U116" s="1751"/>
      <c r="V116" s="1751"/>
      <c r="W116" s="1751"/>
      <c r="X116" s="1751"/>
      <c r="Y116" s="1751"/>
      <c r="Z116" s="1751"/>
      <c r="AA116" s="1751"/>
      <c r="AB116" s="1751"/>
      <c r="AC116" s="1751"/>
      <c r="AD116" s="1751"/>
      <c r="AE116" s="1751"/>
      <c r="AF116" s="1751"/>
      <c r="AG116" s="1751"/>
      <c r="AH116" s="1751"/>
      <c r="AI116" s="1751"/>
      <c r="AJ116" s="1751"/>
      <c r="AK116" s="1751"/>
      <c r="AL116" s="1751"/>
      <c r="AM116" s="1751"/>
      <c r="AN116" s="1751"/>
      <c r="AO116" s="1751"/>
      <c r="AP116" s="1751"/>
      <c r="AQ116" s="1751"/>
      <c r="AR116" s="1751"/>
      <c r="AS116" s="1751"/>
      <c r="AT116" s="1751"/>
      <c r="AU116" s="1751"/>
      <c r="AV116" s="1751"/>
      <c r="AW116" s="1751"/>
      <c r="AX116" s="1751"/>
      <c r="AY116" s="1751"/>
      <c r="AZ116" s="1751"/>
      <c r="BA116" s="1751"/>
      <c r="BB116" s="1751"/>
      <c r="BC116" s="1751"/>
      <c r="BD116" s="1751"/>
      <c r="BE116" s="1751"/>
      <c r="BF116" s="1751"/>
      <c r="BG116" s="1069"/>
    </row>
    <row r="117" spans="1:59" ht="15" thickBot="1" x14ac:dyDescent="0.2">
      <c r="A117" s="1050"/>
      <c r="B117" s="1064"/>
      <c r="C117" s="1761" t="s">
        <v>914</v>
      </c>
      <c r="D117" s="1761"/>
      <c r="E117" s="1761"/>
      <c r="F117" s="1761"/>
      <c r="G117" s="1761"/>
      <c r="H117" s="1761"/>
      <c r="I117" s="1761"/>
      <c r="J117" s="1761"/>
      <c r="K117" s="1761"/>
      <c r="L117" s="1761"/>
      <c r="M117" s="1761"/>
      <c r="N117" s="1761"/>
      <c r="O117" s="1761"/>
      <c r="P117" s="1761"/>
      <c r="Q117" s="1761"/>
      <c r="R117" s="1761"/>
      <c r="S117" s="1761"/>
      <c r="T117" s="1761"/>
      <c r="U117" s="1761"/>
      <c r="V117" s="1761"/>
      <c r="W117" s="1761"/>
      <c r="X117" s="1761"/>
      <c r="Y117" s="1761"/>
      <c r="Z117" s="1761"/>
      <c r="AA117" s="1761"/>
      <c r="AB117" s="1761"/>
      <c r="AC117" s="1761"/>
      <c r="AD117" s="1761"/>
      <c r="AE117" s="1761"/>
      <c r="AF117" s="1761"/>
      <c r="AG117" s="1761"/>
      <c r="AH117" s="1761"/>
      <c r="AI117" s="1761"/>
      <c r="AJ117" s="1761"/>
      <c r="AK117" s="1761"/>
      <c r="AL117" s="1761"/>
      <c r="AM117" s="1761"/>
      <c r="AN117" s="1761"/>
      <c r="AO117" s="1761"/>
      <c r="AP117" s="1761"/>
      <c r="AQ117" s="1761"/>
      <c r="AR117" s="1761"/>
      <c r="AS117" s="1761"/>
      <c r="AT117" s="1761"/>
      <c r="AU117" s="1761"/>
      <c r="AV117" s="1761"/>
      <c r="AW117" s="1761"/>
      <c r="AX117" s="1761"/>
      <c r="AY117" s="1761"/>
      <c r="AZ117" s="1761"/>
      <c r="BA117" s="1761"/>
      <c r="BB117" s="1761"/>
      <c r="BC117" s="1761"/>
      <c r="BD117" s="1761"/>
      <c r="BE117" s="1761"/>
      <c r="BF117" s="1761"/>
      <c r="BG117" s="1056"/>
    </row>
    <row r="118" spans="1:59" ht="15" thickBot="1" x14ac:dyDescent="0.2">
      <c r="A118" s="1050"/>
      <c r="B118" s="1064"/>
      <c r="C118" s="1748" t="str">
        <f>+Nyilatkozatok!BX113</f>
        <v>regionális beruházási támogatás</v>
      </c>
      <c r="D118" s="1749"/>
      <c r="E118" s="1749"/>
      <c r="F118" s="1749"/>
      <c r="G118" s="1749"/>
      <c r="H118" s="1749"/>
      <c r="I118" s="1749"/>
      <c r="J118" s="1749"/>
      <c r="K118" s="1749"/>
      <c r="L118" s="1749"/>
      <c r="M118" s="1749"/>
      <c r="N118" s="1749"/>
      <c r="O118" s="1749"/>
      <c r="P118" s="1749"/>
      <c r="Q118" s="1749"/>
      <c r="R118" s="1749"/>
      <c r="S118" s="1749"/>
      <c r="T118" s="1749"/>
      <c r="U118" s="1749"/>
      <c r="V118" s="1749"/>
      <c r="W118" s="1749"/>
      <c r="X118" s="1749"/>
      <c r="Y118" s="1749"/>
      <c r="Z118" s="1749"/>
      <c r="AA118" s="1749"/>
      <c r="AB118" s="1749"/>
      <c r="AC118" s="1749"/>
      <c r="AD118" s="1749"/>
      <c r="AE118" s="1749"/>
      <c r="AF118" s="1749"/>
      <c r="AG118" s="1749"/>
      <c r="AH118" s="1750"/>
      <c r="AI118" s="1070"/>
      <c r="AJ118" s="1070"/>
      <c r="AK118" s="1070"/>
      <c r="AL118" s="1070"/>
      <c r="AM118" s="1070"/>
      <c r="AN118" s="1070"/>
      <c r="AO118" s="1070"/>
      <c r="AP118" s="1070"/>
      <c r="AQ118" s="1070"/>
      <c r="AR118" s="1070"/>
      <c r="AS118" s="1070"/>
      <c r="AT118" s="1070"/>
      <c r="AU118" s="1070"/>
      <c r="AV118" s="1070"/>
      <c r="AW118" s="1070"/>
      <c r="AX118" s="1070"/>
      <c r="AY118" s="1070"/>
      <c r="AZ118" s="1070"/>
      <c r="BA118" s="1070"/>
      <c r="BB118" s="1070"/>
      <c r="BC118" s="1070"/>
      <c r="BD118" s="1070"/>
      <c r="BE118" s="1070"/>
      <c r="BF118" s="1070"/>
      <c r="BG118" s="1056"/>
    </row>
    <row r="119" spans="1:59" x14ac:dyDescent="0.15">
      <c r="A119" s="1050"/>
      <c r="B119" s="1064"/>
      <c r="C119" s="1761" t="s">
        <v>856</v>
      </c>
      <c r="D119" s="1761"/>
      <c r="E119" s="1761"/>
      <c r="F119" s="1761"/>
      <c r="G119" s="1761"/>
      <c r="H119" s="1761"/>
      <c r="I119" s="1761"/>
      <c r="J119" s="1761"/>
      <c r="K119" s="1761"/>
      <c r="L119" s="1761"/>
      <c r="M119" s="1761"/>
      <c r="N119" s="1761"/>
      <c r="O119" s="1761"/>
      <c r="P119" s="1761"/>
      <c r="Q119" s="1761"/>
      <c r="R119" s="1761"/>
      <c r="S119" s="1761"/>
      <c r="T119" s="1761"/>
      <c r="U119" s="1761"/>
      <c r="V119" s="1761"/>
      <c r="W119" s="1761"/>
      <c r="X119" s="1761"/>
      <c r="Y119" s="1761"/>
      <c r="Z119" s="1761"/>
      <c r="AA119" s="1761"/>
      <c r="AB119" s="1761"/>
      <c r="AC119" s="1761"/>
      <c r="AD119" s="1761"/>
      <c r="AE119" s="1761"/>
      <c r="AF119" s="1761"/>
      <c r="AG119" s="1761"/>
      <c r="AH119" s="1761"/>
      <c r="AI119" s="1761"/>
      <c r="AJ119" s="1761"/>
      <c r="AK119" s="1761"/>
      <c r="AL119" s="1761"/>
      <c r="AM119" s="1761"/>
      <c r="AN119" s="1761"/>
      <c r="AO119" s="1761"/>
      <c r="AP119" s="1761"/>
      <c r="AQ119" s="1761"/>
      <c r="AR119" s="1761"/>
      <c r="AS119" s="1761"/>
      <c r="AT119" s="1761"/>
      <c r="AU119" s="1761"/>
      <c r="AV119" s="1761"/>
      <c r="AW119" s="1761"/>
      <c r="AX119" s="1761"/>
      <c r="AY119" s="1761"/>
      <c r="AZ119" s="1761"/>
      <c r="BA119" s="1761"/>
      <c r="BB119" s="1761"/>
      <c r="BC119" s="1761"/>
      <c r="BD119" s="1761"/>
      <c r="BE119" s="1761"/>
      <c r="BF119" s="1761"/>
      <c r="BG119" s="1056"/>
    </row>
    <row r="120" spans="1:59" ht="27.75" customHeight="1" x14ac:dyDescent="0.15">
      <c r="A120" s="1050"/>
      <c r="B120" s="1064"/>
      <c r="C120" s="1759" t="str">
        <f>+Nyilatkozatok!BX114</f>
        <v xml:space="preserve">– a finanszírozást nem használom fel visszaigényelhető általános forgalmi adó (ÁFA), vám, illeték finanszírozására, kivéve, ha ÁFA visszaigénylésére nem vagyok jogosult; </v>
      </c>
      <c r="D120" s="1759"/>
      <c r="E120" s="1759"/>
      <c r="F120" s="1759"/>
      <c r="G120" s="1759"/>
      <c r="H120" s="1759"/>
      <c r="I120" s="1759"/>
      <c r="J120" s="1759"/>
      <c r="K120" s="1759"/>
      <c r="L120" s="1759"/>
      <c r="M120" s="1759"/>
      <c r="N120" s="1759"/>
      <c r="O120" s="1759"/>
      <c r="P120" s="1759"/>
      <c r="Q120" s="1759"/>
      <c r="R120" s="1759"/>
      <c r="S120" s="1759"/>
      <c r="T120" s="1759"/>
      <c r="U120" s="1759"/>
      <c r="V120" s="1759"/>
      <c r="W120" s="1759"/>
      <c r="X120" s="1759"/>
      <c r="Y120" s="1759"/>
      <c r="Z120" s="1759"/>
      <c r="AA120" s="1759"/>
      <c r="AB120" s="1759"/>
      <c r="AC120" s="1759"/>
      <c r="AD120" s="1759"/>
      <c r="AE120" s="1759"/>
      <c r="AF120" s="1759"/>
      <c r="AG120" s="1759"/>
      <c r="AH120" s="1759"/>
      <c r="AI120" s="1759"/>
      <c r="AJ120" s="1759"/>
      <c r="AK120" s="1759"/>
      <c r="AL120" s="1759"/>
      <c r="AM120" s="1759"/>
      <c r="AN120" s="1759"/>
      <c r="AO120" s="1759"/>
      <c r="AP120" s="1759"/>
      <c r="AQ120" s="1759"/>
      <c r="AR120" s="1759"/>
      <c r="AS120" s="1759"/>
      <c r="AT120" s="1759"/>
      <c r="AU120" s="1759"/>
      <c r="AV120" s="1759"/>
      <c r="AW120" s="1759"/>
      <c r="AX120" s="1759"/>
      <c r="AY120" s="1759"/>
      <c r="AZ120" s="1759"/>
      <c r="BA120" s="1759"/>
      <c r="BB120" s="1759"/>
      <c r="BC120" s="1759"/>
      <c r="BD120" s="1759"/>
      <c r="BE120" s="1759"/>
      <c r="BF120" s="1759"/>
      <c r="BG120" s="1056"/>
    </row>
    <row r="121" spans="1:59" x14ac:dyDescent="0.15">
      <c r="A121" s="1050"/>
      <c r="B121" s="1064"/>
      <c r="C121" s="1759" t="str">
        <f>+Nyilatkozatok!BX115</f>
        <v xml:space="preserve">– a finanszírozást nem használom fel más hitel, lízing kiváltására, üzletrész, részvény, illetve más társasági részesedés vásárlására; </v>
      </c>
      <c r="D121" s="1759"/>
      <c r="E121" s="1759"/>
      <c r="F121" s="1759"/>
      <c r="G121" s="1759"/>
      <c r="H121" s="1759"/>
      <c r="I121" s="1759"/>
      <c r="J121" s="1759"/>
      <c r="K121" s="1759"/>
      <c r="L121" s="1759"/>
      <c r="M121" s="1759"/>
      <c r="N121" s="1759"/>
      <c r="O121" s="1759"/>
      <c r="P121" s="1759"/>
      <c r="Q121" s="1759"/>
      <c r="R121" s="1759"/>
      <c r="S121" s="1759"/>
      <c r="T121" s="1759"/>
      <c r="U121" s="1759"/>
      <c r="V121" s="1759"/>
      <c r="W121" s="1759"/>
      <c r="X121" s="1759"/>
      <c r="Y121" s="1759"/>
      <c r="Z121" s="1759"/>
      <c r="AA121" s="1759"/>
      <c r="AB121" s="1759"/>
      <c r="AC121" s="1759"/>
      <c r="AD121" s="1759"/>
      <c r="AE121" s="1759"/>
      <c r="AF121" s="1759"/>
      <c r="AG121" s="1759"/>
      <c r="AH121" s="1759"/>
      <c r="AI121" s="1759"/>
      <c r="AJ121" s="1759"/>
      <c r="AK121" s="1759"/>
      <c r="AL121" s="1759"/>
      <c r="AM121" s="1759"/>
      <c r="AN121" s="1759"/>
      <c r="AO121" s="1759"/>
      <c r="AP121" s="1759"/>
      <c r="AQ121" s="1759"/>
      <c r="AR121" s="1759"/>
      <c r="AS121" s="1759"/>
      <c r="AT121" s="1759"/>
      <c r="AU121" s="1759"/>
      <c r="AV121" s="1759"/>
      <c r="AW121" s="1759"/>
      <c r="AX121" s="1759"/>
      <c r="AY121" s="1759"/>
      <c r="AZ121" s="1759"/>
      <c r="BA121" s="1759"/>
      <c r="BB121" s="1759"/>
      <c r="BC121" s="1759"/>
      <c r="BD121" s="1759"/>
      <c r="BE121" s="1759"/>
      <c r="BF121" s="1759"/>
      <c r="BG121" s="1056"/>
    </row>
    <row r="122" spans="1:59" x14ac:dyDescent="0.15">
      <c r="A122" s="1050"/>
      <c r="B122" s="1064"/>
      <c r="C122" s="1759" t="str">
        <f>+Nyilatkozatok!BX116</f>
        <v xml:space="preserve">– a finanszírozást nem használom fel a finanszírozásról szóló döntés napján fizikailag már lezárt (befejezett) vagy teljes mértékben (fizikailag és pénzügyileg is) végrehajtott beruházás finanszírozására; </v>
      </c>
      <c r="D122" s="1759"/>
      <c r="E122" s="1759"/>
      <c r="F122" s="1759"/>
      <c r="G122" s="1759"/>
      <c r="H122" s="1759"/>
      <c r="I122" s="1759"/>
      <c r="J122" s="1759"/>
      <c r="K122" s="1759"/>
      <c r="L122" s="1759"/>
      <c r="M122" s="1759"/>
      <c r="N122" s="1759"/>
      <c r="O122" s="1759"/>
      <c r="P122" s="1759"/>
      <c r="Q122" s="1759"/>
      <c r="R122" s="1759"/>
      <c r="S122" s="1759"/>
      <c r="T122" s="1759"/>
      <c r="U122" s="1759"/>
      <c r="V122" s="1759"/>
      <c r="W122" s="1759"/>
      <c r="X122" s="1759"/>
      <c r="Y122" s="1759"/>
      <c r="Z122" s="1759"/>
      <c r="AA122" s="1759"/>
      <c r="AB122" s="1759"/>
      <c r="AC122" s="1759"/>
      <c r="AD122" s="1759"/>
      <c r="AE122" s="1759"/>
      <c r="AF122" s="1759"/>
      <c r="AG122" s="1759"/>
      <c r="AH122" s="1759"/>
      <c r="AI122" s="1759"/>
      <c r="AJ122" s="1759"/>
      <c r="AK122" s="1759"/>
      <c r="AL122" s="1759"/>
      <c r="AM122" s="1759"/>
      <c r="AN122" s="1759"/>
      <c r="AO122" s="1759"/>
      <c r="AP122" s="1759"/>
      <c r="AQ122" s="1759"/>
      <c r="AR122" s="1759"/>
      <c r="AS122" s="1759"/>
      <c r="AT122" s="1759"/>
      <c r="AU122" s="1759"/>
      <c r="AV122" s="1759"/>
      <c r="AW122" s="1759"/>
      <c r="AX122" s="1759"/>
      <c r="AY122" s="1759"/>
      <c r="AZ122" s="1759"/>
      <c r="BA122" s="1759"/>
      <c r="BB122" s="1759"/>
      <c r="BC122" s="1759"/>
      <c r="BD122" s="1759"/>
      <c r="BE122" s="1759"/>
      <c r="BF122" s="1759"/>
      <c r="BG122" s="1056"/>
    </row>
    <row r="123" spans="1:59" ht="42" customHeight="1" x14ac:dyDescent="0.15">
      <c r="A123" s="1050"/>
      <c r="B123" s="1064"/>
      <c r="C123" s="1759" t="str">
        <f>+Nyilatkozatok!BX117</f>
        <v>– 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v>
      </c>
      <c r="D123" s="1759"/>
      <c r="E123" s="1759"/>
      <c r="F123" s="1759"/>
      <c r="G123" s="1759"/>
      <c r="H123" s="1759"/>
      <c r="I123" s="1759"/>
      <c r="J123" s="1759"/>
      <c r="K123" s="1759"/>
      <c r="L123" s="1759"/>
      <c r="M123" s="1759"/>
      <c r="N123" s="1759"/>
      <c r="O123" s="1759"/>
      <c r="P123" s="1759"/>
      <c r="Q123" s="1759"/>
      <c r="R123" s="1759"/>
      <c r="S123" s="1759"/>
      <c r="T123" s="1759"/>
      <c r="U123" s="1759"/>
      <c r="V123" s="1759"/>
      <c r="W123" s="1759"/>
      <c r="X123" s="1759"/>
      <c r="Y123" s="1759"/>
      <c r="Z123" s="1759"/>
      <c r="AA123" s="1759"/>
      <c r="AB123" s="1759"/>
      <c r="AC123" s="1759"/>
      <c r="AD123" s="1759"/>
      <c r="AE123" s="1759"/>
      <c r="AF123" s="1759"/>
      <c r="AG123" s="1759"/>
      <c r="AH123" s="1759"/>
      <c r="AI123" s="1759"/>
      <c r="AJ123" s="1759"/>
      <c r="AK123" s="1759"/>
      <c r="AL123" s="1759"/>
      <c r="AM123" s="1759"/>
      <c r="AN123" s="1759"/>
      <c r="AO123" s="1759"/>
      <c r="AP123" s="1759"/>
      <c r="AQ123" s="1759"/>
      <c r="AR123" s="1759"/>
      <c r="AS123" s="1759"/>
      <c r="AT123" s="1759"/>
      <c r="AU123" s="1759"/>
      <c r="AV123" s="1759"/>
      <c r="AW123" s="1759"/>
      <c r="AX123" s="1759"/>
      <c r="AY123" s="1759"/>
      <c r="AZ123" s="1759"/>
      <c r="BA123" s="1759"/>
      <c r="BB123" s="1759"/>
      <c r="BC123" s="1759"/>
      <c r="BD123" s="1759"/>
      <c r="BE123" s="1759"/>
      <c r="BF123" s="1759"/>
      <c r="BG123" s="1056"/>
    </row>
    <row r="124" spans="1:59" x14ac:dyDescent="0.15">
      <c r="A124" s="1050"/>
      <c r="B124" s="1064"/>
      <c r="C124" s="1759" t="str">
        <f>+Nyilatkozatok!BX118</f>
        <v>– a finanszírozást nem használom fel olyan feltétellel, amely az európai uniós jog megsértését eredményezi,</v>
      </c>
      <c r="D124" s="1759"/>
      <c r="E124" s="1759"/>
      <c r="F124" s="1759"/>
      <c r="G124" s="1759"/>
      <c r="H124" s="1759"/>
      <c r="I124" s="1759"/>
      <c r="J124" s="1759"/>
      <c r="K124" s="1759"/>
      <c r="L124" s="1759"/>
      <c r="M124" s="1759"/>
      <c r="N124" s="1759"/>
      <c r="O124" s="1759"/>
      <c r="P124" s="1759"/>
      <c r="Q124" s="1759"/>
      <c r="R124" s="1759"/>
      <c r="S124" s="1759"/>
      <c r="T124" s="1759"/>
      <c r="U124" s="1759"/>
      <c r="V124" s="1759"/>
      <c r="W124" s="1759"/>
      <c r="X124" s="1759"/>
      <c r="Y124" s="1759"/>
      <c r="Z124" s="1759"/>
      <c r="AA124" s="1759"/>
      <c r="AB124" s="1759"/>
      <c r="AC124" s="1759"/>
      <c r="AD124" s="1759"/>
      <c r="AE124" s="1759"/>
      <c r="AF124" s="1759"/>
      <c r="AG124" s="1759"/>
      <c r="AH124" s="1759"/>
      <c r="AI124" s="1759"/>
      <c r="AJ124" s="1759"/>
      <c r="AK124" s="1759"/>
      <c r="AL124" s="1759"/>
      <c r="AM124" s="1759"/>
      <c r="AN124" s="1759"/>
      <c r="AO124" s="1759"/>
      <c r="AP124" s="1759"/>
      <c r="AQ124" s="1759"/>
      <c r="AR124" s="1759"/>
      <c r="AS124" s="1759"/>
      <c r="AT124" s="1759"/>
      <c r="AU124" s="1759"/>
      <c r="AV124" s="1759"/>
      <c r="AW124" s="1759"/>
      <c r="AX124" s="1759"/>
      <c r="AY124" s="1759"/>
      <c r="AZ124" s="1759"/>
      <c r="BA124" s="1759"/>
      <c r="BB124" s="1759"/>
      <c r="BC124" s="1759"/>
      <c r="BD124" s="1759"/>
      <c r="BE124" s="1759"/>
      <c r="BF124" s="1759"/>
      <c r="BG124" s="1056"/>
    </row>
    <row r="125" spans="1:59" x14ac:dyDescent="0.15">
      <c r="A125" s="1050"/>
      <c r="B125" s="1064"/>
      <c r="C125" s="1759" t="str">
        <f>+Nyilatkozatok!BX119</f>
        <v xml:space="preserve">–  a finanszírozást nem használom fel exporttal kapcsolatos tevékenység finanszírozására </v>
      </c>
      <c r="D125" s="1759"/>
      <c r="E125" s="1759"/>
      <c r="F125" s="1759"/>
      <c r="G125" s="1759"/>
      <c r="H125" s="1759"/>
      <c r="I125" s="1759"/>
      <c r="J125" s="1759"/>
      <c r="K125" s="1759"/>
      <c r="L125" s="1759"/>
      <c r="M125" s="1759"/>
      <c r="N125" s="1759"/>
      <c r="O125" s="1759"/>
      <c r="P125" s="1759"/>
      <c r="Q125" s="1759"/>
      <c r="R125" s="1759"/>
      <c r="S125" s="1759"/>
      <c r="T125" s="1759"/>
      <c r="U125" s="1759"/>
      <c r="V125" s="1759"/>
      <c r="W125" s="1759"/>
      <c r="X125" s="1759"/>
      <c r="Y125" s="1759"/>
      <c r="Z125" s="1759"/>
      <c r="AA125" s="1759"/>
      <c r="AB125" s="1759"/>
      <c r="AC125" s="1759"/>
      <c r="AD125" s="1759"/>
      <c r="AE125" s="1759"/>
      <c r="AF125" s="1759"/>
      <c r="AG125" s="1759"/>
      <c r="AH125" s="1759"/>
      <c r="AI125" s="1759"/>
      <c r="AJ125" s="1759"/>
      <c r="AK125" s="1759"/>
      <c r="AL125" s="1759"/>
      <c r="AM125" s="1759"/>
      <c r="AN125" s="1759"/>
      <c r="AO125" s="1759"/>
      <c r="AP125" s="1759"/>
      <c r="AQ125" s="1759"/>
      <c r="AR125" s="1759"/>
      <c r="AS125" s="1759"/>
      <c r="AT125" s="1759"/>
      <c r="AU125" s="1759"/>
      <c r="AV125" s="1759"/>
      <c r="AW125" s="1759"/>
      <c r="AX125" s="1759"/>
      <c r="AY125" s="1759"/>
      <c r="AZ125" s="1759"/>
      <c r="BA125" s="1759"/>
      <c r="BB125" s="1759"/>
      <c r="BC125" s="1759"/>
      <c r="BD125" s="1759"/>
      <c r="BE125" s="1759"/>
      <c r="BF125" s="1759"/>
      <c r="BG125" s="1056"/>
    </row>
    <row r="126" spans="1:59" x14ac:dyDescent="0.15">
      <c r="A126" s="1050"/>
      <c r="B126" s="1064"/>
      <c r="C126" s="1759" t="str">
        <f>+Nyilatkozatok!BX120</f>
        <v>– a finanszírozást nem használom fel az 1379/2013/EU rendelet  szerinti halászati és akvakultúra ágazattal kapcsolatos tevékenység finanszírozására,</v>
      </c>
      <c r="D126" s="1759"/>
      <c r="E126" s="1759"/>
      <c r="F126" s="1759"/>
      <c r="G126" s="1759"/>
      <c r="H126" s="1759"/>
      <c r="I126" s="1759"/>
      <c r="J126" s="1759"/>
      <c r="K126" s="1759"/>
      <c r="L126" s="1759"/>
      <c r="M126" s="1759"/>
      <c r="N126" s="1759"/>
      <c r="O126" s="1759"/>
      <c r="P126" s="1759"/>
      <c r="Q126" s="1759"/>
      <c r="R126" s="1759"/>
      <c r="S126" s="1759"/>
      <c r="T126" s="1759"/>
      <c r="U126" s="1759"/>
      <c r="V126" s="1759"/>
      <c r="W126" s="1759"/>
      <c r="X126" s="1759"/>
      <c r="Y126" s="1759"/>
      <c r="Z126" s="1759"/>
      <c r="AA126" s="1759"/>
      <c r="AB126" s="1759"/>
      <c r="AC126" s="1759"/>
      <c r="AD126" s="1759"/>
      <c r="AE126" s="1759"/>
      <c r="AF126" s="1759"/>
      <c r="AG126" s="1759"/>
      <c r="AH126" s="1759"/>
      <c r="AI126" s="1759"/>
      <c r="AJ126" s="1759"/>
      <c r="AK126" s="1759"/>
      <c r="AL126" s="1759"/>
      <c r="AM126" s="1759"/>
      <c r="AN126" s="1759"/>
      <c r="AO126" s="1759"/>
      <c r="AP126" s="1759"/>
      <c r="AQ126" s="1759"/>
      <c r="AR126" s="1759"/>
      <c r="AS126" s="1759"/>
      <c r="AT126" s="1759"/>
      <c r="AU126" s="1759"/>
      <c r="AV126" s="1759"/>
      <c r="AW126" s="1759"/>
      <c r="AX126" s="1759"/>
      <c r="AY126" s="1759"/>
      <c r="AZ126" s="1759"/>
      <c r="BA126" s="1759"/>
      <c r="BB126" s="1759"/>
      <c r="BC126" s="1759"/>
      <c r="BD126" s="1759"/>
      <c r="BE126" s="1759"/>
      <c r="BF126" s="1759"/>
      <c r="BG126" s="1056"/>
    </row>
    <row r="127" spans="1:59" x14ac:dyDescent="0.15">
      <c r="A127" s="1050"/>
      <c r="B127" s="1064"/>
      <c r="C127" s="1759" t="str">
        <f>+Nyilatkozatok!BX121</f>
        <v>–  a finanszírozást nem használom fel mezőgazdasági termékek elsődleges termelésével kapcsolatos tevékenység finanszírozására,</v>
      </c>
      <c r="D127" s="1759"/>
      <c r="E127" s="1759"/>
      <c r="F127" s="1759"/>
      <c r="G127" s="1759"/>
      <c r="H127" s="1759"/>
      <c r="I127" s="1759"/>
      <c r="J127" s="1759"/>
      <c r="K127" s="1759"/>
      <c r="L127" s="1759"/>
      <c r="M127" s="1759"/>
      <c r="N127" s="1759"/>
      <c r="O127" s="1759"/>
      <c r="P127" s="1759"/>
      <c r="Q127" s="1759"/>
      <c r="R127" s="1759"/>
      <c r="S127" s="1759"/>
      <c r="T127" s="1759"/>
      <c r="U127" s="1759"/>
      <c r="V127" s="1759"/>
      <c r="W127" s="1759"/>
      <c r="X127" s="1759"/>
      <c r="Y127" s="1759"/>
      <c r="Z127" s="1759"/>
      <c r="AA127" s="1759"/>
      <c r="AB127" s="1759"/>
      <c r="AC127" s="1759"/>
      <c r="AD127" s="1759"/>
      <c r="AE127" s="1759"/>
      <c r="AF127" s="1759"/>
      <c r="AG127" s="1759"/>
      <c r="AH127" s="1759"/>
      <c r="AI127" s="1759"/>
      <c r="AJ127" s="1759"/>
      <c r="AK127" s="1759"/>
      <c r="AL127" s="1759"/>
      <c r="AM127" s="1759"/>
      <c r="AN127" s="1759"/>
      <c r="AO127" s="1759"/>
      <c r="AP127" s="1759"/>
      <c r="AQ127" s="1759"/>
      <c r="AR127" s="1759"/>
      <c r="AS127" s="1759"/>
      <c r="AT127" s="1759"/>
      <c r="AU127" s="1759"/>
      <c r="AV127" s="1759"/>
      <c r="AW127" s="1759"/>
      <c r="AX127" s="1759"/>
      <c r="AY127" s="1759"/>
      <c r="AZ127" s="1759"/>
      <c r="BA127" s="1759"/>
      <c r="BB127" s="1759"/>
      <c r="BC127" s="1759"/>
      <c r="BD127" s="1759"/>
      <c r="BE127" s="1759"/>
      <c r="BF127" s="1759"/>
      <c r="BG127" s="1056"/>
    </row>
    <row r="128" spans="1:59" ht="42" customHeight="1" x14ac:dyDescent="0.15">
      <c r="A128" s="1050"/>
      <c r="B128" s="1064"/>
      <c r="C128" s="1759" t="str">
        <f>+Nyilatkozatok!BX122</f>
        <v>–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v>
      </c>
      <c r="D128" s="1759"/>
      <c r="E128" s="1759"/>
      <c r="F128" s="1759"/>
      <c r="G128" s="1759"/>
      <c r="H128" s="1759"/>
      <c r="I128" s="1759"/>
      <c r="J128" s="1759"/>
      <c r="K128" s="1759"/>
      <c r="L128" s="1759"/>
      <c r="M128" s="1759"/>
      <c r="N128" s="1759"/>
      <c r="O128" s="1759"/>
      <c r="P128" s="1759"/>
      <c r="Q128" s="1759"/>
      <c r="R128" s="1759"/>
      <c r="S128" s="1759"/>
      <c r="T128" s="1759"/>
      <c r="U128" s="1759"/>
      <c r="V128" s="1759"/>
      <c r="W128" s="1759"/>
      <c r="X128" s="1759"/>
      <c r="Y128" s="1759"/>
      <c r="Z128" s="1759"/>
      <c r="AA128" s="1759"/>
      <c r="AB128" s="1759"/>
      <c r="AC128" s="1759"/>
      <c r="AD128" s="1759"/>
      <c r="AE128" s="1759"/>
      <c r="AF128" s="1759"/>
      <c r="AG128" s="1759"/>
      <c r="AH128" s="1759"/>
      <c r="AI128" s="1759"/>
      <c r="AJ128" s="1759"/>
      <c r="AK128" s="1759"/>
      <c r="AL128" s="1759"/>
      <c r="AM128" s="1759"/>
      <c r="AN128" s="1759"/>
      <c r="AO128" s="1759"/>
      <c r="AP128" s="1759"/>
      <c r="AQ128" s="1759"/>
      <c r="AR128" s="1759"/>
      <c r="AS128" s="1759"/>
      <c r="AT128" s="1759"/>
      <c r="AU128" s="1759"/>
      <c r="AV128" s="1759"/>
      <c r="AW128" s="1759"/>
      <c r="AX128" s="1759"/>
      <c r="AY128" s="1759"/>
      <c r="AZ128" s="1759"/>
      <c r="BA128" s="1759"/>
      <c r="BB128" s="1759"/>
      <c r="BC128" s="1759"/>
      <c r="BD128" s="1759"/>
      <c r="BE128" s="1759"/>
      <c r="BF128" s="1759"/>
      <c r="BG128" s="1056"/>
    </row>
    <row r="129" spans="1:59" x14ac:dyDescent="0.15">
      <c r="A129" s="1050"/>
      <c r="B129" s="1064"/>
      <c r="C129" s="1759" t="str">
        <f>+Nyilatkozatok!BX123</f>
        <v>Kijelentem, hogy:</v>
      </c>
      <c r="D129" s="1759"/>
      <c r="E129" s="1759"/>
      <c r="F129" s="1759"/>
      <c r="G129" s="1759"/>
      <c r="H129" s="1759"/>
      <c r="I129" s="1759"/>
      <c r="J129" s="1759"/>
      <c r="K129" s="1759"/>
      <c r="L129" s="1759"/>
      <c r="M129" s="1759"/>
      <c r="N129" s="1759"/>
      <c r="O129" s="1759"/>
      <c r="P129" s="1759"/>
      <c r="Q129" s="1759"/>
      <c r="R129" s="1759"/>
      <c r="S129" s="1759"/>
      <c r="T129" s="1759"/>
      <c r="U129" s="1759"/>
      <c r="V129" s="1759"/>
      <c r="W129" s="1759"/>
      <c r="X129" s="1759"/>
      <c r="Y129" s="1759"/>
      <c r="Z129" s="1759"/>
      <c r="AA129" s="1759"/>
      <c r="AB129" s="1759"/>
      <c r="AC129" s="1759"/>
      <c r="AD129" s="1759"/>
      <c r="AE129" s="1759"/>
      <c r="AF129" s="1759"/>
      <c r="AG129" s="1759"/>
      <c r="AH129" s="1759"/>
      <c r="AI129" s="1759"/>
      <c r="AJ129" s="1759"/>
      <c r="AK129" s="1759"/>
      <c r="AL129" s="1759"/>
      <c r="AM129" s="1759"/>
      <c r="AN129" s="1759"/>
      <c r="AO129" s="1759"/>
      <c r="AP129" s="1759"/>
      <c r="AQ129" s="1759"/>
      <c r="AR129" s="1759"/>
      <c r="AS129" s="1759"/>
      <c r="AT129" s="1759"/>
      <c r="AU129" s="1759"/>
      <c r="AV129" s="1759"/>
      <c r="AW129" s="1759"/>
      <c r="AX129" s="1759"/>
      <c r="AY129" s="1759"/>
      <c r="AZ129" s="1759"/>
      <c r="BA129" s="1759"/>
      <c r="BB129" s="1759"/>
      <c r="BC129" s="1759"/>
      <c r="BD129" s="1759"/>
      <c r="BE129" s="1759"/>
      <c r="BF129" s="1759"/>
      <c r="BG129" s="1056"/>
    </row>
    <row r="130" spans="1:59" ht="43.5" customHeight="1" x14ac:dyDescent="0.15">
      <c r="A130" s="1050"/>
      <c r="B130" s="1064"/>
      <c r="C130" s="1759" t="str">
        <f>+Nyilatkozatok!BX124</f>
        <v>– acélipari tevékenység; hajógyártási tevékenység; szénipari tevékenység; szintetikusszál-ipari tevékenység; ellenszolgáltatásért végzett légi, közúti, vasúti és belvízi úton történő személy- vagy áruszállítási szolgáltatás nyújtsáa, vagy a kapcsolódó infrastruktúra kialakítása; energiatermelési, energiaelosztási tevékenységhez és energetikai célú infrastruktúra létrehozását szolgáló beruházás.</v>
      </c>
      <c r="D130" s="1759"/>
      <c r="E130" s="1759"/>
      <c r="F130" s="1759"/>
      <c r="G130" s="1759"/>
      <c r="H130" s="1759"/>
      <c r="I130" s="1759"/>
      <c r="J130" s="1759"/>
      <c r="K130" s="1759"/>
      <c r="L130" s="1759"/>
      <c r="M130" s="1759"/>
      <c r="N130" s="1759"/>
      <c r="O130" s="1759"/>
      <c r="P130" s="1759"/>
      <c r="Q130" s="1759"/>
      <c r="R130" s="1759"/>
      <c r="S130" s="1759"/>
      <c r="T130" s="1759"/>
      <c r="U130" s="1759"/>
      <c r="V130" s="1759"/>
      <c r="W130" s="1759"/>
      <c r="X130" s="1759"/>
      <c r="Y130" s="1759"/>
      <c r="Z130" s="1759"/>
      <c r="AA130" s="1759"/>
      <c r="AB130" s="1759"/>
      <c r="AC130" s="1759"/>
      <c r="AD130" s="1759"/>
      <c r="AE130" s="1759"/>
      <c r="AF130" s="1759"/>
      <c r="AG130" s="1759"/>
      <c r="AH130" s="1759"/>
      <c r="AI130" s="1759"/>
      <c r="AJ130" s="1759"/>
      <c r="AK130" s="1759"/>
      <c r="AL130" s="1759"/>
      <c r="AM130" s="1759"/>
      <c r="AN130" s="1759"/>
      <c r="AO130" s="1759"/>
      <c r="AP130" s="1759"/>
      <c r="AQ130" s="1759"/>
      <c r="AR130" s="1759"/>
      <c r="AS130" s="1759"/>
      <c r="AT130" s="1759"/>
      <c r="AU130" s="1759"/>
      <c r="AV130" s="1759"/>
      <c r="AW130" s="1759"/>
      <c r="AX130" s="1759"/>
      <c r="AY130" s="1759"/>
      <c r="AZ130" s="1759"/>
      <c r="BA130" s="1759"/>
      <c r="BB130" s="1759"/>
      <c r="BC130" s="1759"/>
      <c r="BD130" s="1759"/>
      <c r="BE130" s="1759"/>
      <c r="BF130" s="1759"/>
      <c r="BG130" s="1056"/>
    </row>
    <row r="131" spans="1:59" ht="90" customHeight="1" x14ac:dyDescent="0.15">
      <c r="A131" s="1050"/>
      <c r="B131" s="1064"/>
      <c r="C131" s="1759" t="str">
        <f>+Nyilatkozatok!BX125</f>
        <v>– a tervezett beruházás olyan induló beruházásnak minősül, amelyet a 37/2011. (III. 22.) Korm. rendelet (a továbbiakban: Atr.) 25. § (1) bekezdés a)-d) pontja szerinti régióban kis- és középvállalkozás valósít meg.
Induló beruházás az a tárgyi eszközök vagy immateriális javak beszerzésére irányuló beruházás, amely új létesítmény létrehozatalát, meglévő létesítmény kapacitásának bővítését, létesítmény termékkínálatának a létesítményben addig nem gyártott termékekkel történő bővítését vagy egy meglévő létesítmény teljes termelési folyamatának alapvető megváltoztatását eredményezi, valamint a részesedésszerzés kivételével olyan létesítmény eszközeinek az eladótól független harmadik fél beruházó általi felvásárlása, amely létesítmény bezárásra került vagy bezárásra került volna.</v>
      </c>
      <c r="D131" s="1759"/>
      <c r="E131" s="1759"/>
      <c r="F131" s="1759"/>
      <c r="G131" s="1759"/>
      <c r="H131" s="1759"/>
      <c r="I131" s="1759"/>
      <c r="J131" s="1759"/>
      <c r="K131" s="1759"/>
      <c r="L131" s="1759"/>
      <c r="M131" s="1759"/>
      <c r="N131" s="1759"/>
      <c r="O131" s="1759"/>
      <c r="P131" s="1759"/>
      <c r="Q131" s="1759"/>
      <c r="R131" s="1759"/>
      <c r="S131" s="1759"/>
      <c r="T131" s="1759"/>
      <c r="U131" s="1759"/>
      <c r="V131" s="1759"/>
      <c r="W131" s="1759"/>
      <c r="X131" s="1759"/>
      <c r="Y131" s="1759"/>
      <c r="Z131" s="1759"/>
      <c r="AA131" s="1759"/>
      <c r="AB131" s="1759"/>
      <c r="AC131" s="1759"/>
      <c r="AD131" s="1759"/>
      <c r="AE131" s="1759"/>
      <c r="AF131" s="1759"/>
      <c r="AG131" s="1759"/>
      <c r="AH131" s="1759"/>
      <c r="AI131" s="1759"/>
      <c r="AJ131" s="1759"/>
      <c r="AK131" s="1759"/>
      <c r="AL131" s="1759"/>
      <c r="AM131" s="1759"/>
      <c r="AN131" s="1759"/>
      <c r="AO131" s="1759"/>
      <c r="AP131" s="1759"/>
      <c r="AQ131" s="1759"/>
      <c r="AR131" s="1759"/>
      <c r="AS131" s="1759"/>
      <c r="AT131" s="1759"/>
      <c r="AU131" s="1759"/>
      <c r="AV131" s="1759"/>
      <c r="AW131" s="1759"/>
      <c r="AX131" s="1759"/>
      <c r="AY131" s="1759"/>
      <c r="AZ131" s="1759"/>
      <c r="BA131" s="1759"/>
      <c r="BB131" s="1759"/>
      <c r="BC131" s="1759"/>
      <c r="BD131" s="1759"/>
      <c r="BE131" s="1759"/>
      <c r="BF131" s="1759"/>
      <c r="BG131" s="1056"/>
    </row>
    <row r="132" spans="1:59" ht="33" customHeight="1" x14ac:dyDescent="0.15">
      <c r="A132" s="1050"/>
      <c r="B132" s="1064"/>
      <c r="C132" s="1759" t="str">
        <f>+Nyilatkozatok!BX126</f>
        <v>– az elszámolható költségek összege meghaladja az alapvetően megváltoztatandó eredeti termelési folyamathoz kapcsolódó eszközökre a kérelem benyújtásának adóévét megelőző három adóévben elszámolt terv szerinti értékcsökkenés összegét (a termelési folyamat alapvető megváltozását eredményező beruházás esetén)</v>
      </c>
      <c r="D132" s="1759"/>
      <c r="E132" s="1759"/>
      <c r="F132" s="1759"/>
      <c r="G132" s="1759"/>
      <c r="H132" s="1759"/>
      <c r="I132" s="1759"/>
      <c r="J132" s="1759"/>
      <c r="K132" s="1759"/>
      <c r="L132" s="1759"/>
      <c r="M132" s="1759"/>
      <c r="N132" s="1759"/>
      <c r="O132" s="1759"/>
      <c r="P132" s="1759"/>
      <c r="Q132" s="1759"/>
      <c r="R132" s="1759"/>
      <c r="S132" s="1759"/>
      <c r="T132" s="1759"/>
      <c r="U132" s="1759"/>
      <c r="V132" s="1759"/>
      <c r="W132" s="1759"/>
      <c r="X132" s="1759"/>
      <c r="Y132" s="1759"/>
      <c r="Z132" s="1759"/>
      <c r="AA132" s="1759"/>
      <c r="AB132" s="1759"/>
      <c r="AC132" s="1759"/>
      <c r="AD132" s="1759"/>
      <c r="AE132" s="1759"/>
      <c r="AF132" s="1759"/>
      <c r="AG132" s="1759"/>
      <c r="AH132" s="1759"/>
      <c r="AI132" s="1759"/>
      <c r="AJ132" s="1759"/>
      <c r="AK132" s="1759"/>
      <c r="AL132" s="1759"/>
      <c r="AM132" s="1759"/>
      <c r="AN132" s="1759"/>
      <c r="AO132" s="1759"/>
      <c r="AP132" s="1759"/>
      <c r="AQ132" s="1759"/>
      <c r="AR132" s="1759"/>
      <c r="AS132" s="1759"/>
      <c r="AT132" s="1759"/>
      <c r="AU132" s="1759"/>
      <c r="AV132" s="1759"/>
      <c r="AW132" s="1759"/>
      <c r="AX132" s="1759"/>
      <c r="AY132" s="1759"/>
      <c r="AZ132" s="1759"/>
      <c r="BA132" s="1759"/>
      <c r="BB132" s="1759"/>
      <c r="BC132" s="1759"/>
      <c r="BD132" s="1759"/>
      <c r="BE132" s="1759"/>
      <c r="BF132" s="1759"/>
      <c r="BG132" s="1056"/>
    </row>
    <row r="133" spans="1:59" ht="43.5" customHeight="1" x14ac:dyDescent="0.15">
      <c r="A133" s="1050"/>
      <c r="B133" s="1064"/>
      <c r="C133" s="1759" t="str">
        <f>+Nyilatkozatok!BX127</f>
        <v>– meglévő létesítmény termékkínálatának a létesítményben addig nem gyártott termékkel történő bővítését eredményező induló beruházás esetén az elszámolható költségek legalább 200%-kal meghaladják az eredeti tevékenység keretében használt és az új tevékenység keretében is használni tervezett tárgyi eszközöknek és immateriális javaknak a beruházás megkezdése előtti adóévben nyilvántartott könyv szerinti értékét.</v>
      </c>
      <c r="D133" s="1759"/>
      <c r="E133" s="1759"/>
      <c r="F133" s="1759"/>
      <c r="G133" s="1759"/>
      <c r="H133" s="1759"/>
      <c r="I133" s="1759"/>
      <c r="J133" s="1759"/>
      <c r="K133" s="1759"/>
      <c r="L133" s="1759"/>
      <c r="M133" s="1759"/>
      <c r="N133" s="1759"/>
      <c r="O133" s="1759"/>
      <c r="P133" s="1759"/>
      <c r="Q133" s="1759"/>
      <c r="R133" s="1759"/>
      <c r="S133" s="1759"/>
      <c r="T133" s="1759"/>
      <c r="U133" s="1759"/>
      <c r="V133" s="1759"/>
      <c r="W133" s="1759"/>
      <c r="X133" s="1759"/>
      <c r="Y133" s="1759"/>
      <c r="Z133" s="1759"/>
      <c r="AA133" s="1759"/>
      <c r="AB133" s="1759"/>
      <c r="AC133" s="1759"/>
      <c r="AD133" s="1759"/>
      <c r="AE133" s="1759"/>
      <c r="AF133" s="1759"/>
      <c r="AG133" s="1759"/>
      <c r="AH133" s="1759"/>
      <c r="AI133" s="1759"/>
      <c r="AJ133" s="1759"/>
      <c r="AK133" s="1759"/>
      <c r="AL133" s="1759"/>
      <c r="AM133" s="1759"/>
      <c r="AN133" s="1759"/>
      <c r="AO133" s="1759"/>
      <c r="AP133" s="1759"/>
      <c r="AQ133" s="1759"/>
      <c r="AR133" s="1759"/>
      <c r="AS133" s="1759"/>
      <c r="AT133" s="1759"/>
      <c r="AU133" s="1759"/>
      <c r="AV133" s="1759"/>
      <c r="AW133" s="1759"/>
      <c r="AX133" s="1759"/>
      <c r="AY133" s="1759"/>
      <c r="AZ133" s="1759"/>
      <c r="BA133" s="1759"/>
      <c r="BB133" s="1759"/>
      <c r="BC133" s="1759"/>
      <c r="BD133" s="1759"/>
      <c r="BE133" s="1759"/>
      <c r="BF133" s="1759"/>
      <c r="BG133" s="1056"/>
    </row>
    <row r="134" spans="1:59" ht="37.5" customHeight="1" x14ac:dyDescent="0.15">
      <c r="A134" s="1050"/>
      <c r="B134" s="1064"/>
      <c r="C134" s="1759" t="str">
        <f>+Nyilatkozatok!BX128</f>
        <v>– Kötelezettséget vállalok arra, hogy a beruházással létrehozott tevékenységet az üzembe helyezés időpontjától számított legalább három évig fenntartom.</v>
      </c>
      <c r="D134" s="1759"/>
      <c r="E134" s="1759"/>
      <c r="F134" s="1759"/>
      <c r="G134" s="1759"/>
      <c r="H134" s="1759"/>
      <c r="I134" s="1759"/>
      <c r="J134" s="1759"/>
      <c r="K134" s="1759"/>
      <c r="L134" s="1759"/>
      <c r="M134" s="1759"/>
      <c r="N134" s="1759"/>
      <c r="O134" s="1759"/>
      <c r="P134" s="1759"/>
      <c r="Q134" s="1759"/>
      <c r="R134" s="1759"/>
      <c r="S134" s="1759"/>
      <c r="T134" s="1759"/>
      <c r="U134" s="1759"/>
      <c r="V134" s="1759"/>
      <c r="W134" s="1759"/>
      <c r="X134" s="1759"/>
      <c r="Y134" s="1759"/>
      <c r="Z134" s="1759"/>
      <c r="AA134" s="1759"/>
      <c r="AB134" s="1759"/>
      <c r="AC134" s="1759"/>
      <c r="AD134" s="1759"/>
      <c r="AE134" s="1759"/>
      <c r="AF134" s="1759"/>
      <c r="AG134" s="1759"/>
      <c r="AH134" s="1759"/>
      <c r="AI134" s="1759"/>
      <c r="AJ134" s="1759"/>
      <c r="AK134" s="1759"/>
      <c r="AL134" s="1759"/>
      <c r="AM134" s="1759"/>
      <c r="AN134" s="1759"/>
      <c r="AO134" s="1759"/>
      <c r="AP134" s="1759"/>
      <c r="AQ134" s="1759"/>
      <c r="AR134" s="1759"/>
      <c r="AS134" s="1759"/>
      <c r="AT134" s="1759"/>
      <c r="AU134" s="1759"/>
      <c r="AV134" s="1759"/>
      <c r="AW134" s="1759"/>
      <c r="AX134" s="1759"/>
      <c r="AY134" s="1759"/>
      <c r="AZ134" s="1759"/>
      <c r="BA134" s="1759"/>
      <c r="BB134" s="1759"/>
      <c r="BC134" s="1759"/>
      <c r="BD134" s="1759"/>
      <c r="BE134" s="1759"/>
      <c r="BF134" s="1759"/>
      <c r="BG134" s="1056"/>
    </row>
    <row r="135" spans="1:59" ht="175.5" customHeight="1" x14ac:dyDescent="0.15">
      <c r="A135" s="1050"/>
      <c r="B135" s="1064"/>
      <c r="C135" s="1759" t="str">
        <f>+Nyilatkozatok!BX129</f>
        <v xml:space="preserve">–a finanszírozási kérelem benyújtását megelőző két évben nem valósítottam meg áttelepítést abba a létesítménybe, amelyben a finanszírozási kérelem tárgyát képező induló beruházást meg kívánom valósítani. Továbbá vállalom, hogy a finanszírozási kérelem tárgyát képező induló beruházás befejezését követően két évig nem kerül sor áttelepítésre abba a létesítménybe, amelyben a finanszírozási kérelem tárgyát képező induló beruházást meg kívánom valósítani.
Áttelepítésnek minősül, ha
a) a támogatási kérelmet benyújtó kedvezményezett vagy a kérelmet benyújtó kedvezményezettel egy vállalatcsoportba tartozó vállalkozás azonos vagy hasonló tevékenységet vagy annak egy részét az Európai Gazdasági Térségről szóló megállapodás (EGT megállapodás) egyik szerződő felének területén található létesítményből (eredeti létesítmény) az EGT megállapodás egy másik szerződő felének területén található azon létesítménybe helyezi át, ahol a támogatott beruházásra sor kerül (támogatott létesítmény),
b) az eredeti, valamint a támogatott létesítményben előállított termék vagy nyújtott szolgáltatás legalább részben ugyanazokat a célokat szolgálja és ugyanazon fogyasztói típus keresletét vagy igényeit elégíti ki, és
c) a finanszírozási kérelmet benyújtó kedvezményezett vagy a kérelmet benyújtó kedvezményezettel egy vállalatcsoportba tartozó vállalkozás valamely az EGT-n belüli eredeti létesítményében folytatott azonos vagy hasonló tevékenység körében munkahelyek szűnnek meg.
</v>
      </c>
      <c r="D135" s="1759"/>
      <c r="E135" s="1759"/>
      <c r="F135" s="1759"/>
      <c r="G135" s="1759"/>
      <c r="H135" s="1759"/>
      <c r="I135" s="1759"/>
      <c r="J135" s="1759"/>
      <c r="K135" s="1759"/>
      <c r="L135" s="1759"/>
      <c r="M135" s="1759"/>
      <c r="N135" s="1759"/>
      <c r="O135" s="1759"/>
      <c r="P135" s="1759"/>
      <c r="Q135" s="1759"/>
      <c r="R135" s="1759"/>
      <c r="S135" s="1759"/>
      <c r="T135" s="1759"/>
      <c r="U135" s="1759"/>
      <c r="V135" s="1759"/>
      <c r="W135" s="1759"/>
      <c r="X135" s="1759"/>
      <c r="Y135" s="1759"/>
      <c r="Z135" s="1759"/>
      <c r="AA135" s="1759"/>
      <c r="AB135" s="1759"/>
      <c r="AC135" s="1759"/>
      <c r="AD135" s="1759"/>
      <c r="AE135" s="1759"/>
      <c r="AF135" s="1759"/>
      <c r="AG135" s="1759"/>
      <c r="AH135" s="1759"/>
      <c r="AI135" s="1759"/>
      <c r="AJ135" s="1759"/>
      <c r="AK135" s="1759"/>
      <c r="AL135" s="1759"/>
      <c r="AM135" s="1759"/>
      <c r="AN135" s="1759"/>
      <c r="AO135" s="1759"/>
      <c r="AP135" s="1759"/>
      <c r="AQ135" s="1759"/>
      <c r="AR135" s="1759"/>
      <c r="AS135" s="1759"/>
      <c r="AT135" s="1759"/>
      <c r="AU135" s="1759"/>
      <c r="AV135" s="1759"/>
      <c r="AW135" s="1759"/>
      <c r="AX135" s="1759"/>
      <c r="AY135" s="1759"/>
      <c r="AZ135" s="1759"/>
      <c r="BA135" s="1759"/>
      <c r="BB135" s="1759"/>
      <c r="BC135" s="1759"/>
      <c r="BD135" s="1759"/>
      <c r="BE135" s="1759"/>
      <c r="BF135" s="1759"/>
      <c r="BG135" s="1056"/>
    </row>
    <row r="136" spans="1:59" x14ac:dyDescent="0.15">
      <c r="A136" s="1050"/>
      <c r="B136" s="1064"/>
      <c r="C136" s="1759" t="str">
        <f>+Nyilatkozatok!BX130</f>
        <v>Tudomásul veszem, hogy:</v>
      </c>
      <c r="D136" s="1759"/>
      <c r="E136" s="1759"/>
      <c r="F136" s="1759"/>
      <c r="G136" s="1759"/>
      <c r="H136" s="1759"/>
      <c r="I136" s="1759"/>
      <c r="J136" s="1759"/>
      <c r="K136" s="1759"/>
      <c r="L136" s="1759"/>
      <c r="M136" s="1759"/>
      <c r="N136" s="1759"/>
      <c r="O136" s="1759"/>
      <c r="P136" s="1759"/>
      <c r="Q136" s="1759"/>
      <c r="R136" s="1759"/>
      <c r="S136" s="1759"/>
      <c r="T136" s="1759"/>
      <c r="U136" s="1759"/>
      <c r="V136" s="1759"/>
      <c r="W136" s="1759"/>
      <c r="X136" s="1759"/>
      <c r="Y136" s="1759"/>
      <c r="Z136" s="1759"/>
      <c r="AA136" s="1759"/>
      <c r="AB136" s="1759"/>
      <c r="AC136" s="1759"/>
      <c r="AD136" s="1759"/>
      <c r="AE136" s="1759"/>
      <c r="AF136" s="1759"/>
      <c r="AG136" s="1759"/>
      <c r="AH136" s="1759"/>
      <c r="AI136" s="1759"/>
      <c r="AJ136" s="1759"/>
      <c r="AK136" s="1759"/>
      <c r="AL136" s="1759"/>
      <c r="AM136" s="1759"/>
      <c r="AN136" s="1759"/>
      <c r="AO136" s="1759"/>
      <c r="AP136" s="1759"/>
      <c r="AQ136" s="1759"/>
      <c r="AR136" s="1759"/>
      <c r="AS136" s="1759"/>
      <c r="AT136" s="1759"/>
      <c r="AU136" s="1759"/>
      <c r="AV136" s="1759"/>
      <c r="AW136" s="1759"/>
      <c r="AX136" s="1759"/>
      <c r="AY136" s="1759"/>
      <c r="AZ136" s="1759"/>
      <c r="BA136" s="1759"/>
      <c r="BB136" s="1759"/>
      <c r="BC136" s="1759"/>
      <c r="BD136" s="1759"/>
      <c r="BE136" s="1759"/>
      <c r="BF136" s="1759"/>
      <c r="BG136" s="1056"/>
    </row>
    <row r="137" spans="1:59" ht="30" customHeight="1" x14ac:dyDescent="0.15">
      <c r="A137" s="1050"/>
      <c r="B137" s="1064"/>
      <c r="C137" s="1759" t="str">
        <f>+Nyilatkozatok!BX131</f>
        <v>– A tárgyi eszközök bérléséhez kapcsolódó költségek a következő feltételek mellett vehetők figyelembe: földterület, illetve épület esetében a bérleti viszonynak a beruházási projekt várható befejezési időpontját követően három évig fenn kell állnia</v>
      </c>
      <c r="D137" s="1759"/>
      <c r="E137" s="1759"/>
      <c r="F137" s="1759"/>
      <c r="G137" s="1759"/>
      <c r="H137" s="1759"/>
      <c r="I137" s="1759"/>
      <c r="J137" s="1759"/>
      <c r="K137" s="1759"/>
      <c r="L137" s="1759"/>
      <c r="M137" s="1759"/>
      <c r="N137" s="1759"/>
      <c r="O137" s="1759"/>
      <c r="P137" s="1759"/>
      <c r="Q137" s="1759"/>
      <c r="R137" s="1759"/>
      <c r="S137" s="1759"/>
      <c r="T137" s="1759"/>
      <c r="U137" s="1759"/>
      <c r="V137" s="1759"/>
      <c r="W137" s="1759"/>
      <c r="X137" s="1759"/>
      <c r="Y137" s="1759"/>
      <c r="Z137" s="1759"/>
      <c r="AA137" s="1759"/>
      <c r="AB137" s="1759"/>
      <c r="AC137" s="1759"/>
      <c r="AD137" s="1759"/>
      <c r="AE137" s="1759"/>
      <c r="AF137" s="1759"/>
      <c r="AG137" s="1759"/>
      <c r="AH137" s="1759"/>
      <c r="AI137" s="1759"/>
      <c r="AJ137" s="1759"/>
      <c r="AK137" s="1759"/>
      <c r="AL137" s="1759"/>
      <c r="AM137" s="1759"/>
      <c r="AN137" s="1759"/>
      <c r="AO137" s="1759"/>
      <c r="AP137" s="1759"/>
      <c r="AQ137" s="1759"/>
      <c r="AR137" s="1759"/>
      <c r="AS137" s="1759"/>
      <c r="AT137" s="1759"/>
      <c r="AU137" s="1759"/>
      <c r="AV137" s="1759"/>
      <c r="AW137" s="1759"/>
      <c r="AX137" s="1759"/>
      <c r="AY137" s="1759"/>
      <c r="AZ137" s="1759"/>
      <c r="BA137" s="1759"/>
      <c r="BB137" s="1759"/>
      <c r="BC137" s="1759"/>
      <c r="BD137" s="1759"/>
      <c r="BE137" s="1759"/>
      <c r="BF137" s="1759"/>
      <c r="BG137" s="1056"/>
    </row>
    <row r="138" spans="1:59" ht="72.75" customHeight="1" x14ac:dyDescent="0.15">
      <c r="A138" s="1050"/>
      <c r="B138" s="1064"/>
      <c r="C138" s="1759" t="str">
        <f>+Nyilatkozatok!BX132</f>
        <v>– Létesítmény eszközeinek megvásárlása esetében csak azon eszközök költségét lehet figyelembe venni, amelyeket a vevőtől független harmadik féltől vásárolnak. Az ügyletet piaci feltételek mellett kell lebonyolítani. Amennyiben az eszközök beszerzéséhez a vásárlást megelőzően már nyújtottak támogatást, ezen eszközök költségeit le kell vonni a létesítmény felvásárlásához kapcsolódó elszámolható költségekből. Ha egy kisvállalkozást az eredeti tulajdonos családtagjai vagy korábbi munkavállalók vesznek át, az eszközöknek a vevőtől független harmadik féltől való megvásárlására vonatkozó feltételnek nem kell teljesülnie. A részesedésszerzés nem minősül induló beruházásnak.</v>
      </c>
      <c r="D138" s="1759"/>
      <c r="E138" s="1759"/>
      <c r="F138" s="1759"/>
      <c r="G138" s="1759"/>
      <c r="H138" s="1759"/>
      <c r="I138" s="1759"/>
      <c r="J138" s="1759"/>
      <c r="K138" s="1759"/>
      <c r="L138" s="1759"/>
      <c r="M138" s="1759"/>
      <c r="N138" s="1759"/>
      <c r="O138" s="1759"/>
      <c r="P138" s="1759"/>
      <c r="Q138" s="1759"/>
      <c r="R138" s="1759"/>
      <c r="S138" s="1759"/>
      <c r="T138" s="1759"/>
      <c r="U138" s="1759"/>
      <c r="V138" s="1759"/>
      <c r="W138" s="1759"/>
      <c r="X138" s="1759"/>
      <c r="Y138" s="1759"/>
      <c r="Z138" s="1759"/>
      <c r="AA138" s="1759"/>
      <c r="AB138" s="1759"/>
      <c r="AC138" s="1759"/>
      <c r="AD138" s="1759"/>
      <c r="AE138" s="1759"/>
      <c r="AF138" s="1759"/>
      <c r="AG138" s="1759"/>
      <c r="AH138" s="1759"/>
      <c r="AI138" s="1759"/>
      <c r="AJ138" s="1759"/>
      <c r="AK138" s="1759"/>
      <c r="AL138" s="1759"/>
      <c r="AM138" s="1759"/>
      <c r="AN138" s="1759"/>
      <c r="AO138" s="1759"/>
      <c r="AP138" s="1759"/>
      <c r="AQ138" s="1759"/>
      <c r="AR138" s="1759"/>
      <c r="AS138" s="1759"/>
      <c r="AT138" s="1759"/>
      <c r="AU138" s="1759"/>
      <c r="AV138" s="1759"/>
      <c r="AW138" s="1759"/>
      <c r="AX138" s="1759"/>
      <c r="AY138" s="1759"/>
      <c r="AZ138" s="1759"/>
      <c r="BA138" s="1759"/>
      <c r="BB138" s="1759"/>
      <c r="BC138" s="1759"/>
      <c r="BD138" s="1759"/>
      <c r="BE138" s="1759"/>
      <c r="BF138" s="1759"/>
      <c r="BG138" s="1056"/>
    </row>
    <row r="139" spans="1:59" x14ac:dyDescent="0.15">
      <c r="A139" s="1050"/>
      <c r="B139" s="1064"/>
      <c r="C139" s="1759" t="str">
        <f>+Nyilatkozatok!BX133</f>
        <v>– Immateriális javak akkor vehetők figyelembe a beruházási költségek kiszámításához, amennyiben teljesítik a következő feltételeket:
a) kizárólag a beruházás tárgyát képező létesítményben használják fel;
b) amortizálhatóak;
c) a vevőtől független harmadik felektől, piaci feltételek mellett kell azokat megvásárolni; valamint
d) legalább három évig a vállalkozás eszközei között kell szerepelniük, és a jelen hitelből finanszírozott projekthez kell kapcsolódniuk.</v>
      </c>
      <c r="D139" s="1759"/>
      <c r="E139" s="1759"/>
      <c r="F139" s="1759"/>
      <c r="G139" s="1759"/>
      <c r="H139" s="1759"/>
      <c r="I139" s="1759"/>
      <c r="J139" s="1759"/>
      <c r="K139" s="1759"/>
      <c r="L139" s="1759"/>
      <c r="M139" s="1759"/>
      <c r="N139" s="1759"/>
      <c r="O139" s="1759"/>
      <c r="P139" s="1759"/>
      <c r="Q139" s="1759"/>
      <c r="R139" s="1759"/>
      <c r="S139" s="1759"/>
      <c r="T139" s="1759"/>
      <c r="U139" s="1759"/>
      <c r="V139" s="1759"/>
      <c r="W139" s="1759"/>
      <c r="X139" s="1759"/>
      <c r="Y139" s="1759"/>
      <c r="Z139" s="1759"/>
      <c r="AA139" s="1759"/>
      <c r="AB139" s="1759"/>
      <c r="AC139" s="1759"/>
      <c r="AD139" s="1759"/>
      <c r="AE139" s="1759"/>
      <c r="AF139" s="1759"/>
      <c r="AG139" s="1759"/>
      <c r="AH139" s="1759"/>
      <c r="AI139" s="1759"/>
      <c r="AJ139" s="1759"/>
      <c r="AK139" s="1759"/>
      <c r="AL139" s="1759"/>
      <c r="AM139" s="1759"/>
      <c r="AN139" s="1759"/>
      <c r="AO139" s="1759"/>
      <c r="AP139" s="1759"/>
      <c r="AQ139" s="1759"/>
      <c r="AR139" s="1759"/>
      <c r="AS139" s="1759"/>
      <c r="AT139" s="1759"/>
      <c r="AU139" s="1759"/>
      <c r="AV139" s="1759"/>
      <c r="AW139" s="1759"/>
      <c r="AX139" s="1759"/>
      <c r="AY139" s="1759"/>
      <c r="AZ139" s="1759"/>
      <c r="BA139" s="1759"/>
      <c r="BB139" s="1759"/>
      <c r="BC139" s="1759"/>
      <c r="BD139" s="1759"/>
      <c r="BE139" s="1759"/>
      <c r="BF139" s="1759"/>
      <c r="BG139" s="1056"/>
    </row>
    <row r="140" spans="1:59" ht="72" customHeight="1" x14ac:dyDescent="0.15">
      <c r="A140" s="1050"/>
      <c r="B140" s="1064"/>
      <c r="C140" s="1759" t="str">
        <f>+Nyilatkozatok!BX134</f>
        <v>– A bérköltségeket akkor lehet az elszámolható költségek között feltüntetni, amennyiben teljesülnek az alábbiak: 
a) a beruházási projektnek az előző tizenkét hónap átlagához képest az érintett létesítményben foglalkoztatottak számának nettó növekedését kell eredményeznie, ami azt jelenti, hogy a megszüntetett álláshelyek számát le kell vonni az említett időszak alatt létrehozott álláshelyek számából;
b) minden egyes álláshelyet a munkálatok befejezésétől számított három éven belül be kell tölteni; valamint
c) a beruházás által létrehozott valamennyi munkahelyet az álláshely első betöltése után legalább három évig fenn kell tartani az érintett területen.</v>
      </c>
      <c r="D140" s="1759"/>
      <c r="E140" s="1759"/>
      <c r="F140" s="1759"/>
      <c r="G140" s="1759"/>
      <c r="H140" s="1759"/>
      <c r="I140" s="1759"/>
      <c r="J140" s="1759"/>
      <c r="K140" s="1759"/>
      <c r="L140" s="1759"/>
      <c r="M140" s="1759"/>
      <c r="N140" s="1759"/>
      <c r="O140" s="1759"/>
      <c r="P140" s="1759"/>
      <c r="Q140" s="1759"/>
      <c r="R140" s="1759"/>
      <c r="S140" s="1759"/>
      <c r="T140" s="1759"/>
      <c r="U140" s="1759"/>
      <c r="V140" s="1759"/>
      <c r="W140" s="1759"/>
      <c r="X140" s="1759"/>
      <c r="Y140" s="1759"/>
      <c r="Z140" s="1759"/>
      <c r="AA140" s="1759"/>
      <c r="AB140" s="1759"/>
      <c r="AC140" s="1759"/>
      <c r="AD140" s="1759"/>
      <c r="AE140" s="1759"/>
      <c r="AF140" s="1759"/>
      <c r="AG140" s="1759"/>
      <c r="AH140" s="1759"/>
      <c r="AI140" s="1759"/>
      <c r="AJ140" s="1759"/>
      <c r="AK140" s="1759"/>
      <c r="AL140" s="1759"/>
      <c r="AM140" s="1759"/>
      <c r="AN140" s="1759"/>
      <c r="AO140" s="1759"/>
      <c r="AP140" s="1759"/>
      <c r="AQ140" s="1759"/>
      <c r="AR140" s="1759"/>
      <c r="AS140" s="1759"/>
      <c r="AT140" s="1759"/>
      <c r="AU140" s="1759"/>
      <c r="AV140" s="1759"/>
      <c r="AW140" s="1759"/>
      <c r="AX140" s="1759"/>
      <c r="AY140" s="1759"/>
      <c r="AZ140" s="1759"/>
      <c r="BA140" s="1759"/>
      <c r="BB140" s="1759"/>
      <c r="BC140" s="1759"/>
      <c r="BD140" s="1759"/>
      <c r="BE140" s="1759"/>
      <c r="BF140" s="1759"/>
      <c r="BG140" s="1056"/>
    </row>
    <row r="141" spans="1:59" ht="72.75" customHeight="1" x14ac:dyDescent="0.15">
      <c r="A141" s="1050"/>
      <c r="B141" s="1064"/>
      <c r="C141" s="1759" t="str">
        <f>+Nyilatkozatok!BX135</f>
        <v>–  az az előírás, hogy a hitelprogram keretében beszerzett eszköznek újnak kell lennie, nem akadályozza a gyors technológiai változások miatt a fenntartási időszak alatt korszerűtlenné vált vagy meghibásodott tárgyi eszköz cseréjét, ha a fenntartási időszak alatt a gazdasági tevékenység fenntartása az érintett régióban biztosított. A korszerűtlenné vált vagy meghibásodott és támogatásban már részesült tárgyi eszköz cseréjére a fenntartási időszakban a beruházó állami támogatásban nem részesülhet. Az új eszköznek a lecserélt tárgyi eszközzel azonos funkcióval és azonos vagy nagyobb kapacitással kell rendelkeznie, továbbá a gyártási időpontja nem lehet korábbi, mint a lecserélt tárgyi eszközé.</v>
      </c>
      <c r="D141" s="1759"/>
      <c r="E141" s="1759"/>
      <c r="F141" s="1759"/>
      <c r="G141" s="1759"/>
      <c r="H141" s="1759"/>
      <c r="I141" s="1759"/>
      <c r="J141" s="1759"/>
      <c r="K141" s="1759"/>
      <c r="L141" s="1759"/>
      <c r="M141" s="1759"/>
      <c r="N141" s="1759"/>
      <c r="O141" s="1759"/>
      <c r="P141" s="1759"/>
      <c r="Q141" s="1759"/>
      <c r="R141" s="1759"/>
      <c r="S141" s="1759"/>
      <c r="T141" s="1759"/>
      <c r="U141" s="1759"/>
      <c r="V141" s="1759"/>
      <c r="W141" s="1759"/>
      <c r="X141" s="1759"/>
      <c r="Y141" s="1759"/>
      <c r="Z141" s="1759"/>
      <c r="AA141" s="1759"/>
      <c r="AB141" s="1759"/>
      <c r="AC141" s="1759"/>
      <c r="AD141" s="1759"/>
      <c r="AE141" s="1759"/>
      <c r="AF141" s="1759"/>
      <c r="AG141" s="1759"/>
      <c r="AH141" s="1759"/>
      <c r="AI141" s="1759"/>
      <c r="AJ141" s="1759"/>
      <c r="AK141" s="1759"/>
      <c r="AL141" s="1759"/>
      <c r="AM141" s="1759"/>
      <c r="AN141" s="1759"/>
      <c r="AO141" s="1759"/>
      <c r="AP141" s="1759"/>
      <c r="AQ141" s="1759"/>
      <c r="AR141" s="1759"/>
      <c r="AS141" s="1759"/>
      <c r="AT141" s="1759"/>
      <c r="AU141" s="1759"/>
      <c r="AV141" s="1759"/>
      <c r="AW141" s="1759"/>
      <c r="AX141" s="1759"/>
      <c r="AY141" s="1759"/>
      <c r="AZ141" s="1759"/>
      <c r="BA141" s="1759"/>
      <c r="BB141" s="1759"/>
      <c r="BC141" s="1759"/>
      <c r="BD141" s="1759"/>
      <c r="BE141" s="1759"/>
      <c r="BF141" s="1759"/>
      <c r="BG141" s="1056"/>
    </row>
    <row r="142" spans="1:59" ht="31.5" customHeight="1" x14ac:dyDescent="0.15">
      <c r="A142" s="1050"/>
      <c r="B142" s="1064"/>
      <c r="C142" s="1759" t="str">
        <f>+Nyilatkozatok!BX136</f>
        <v>– tárgyi eszköz esetén az elszámolható költséget a szokásos piaci áron kell figyelembe venni, ha az a beruházó és a beruházótól nem független harmadik vállalkozás között a szokásos piaci árnál magasabb áron kötött szerződés alapján merült fel.</v>
      </c>
      <c r="D142" s="1759"/>
      <c r="E142" s="1759"/>
      <c r="F142" s="1759"/>
      <c r="G142" s="1759"/>
      <c r="H142" s="1759"/>
      <c r="I142" s="1759"/>
      <c r="J142" s="1759"/>
      <c r="K142" s="1759"/>
      <c r="L142" s="1759"/>
      <c r="M142" s="1759"/>
      <c r="N142" s="1759"/>
      <c r="O142" s="1759"/>
      <c r="P142" s="1759"/>
      <c r="Q142" s="1759"/>
      <c r="R142" s="1759"/>
      <c r="S142" s="1759"/>
      <c r="T142" s="1759"/>
      <c r="U142" s="1759"/>
      <c r="V142" s="1759"/>
      <c r="W142" s="1759"/>
      <c r="X142" s="1759"/>
      <c r="Y142" s="1759"/>
      <c r="Z142" s="1759"/>
      <c r="AA142" s="1759"/>
      <c r="AB142" s="1759"/>
      <c r="AC142" s="1759"/>
      <c r="AD142" s="1759"/>
      <c r="AE142" s="1759"/>
      <c r="AF142" s="1759"/>
      <c r="AG142" s="1759"/>
      <c r="AH142" s="1759"/>
      <c r="AI142" s="1759"/>
      <c r="AJ142" s="1759"/>
      <c r="AK142" s="1759"/>
      <c r="AL142" s="1759"/>
      <c r="AM142" s="1759"/>
      <c r="AN142" s="1759"/>
      <c r="AO142" s="1759"/>
      <c r="AP142" s="1759"/>
      <c r="AQ142" s="1759"/>
      <c r="AR142" s="1759"/>
      <c r="AS142" s="1759"/>
      <c r="AT142" s="1759"/>
      <c r="AU142" s="1759"/>
      <c r="AV142" s="1759"/>
      <c r="AW142" s="1759"/>
      <c r="AX142" s="1759"/>
      <c r="AY142" s="1759"/>
      <c r="AZ142" s="1759"/>
      <c r="BA142" s="1759"/>
      <c r="BB142" s="1759"/>
      <c r="BC142" s="1759"/>
      <c r="BD142" s="1759"/>
      <c r="BE142" s="1759"/>
      <c r="BF142" s="1759"/>
      <c r="BG142" s="1056"/>
    </row>
    <row r="143" spans="1:59" x14ac:dyDescent="0.15">
      <c r="A143" s="1050"/>
      <c r="B143" s="1064"/>
      <c r="C143" s="1760" t="str">
        <f>+Nyilatkozatok!BK200</f>
        <v/>
      </c>
      <c r="D143" s="1760"/>
      <c r="E143" s="1760"/>
      <c r="F143" s="1760"/>
      <c r="G143" s="1760"/>
      <c r="H143" s="1760"/>
      <c r="I143" s="1760"/>
      <c r="J143" s="1760"/>
      <c r="K143" s="1760"/>
      <c r="L143" s="1760"/>
      <c r="M143" s="1760"/>
      <c r="N143" s="1760"/>
      <c r="O143" s="1760"/>
      <c r="P143" s="1760"/>
      <c r="Q143" s="1760"/>
      <c r="R143" s="1760"/>
      <c r="S143" s="1760"/>
      <c r="T143" s="1760"/>
      <c r="U143" s="1760"/>
      <c r="V143" s="1760"/>
      <c r="W143" s="1760"/>
      <c r="X143" s="1760"/>
      <c r="Y143" s="1760"/>
      <c r="Z143" s="1760"/>
      <c r="AA143" s="1760"/>
      <c r="AB143" s="1760"/>
      <c r="AC143" s="1760"/>
      <c r="AD143" s="1760"/>
      <c r="AE143" s="1760"/>
      <c r="AF143" s="1760"/>
      <c r="AG143" s="1760"/>
      <c r="AH143" s="1760"/>
      <c r="AI143" s="1760"/>
      <c r="AJ143" s="1760"/>
      <c r="AK143" s="1760"/>
      <c r="AL143" s="1760"/>
      <c r="AM143" s="1760"/>
      <c r="AN143" s="1760"/>
      <c r="AO143" s="1760"/>
      <c r="AP143" s="1760"/>
      <c r="AQ143" s="1760"/>
      <c r="AR143" s="1760"/>
      <c r="AS143" s="1760"/>
      <c r="AT143" s="1760"/>
      <c r="AU143" s="1760"/>
      <c r="AV143" s="1760"/>
      <c r="AW143" s="1760"/>
      <c r="AX143" s="1760"/>
      <c r="AY143" s="1760"/>
      <c r="AZ143" s="1760"/>
      <c r="BA143" s="1760"/>
      <c r="BB143" s="1760"/>
      <c r="BC143" s="1760"/>
      <c r="BD143" s="1760"/>
      <c r="BE143" s="1760"/>
      <c r="BF143" s="1760"/>
      <c r="BG143" s="1056"/>
    </row>
    <row r="144" spans="1:59" ht="14.25" customHeight="1" x14ac:dyDescent="0.15">
      <c r="A144" s="1050"/>
      <c r="B144" s="1064"/>
      <c r="C144" s="1779" t="s">
        <v>787</v>
      </c>
      <c r="D144" s="1761"/>
      <c r="E144" s="1761"/>
      <c r="F144" s="1761"/>
      <c r="G144" s="1761"/>
      <c r="H144" s="1761"/>
      <c r="I144" s="1761"/>
      <c r="J144" s="1761"/>
      <c r="K144" s="1761"/>
      <c r="L144" s="1761"/>
      <c r="M144" s="1761"/>
      <c r="N144" s="1761"/>
      <c r="O144" s="1761"/>
      <c r="P144" s="1761"/>
      <c r="Q144" s="1761"/>
      <c r="R144" s="1761"/>
      <c r="S144" s="1761"/>
      <c r="T144" s="1761"/>
      <c r="U144" s="1761"/>
      <c r="V144" s="1761"/>
      <c r="W144" s="1761"/>
      <c r="X144" s="1761"/>
      <c r="Y144" s="1761"/>
      <c r="Z144" s="1761"/>
      <c r="AA144" s="1761"/>
      <c r="AB144" s="1761"/>
      <c r="AC144" s="1761"/>
      <c r="AD144" s="1761"/>
      <c r="AE144" s="1761"/>
      <c r="AF144" s="1761"/>
      <c r="AG144" s="1761"/>
      <c r="AH144" s="1761"/>
      <c r="AI144" s="1761"/>
      <c r="AJ144" s="1761"/>
      <c r="AK144" s="1761"/>
      <c r="AL144" s="1761"/>
      <c r="AM144" s="1761"/>
      <c r="AN144" s="1761"/>
      <c r="AO144" s="1761"/>
      <c r="AP144" s="1761"/>
      <c r="AQ144" s="1761"/>
      <c r="AR144" s="1761"/>
      <c r="AS144" s="1761"/>
      <c r="AT144" s="1761"/>
      <c r="AU144" s="1761"/>
      <c r="AV144" s="1761"/>
      <c r="AW144" s="1761"/>
      <c r="AX144" s="1761"/>
      <c r="AY144" s="1761"/>
      <c r="AZ144" s="1761"/>
      <c r="BA144" s="1761"/>
      <c r="BB144" s="1761"/>
      <c r="BC144" s="1761"/>
      <c r="BD144" s="1761"/>
      <c r="BE144" s="1761"/>
      <c r="BF144" s="1761"/>
      <c r="BG144" s="1056"/>
    </row>
    <row r="145" spans="1:59" x14ac:dyDescent="0.15">
      <c r="A145" s="1050"/>
      <c r="B145" s="1053"/>
      <c r="C145" s="1760"/>
      <c r="D145" s="1760"/>
      <c r="E145" s="1760"/>
      <c r="F145" s="1760"/>
      <c r="G145" s="1760"/>
      <c r="H145" s="1760"/>
      <c r="I145" s="1760"/>
      <c r="J145" s="1760"/>
      <c r="K145" s="1760"/>
      <c r="L145" s="1760"/>
      <c r="M145" s="1760"/>
      <c r="N145" s="1760"/>
      <c r="O145" s="1760"/>
      <c r="P145" s="1760"/>
      <c r="Q145" s="1760"/>
      <c r="R145" s="1760"/>
      <c r="S145" s="1760"/>
      <c r="T145" s="1760"/>
      <c r="U145" s="1760"/>
      <c r="V145" s="1760"/>
      <c r="W145" s="1760"/>
      <c r="X145" s="1760"/>
      <c r="Y145" s="1760"/>
      <c r="Z145" s="1760"/>
      <c r="AA145" s="1760"/>
      <c r="AB145" s="1760"/>
      <c r="AC145" s="1760"/>
      <c r="AD145" s="1760"/>
      <c r="AE145" s="1760"/>
      <c r="AF145" s="1760"/>
      <c r="AG145" s="1760"/>
      <c r="AH145" s="1760"/>
      <c r="AI145" s="1760"/>
      <c r="AJ145" s="1760"/>
      <c r="AK145" s="1760"/>
      <c r="AL145" s="1760"/>
      <c r="AM145" s="1760"/>
      <c r="AN145" s="1760"/>
      <c r="AO145" s="1760"/>
      <c r="AP145" s="1760"/>
      <c r="AQ145" s="1760"/>
      <c r="AR145" s="1760"/>
      <c r="AS145" s="1760"/>
      <c r="AT145" s="1760"/>
      <c r="AU145" s="1760"/>
      <c r="AV145" s="1760"/>
      <c r="AW145" s="1760"/>
      <c r="AX145" s="1760"/>
      <c r="AY145" s="1760"/>
      <c r="AZ145" s="1760"/>
      <c r="BA145" s="1760"/>
      <c r="BB145" s="1760"/>
      <c r="BC145" s="1760"/>
      <c r="BD145" s="1760"/>
      <c r="BE145" s="1760"/>
      <c r="BF145" s="1760"/>
      <c r="BG145" s="1071"/>
    </row>
    <row r="146" spans="1:59" x14ac:dyDescent="0.15">
      <c r="A146" s="1050"/>
      <c r="B146" s="1064"/>
      <c r="C146" s="1760"/>
      <c r="D146" s="1760"/>
      <c r="E146" s="1760"/>
      <c r="F146" s="1760"/>
      <c r="G146" s="1760"/>
      <c r="H146" s="1760"/>
      <c r="I146" s="1760"/>
      <c r="J146" s="1760"/>
      <c r="K146" s="1760"/>
      <c r="L146" s="1760"/>
      <c r="M146" s="1760"/>
      <c r="N146" s="1760"/>
      <c r="O146" s="1760"/>
      <c r="P146" s="1760"/>
      <c r="Q146" s="1760"/>
      <c r="R146" s="1760"/>
      <c r="S146" s="1760"/>
      <c r="T146" s="1760"/>
      <c r="U146" s="1760"/>
      <c r="V146" s="1760"/>
      <c r="W146" s="1760"/>
      <c r="X146" s="1760"/>
      <c r="Y146" s="1760"/>
      <c r="Z146" s="1760"/>
      <c r="AA146" s="1760"/>
      <c r="AB146" s="1760"/>
      <c r="AC146" s="1760"/>
      <c r="AD146" s="1760"/>
      <c r="AE146" s="1760"/>
      <c r="AF146" s="1760"/>
      <c r="AG146" s="1760"/>
      <c r="AH146" s="1760"/>
      <c r="AI146" s="1760"/>
      <c r="AJ146" s="1760"/>
      <c r="AK146" s="1760"/>
      <c r="AL146" s="1760"/>
      <c r="AM146" s="1760"/>
      <c r="AN146" s="1760"/>
      <c r="AO146" s="1760"/>
      <c r="AP146" s="1760"/>
      <c r="AQ146" s="1760"/>
      <c r="AR146" s="1760"/>
      <c r="AS146" s="1760"/>
      <c r="AT146" s="1760"/>
      <c r="AU146" s="1760"/>
      <c r="AV146" s="1760"/>
      <c r="AW146" s="1760"/>
      <c r="AX146" s="1760"/>
      <c r="AY146" s="1760"/>
      <c r="AZ146" s="1760"/>
      <c r="BA146" s="1760"/>
      <c r="BB146" s="1760"/>
      <c r="BC146" s="1760"/>
      <c r="BD146" s="1760"/>
      <c r="BE146" s="1760"/>
      <c r="BF146" s="1760"/>
      <c r="BG146" s="1056"/>
    </row>
    <row r="147" spans="1:59" x14ac:dyDescent="0.15">
      <c r="A147" s="1050"/>
      <c r="B147" s="1064"/>
      <c r="C147" s="1054"/>
      <c r="D147" s="1054"/>
      <c r="E147" s="1054"/>
      <c r="F147" s="1054" t="s">
        <v>796</v>
      </c>
      <c r="G147" s="1054"/>
      <c r="H147" s="1780" t="str">
        <f>+IF(keltezes="","",keltezes)</f>
        <v/>
      </c>
      <c r="I147" s="1760"/>
      <c r="J147" s="1760"/>
      <c r="K147" s="1760"/>
      <c r="L147" s="1760"/>
      <c r="M147" s="1760"/>
      <c r="N147" s="1760"/>
      <c r="O147" s="1760"/>
      <c r="P147" s="1760"/>
      <c r="Q147" s="1760"/>
      <c r="R147" s="1760"/>
      <c r="S147" s="1760"/>
      <c r="T147" s="1760"/>
      <c r="U147" s="1054"/>
      <c r="V147" s="1054"/>
      <c r="W147" s="1054"/>
      <c r="X147" s="1054"/>
      <c r="Y147" s="1054"/>
      <c r="Z147" s="1054"/>
      <c r="AA147" s="1054"/>
      <c r="AB147" s="1054"/>
      <c r="AC147" s="1054"/>
      <c r="AD147" s="1054"/>
      <c r="AE147" s="1054"/>
      <c r="AF147" s="1054"/>
      <c r="AG147" s="1054"/>
      <c r="AH147" s="1054"/>
      <c r="AI147" s="1054"/>
      <c r="AJ147" s="1054"/>
      <c r="AK147" s="1054"/>
      <c r="AL147" s="1054"/>
      <c r="AM147" s="1054"/>
      <c r="AN147" s="1054"/>
      <c r="AO147" s="1054"/>
      <c r="AP147" s="1054"/>
      <c r="AQ147" s="1054"/>
      <c r="AR147" s="1054"/>
      <c r="AS147" s="1054"/>
      <c r="AT147" s="1054"/>
      <c r="AU147" s="1054"/>
      <c r="AV147" s="1054"/>
      <c r="AW147" s="1054"/>
      <c r="AX147" s="1054"/>
      <c r="AY147" s="1054"/>
      <c r="AZ147" s="1054"/>
      <c r="BA147" s="1054"/>
      <c r="BB147" s="1054"/>
      <c r="BC147" s="1054"/>
      <c r="BD147" s="1054"/>
      <c r="BE147" s="1054"/>
      <c r="BF147" s="1054"/>
      <c r="BG147" s="1056"/>
    </row>
    <row r="148" spans="1:59" x14ac:dyDescent="0.15">
      <c r="A148" s="1050"/>
      <c r="B148" s="1064"/>
      <c r="C148" s="1054"/>
      <c r="D148" s="1054"/>
      <c r="E148" s="1054"/>
      <c r="F148" s="1054"/>
      <c r="G148" s="1054"/>
      <c r="H148" s="1054"/>
      <c r="I148" s="1054"/>
      <c r="J148" s="1054"/>
      <c r="K148" s="1054"/>
      <c r="L148" s="1054"/>
      <c r="M148" s="1054"/>
      <c r="N148" s="1054"/>
      <c r="O148" s="1054"/>
      <c r="P148" s="1054"/>
      <c r="Q148" s="1054"/>
      <c r="R148" s="1054"/>
      <c r="S148" s="1054"/>
      <c r="T148" s="1054"/>
      <c r="U148" s="1054"/>
      <c r="V148" s="1054"/>
      <c r="W148" s="1054"/>
      <c r="X148" s="1054"/>
      <c r="Y148" s="1054"/>
      <c r="Z148" s="1054"/>
      <c r="AA148" s="1054"/>
      <c r="AB148" s="1054"/>
      <c r="AC148" s="1054"/>
      <c r="AD148" s="1054"/>
      <c r="AE148" s="1054"/>
      <c r="AF148" s="1054"/>
      <c r="AG148" s="1054"/>
      <c r="AH148" s="1054"/>
      <c r="AI148" s="1054"/>
      <c r="AJ148" s="1054"/>
      <c r="AK148" s="1054"/>
      <c r="AL148" s="1054"/>
      <c r="AM148" s="1054"/>
      <c r="AN148" s="1054"/>
      <c r="AO148" s="1054"/>
      <c r="AP148" s="1054"/>
      <c r="AQ148" s="1054"/>
      <c r="AR148" s="1054"/>
      <c r="AS148" s="1054"/>
      <c r="AT148" s="1054"/>
      <c r="AU148" s="1054"/>
      <c r="AV148" s="1054"/>
      <c r="AW148" s="1054"/>
      <c r="AX148" s="1054"/>
      <c r="AY148" s="1054"/>
      <c r="AZ148" s="1054"/>
      <c r="BA148" s="1054"/>
      <c r="BB148" s="1054"/>
      <c r="BC148" s="1054"/>
      <c r="BD148" s="1054"/>
      <c r="BE148" s="1054"/>
      <c r="BF148" s="1054"/>
      <c r="BG148" s="1056"/>
    </row>
    <row r="149" spans="1:59" x14ac:dyDescent="0.15">
      <c r="A149" s="1050"/>
      <c r="B149" s="1064"/>
      <c r="C149" s="1054"/>
      <c r="D149" s="1054"/>
      <c r="E149" s="1054"/>
      <c r="F149" s="1054"/>
      <c r="G149" s="1054"/>
      <c r="H149" s="1054"/>
      <c r="I149" s="1054"/>
      <c r="J149" s="1054"/>
      <c r="K149" s="1054"/>
      <c r="L149" s="1054"/>
      <c r="M149" s="1054"/>
      <c r="N149" s="1054"/>
      <c r="O149" s="1054"/>
      <c r="P149" s="1054"/>
      <c r="Q149" s="1054"/>
      <c r="R149" s="1054"/>
      <c r="S149" s="1054"/>
      <c r="T149" s="1054"/>
      <c r="U149" s="1054"/>
      <c r="V149" s="1054"/>
      <c r="W149" s="1054"/>
      <c r="X149" s="1054"/>
      <c r="Y149" s="1054"/>
      <c r="Z149" s="1054"/>
      <c r="AA149" s="1054"/>
      <c r="AB149" s="1054"/>
      <c r="AC149" s="1054"/>
      <c r="AD149" s="1054"/>
      <c r="AE149" s="1054"/>
      <c r="AF149" s="1054"/>
      <c r="AG149" s="1747"/>
      <c r="AH149" s="1747"/>
      <c r="AI149" s="1747"/>
      <c r="AJ149" s="1747"/>
      <c r="AK149" s="1747"/>
      <c r="AL149" s="1747"/>
      <c r="AM149" s="1747"/>
      <c r="AN149" s="1747"/>
      <c r="AO149" s="1747"/>
      <c r="AP149" s="1747"/>
      <c r="AQ149" s="1747"/>
      <c r="AR149" s="1747"/>
      <c r="AS149" s="1747"/>
      <c r="AT149" s="1747"/>
      <c r="AU149" s="1747"/>
      <c r="AV149" s="1747"/>
      <c r="AW149" s="1747"/>
      <c r="AX149" s="1747"/>
      <c r="AY149" s="1747"/>
      <c r="AZ149" s="1747"/>
      <c r="BA149" s="1747"/>
      <c r="BB149" s="1747"/>
      <c r="BC149" s="1747"/>
      <c r="BD149" s="1747"/>
      <c r="BE149" s="1054"/>
      <c r="BF149" s="1054"/>
      <c r="BG149" s="1056"/>
    </row>
    <row r="150" spans="1:59" ht="15" customHeight="1" x14ac:dyDescent="0.15">
      <c r="A150" s="1050"/>
      <c r="B150" s="1064"/>
      <c r="C150" s="1054"/>
      <c r="D150" s="1054"/>
      <c r="E150" s="1054"/>
      <c r="F150" s="1054"/>
      <c r="G150" s="1054"/>
      <c r="H150" s="1054"/>
      <c r="I150" s="1054"/>
      <c r="J150" s="1054"/>
      <c r="K150" s="1054"/>
      <c r="L150" s="1054"/>
      <c r="M150" s="1054"/>
      <c r="N150" s="1054"/>
      <c r="O150" s="1054"/>
      <c r="P150" s="1054"/>
      <c r="Q150" s="1054"/>
      <c r="R150" s="1054"/>
      <c r="S150" s="1054"/>
      <c r="T150" s="1054"/>
      <c r="U150" s="1054"/>
      <c r="V150" s="1054"/>
      <c r="W150" s="1054"/>
      <c r="X150" s="1054"/>
      <c r="Y150" s="1054"/>
      <c r="Z150" s="1054"/>
      <c r="AA150" s="1054"/>
      <c r="AB150" s="1054"/>
      <c r="AC150" s="1054"/>
      <c r="AD150" s="1054"/>
      <c r="AE150" s="1054"/>
      <c r="AF150" s="1054"/>
      <c r="AG150" s="1746" t="str">
        <f>+IF('Támogatási Nyilatkozatok_all'!C88="","",'Támogatási Nyilatkozatok_all'!C88)</f>
        <v/>
      </c>
      <c r="AH150" s="1746"/>
      <c r="AI150" s="1746"/>
      <c r="AJ150" s="1746"/>
      <c r="AK150" s="1746"/>
      <c r="AL150" s="1746"/>
      <c r="AM150" s="1746"/>
      <c r="AN150" s="1746"/>
      <c r="AO150" s="1746"/>
      <c r="AP150" s="1746"/>
      <c r="AQ150" s="1746"/>
      <c r="AR150" s="1746"/>
      <c r="AS150" s="1746"/>
      <c r="AT150" s="1746"/>
      <c r="AU150" s="1746"/>
      <c r="AV150" s="1746"/>
      <c r="AW150" s="1746"/>
      <c r="AX150" s="1746"/>
      <c r="AY150" s="1746"/>
      <c r="AZ150" s="1746"/>
      <c r="BA150" s="1746"/>
      <c r="BB150" s="1746"/>
      <c r="BC150" s="1746"/>
      <c r="BD150" s="1746"/>
      <c r="BE150" s="1054"/>
      <c r="BF150" s="1054"/>
      <c r="BG150" s="1056"/>
    </row>
    <row r="151" spans="1:59" x14ac:dyDescent="0.15">
      <c r="A151" s="1050"/>
      <c r="B151" s="1064"/>
      <c r="C151" s="1054"/>
      <c r="D151" s="1054"/>
      <c r="E151" s="1054"/>
      <c r="F151" s="1054"/>
      <c r="G151" s="1054"/>
      <c r="H151" s="1054"/>
      <c r="I151" s="1054"/>
      <c r="J151" s="1054"/>
      <c r="K151" s="1054"/>
      <c r="L151" s="1054"/>
      <c r="M151" s="1054"/>
      <c r="N151" s="1054"/>
      <c r="O151" s="1054"/>
      <c r="P151" s="1054"/>
      <c r="Q151" s="1054"/>
      <c r="R151" s="1054"/>
      <c r="S151" s="1054"/>
      <c r="T151" s="1054"/>
      <c r="U151" s="1054"/>
      <c r="V151" s="1054"/>
      <c r="W151" s="1054"/>
      <c r="X151" s="1054"/>
      <c r="Y151" s="1054"/>
      <c r="Z151" s="1054"/>
      <c r="AA151" s="1054"/>
      <c r="AB151" s="1054"/>
      <c r="AC151" s="1054"/>
      <c r="AD151" s="1054"/>
      <c r="AE151" s="1054"/>
      <c r="AF151" s="1054"/>
      <c r="AG151" s="1054"/>
      <c r="AH151" s="1054"/>
      <c r="AI151" s="1054"/>
      <c r="AJ151" s="1054"/>
      <c r="AK151" s="1054"/>
      <c r="AL151" s="1054"/>
      <c r="AM151" s="1054"/>
      <c r="AN151" s="1054"/>
      <c r="AO151" s="1054"/>
      <c r="AP151" s="1054"/>
      <c r="AQ151" s="1054"/>
      <c r="AR151" s="1054"/>
      <c r="AS151" s="1054"/>
      <c r="AT151" s="1054"/>
      <c r="AU151" s="1054"/>
      <c r="AV151" s="1054"/>
      <c r="AW151" s="1054"/>
      <c r="AX151" s="1054"/>
      <c r="AY151" s="1054"/>
      <c r="AZ151" s="1054"/>
      <c r="BA151" s="1054"/>
      <c r="BB151" s="1054"/>
      <c r="BC151" s="1054"/>
      <c r="BD151" s="1054"/>
      <c r="BE151" s="1054"/>
      <c r="BF151" s="1054"/>
      <c r="BG151" s="1056"/>
    </row>
    <row r="152" spans="1:59" x14ac:dyDescent="0.15">
      <c r="A152" s="1050"/>
      <c r="B152" s="1064"/>
      <c r="C152" s="1054"/>
      <c r="D152" s="1054"/>
      <c r="E152" s="1054"/>
      <c r="F152" s="1054"/>
      <c r="G152" s="1054"/>
      <c r="H152" s="1054"/>
      <c r="I152" s="1054"/>
      <c r="J152" s="1054"/>
      <c r="K152" s="1054"/>
      <c r="L152" s="1054"/>
      <c r="M152" s="1054"/>
      <c r="N152" s="1054"/>
      <c r="O152" s="1054"/>
      <c r="P152" s="1054"/>
      <c r="Q152" s="1054"/>
      <c r="R152" s="1054"/>
      <c r="S152" s="1054"/>
      <c r="T152" s="1054"/>
      <c r="U152" s="1054"/>
      <c r="V152" s="1054"/>
      <c r="W152" s="1054"/>
      <c r="X152" s="1054"/>
      <c r="Y152" s="1054"/>
      <c r="Z152" s="1054"/>
      <c r="AA152" s="1054"/>
      <c r="AB152" s="1054"/>
      <c r="AC152" s="1054"/>
      <c r="AD152" s="1054"/>
      <c r="AE152" s="1054"/>
      <c r="AF152" s="1054"/>
      <c r="AG152" s="1054"/>
      <c r="AH152" s="1054"/>
      <c r="AI152" s="1054"/>
      <c r="AJ152" s="1054"/>
      <c r="AK152" s="1054"/>
      <c r="AL152" s="1054"/>
      <c r="AM152" s="1054"/>
      <c r="AN152" s="1054"/>
      <c r="AO152" s="1054"/>
      <c r="AP152" s="1054"/>
      <c r="AQ152" s="1054"/>
      <c r="AR152" s="1054"/>
      <c r="AS152" s="1054"/>
      <c r="AT152" s="1054"/>
      <c r="AU152" s="1054"/>
      <c r="AV152" s="1054"/>
      <c r="AW152" s="1054"/>
      <c r="AX152" s="1054"/>
      <c r="AY152" s="1054"/>
      <c r="AZ152" s="1054"/>
      <c r="BA152" s="1054"/>
      <c r="BB152" s="1054"/>
      <c r="BC152" s="1054"/>
      <c r="BD152" s="1054"/>
      <c r="BE152" s="1054"/>
      <c r="BF152" s="1054"/>
      <c r="BG152" s="1056"/>
    </row>
    <row r="153" spans="1:59" x14ac:dyDescent="0.15">
      <c r="A153" s="1050"/>
      <c r="B153" s="1064"/>
      <c r="C153" s="1054"/>
      <c r="D153" s="1054"/>
      <c r="E153" s="1054" t="s">
        <v>797</v>
      </c>
      <c r="F153" s="1054"/>
      <c r="G153" s="1054"/>
      <c r="H153" s="1054"/>
      <c r="I153" s="1054"/>
      <c r="J153" s="1054"/>
      <c r="K153" s="1054"/>
      <c r="L153" s="1054"/>
      <c r="M153" s="1054"/>
      <c r="N153" s="1054"/>
      <c r="O153" s="1054"/>
      <c r="P153" s="1054"/>
      <c r="Q153" s="1054"/>
      <c r="R153" s="1054"/>
      <c r="S153" s="1054"/>
      <c r="T153" s="1054"/>
      <c r="U153" s="1054"/>
      <c r="V153" s="1054"/>
      <c r="W153" s="1054"/>
      <c r="X153" s="1054"/>
      <c r="Y153" s="1054"/>
      <c r="Z153" s="1054"/>
      <c r="AA153" s="1054"/>
      <c r="AB153" s="1054"/>
      <c r="AC153" s="1054"/>
      <c r="AD153" s="1054"/>
      <c r="AE153" s="1054"/>
      <c r="AF153" s="1054"/>
      <c r="AG153" s="1054"/>
      <c r="AH153" s="1054"/>
      <c r="AI153" s="1054"/>
      <c r="AJ153" s="1054"/>
      <c r="AK153" s="1054"/>
      <c r="AL153" s="1054"/>
      <c r="AM153" s="1054"/>
      <c r="AN153" s="1054"/>
      <c r="AO153" s="1054"/>
      <c r="AP153" s="1054"/>
      <c r="AQ153" s="1054"/>
      <c r="AR153" s="1054"/>
      <c r="AS153" s="1054"/>
      <c r="AT153" s="1054"/>
      <c r="AU153" s="1054"/>
      <c r="AV153" s="1054"/>
      <c r="AW153" s="1054"/>
      <c r="AX153" s="1054"/>
      <c r="AY153" s="1054"/>
      <c r="AZ153" s="1054"/>
      <c r="BA153" s="1054"/>
      <c r="BB153" s="1054"/>
      <c r="BC153" s="1054"/>
      <c r="BD153" s="1054"/>
      <c r="BE153" s="1054"/>
      <c r="BF153" s="1054"/>
      <c r="BG153" s="1056"/>
    </row>
    <row r="154" spans="1:59" x14ac:dyDescent="0.15">
      <c r="A154" s="1050"/>
      <c r="B154" s="1064"/>
      <c r="C154" s="1054"/>
      <c r="D154" s="1054"/>
      <c r="E154" s="1054" t="s">
        <v>798</v>
      </c>
      <c r="F154" s="1054"/>
      <c r="G154" s="1054"/>
      <c r="H154" s="1054"/>
      <c r="I154" s="1054"/>
      <c r="J154" s="1054"/>
      <c r="K154" s="1054"/>
      <c r="L154" s="1054"/>
      <c r="M154" s="1054"/>
      <c r="N154" s="1054"/>
      <c r="O154" s="1054"/>
      <c r="P154" s="1054"/>
      <c r="Q154" s="1054"/>
      <c r="R154" s="1054"/>
      <c r="S154" s="1054"/>
      <c r="T154" s="1054"/>
      <c r="U154" s="1054"/>
      <c r="V154" s="1054"/>
      <c r="W154" s="1054"/>
      <c r="X154" s="1054"/>
      <c r="Y154" s="1054"/>
      <c r="Z154" s="1054"/>
      <c r="AA154" s="1054"/>
      <c r="AB154" s="1054"/>
      <c r="AC154" s="1054"/>
      <c r="AD154" s="1054"/>
      <c r="AE154" s="1054"/>
      <c r="AF154" s="1054"/>
      <c r="AG154" s="1054"/>
      <c r="AH154" s="1054"/>
      <c r="AI154" s="1054"/>
      <c r="AJ154" s="1054"/>
      <c r="AK154" s="1054"/>
      <c r="AL154" s="1054"/>
      <c r="AM154" s="1054"/>
      <c r="AN154" s="1054"/>
      <c r="AO154" s="1054"/>
      <c r="AP154" s="1054"/>
      <c r="AQ154" s="1054"/>
      <c r="AR154" s="1054"/>
      <c r="AS154" s="1054"/>
      <c r="AT154" s="1054"/>
      <c r="AU154" s="1054"/>
      <c r="AV154" s="1054"/>
      <c r="AW154" s="1054"/>
      <c r="AX154" s="1054"/>
      <c r="AY154" s="1054"/>
      <c r="AZ154" s="1054"/>
      <c r="BA154" s="1054"/>
      <c r="BB154" s="1054"/>
      <c r="BC154" s="1054"/>
      <c r="BD154" s="1054"/>
      <c r="BE154" s="1054"/>
      <c r="BF154" s="1054"/>
      <c r="BG154" s="1056"/>
    </row>
    <row r="155" spans="1:59" x14ac:dyDescent="0.15">
      <c r="A155" s="1050"/>
      <c r="B155" s="1064"/>
      <c r="C155" s="1054"/>
      <c r="D155" s="1054"/>
      <c r="E155" s="1054"/>
      <c r="F155" s="1054"/>
      <c r="G155" s="1054"/>
      <c r="H155" s="1054"/>
      <c r="I155" s="1054"/>
      <c r="J155" s="1054"/>
      <c r="K155" s="1054"/>
      <c r="L155" s="1054"/>
      <c r="M155" s="1054"/>
      <c r="N155" s="1054"/>
      <c r="O155" s="1054"/>
      <c r="P155" s="1054"/>
      <c r="Q155" s="1054"/>
      <c r="R155" s="1054"/>
      <c r="S155" s="1054"/>
      <c r="T155" s="1054"/>
      <c r="U155" s="1054"/>
      <c r="V155" s="1054"/>
      <c r="W155" s="1054"/>
      <c r="X155" s="1054"/>
      <c r="Y155" s="1054"/>
      <c r="Z155" s="1054"/>
      <c r="AA155" s="1054"/>
      <c r="AB155" s="1054"/>
      <c r="AC155" s="1054"/>
      <c r="AD155" s="1054"/>
      <c r="AE155" s="1054"/>
      <c r="AF155" s="1054"/>
      <c r="AG155" s="1054"/>
      <c r="AH155" s="1054"/>
      <c r="AI155" s="1054"/>
      <c r="AJ155" s="1054"/>
      <c r="AK155" s="1054"/>
      <c r="AL155" s="1054"/>
      <c r="AM155" s="1054"/>
      <c r="AN155" s="1054"/>
      <c r="AO155" s="1054"/>
      <c r="AP155" s="1054"/>
      <c r="AQ155" s="1054"/>
      <c r="AR155" s="1054"/>
      <c r="AS155" s="1054"/>
      <c r="AT155" s="1054"/>
      <c r="AU155" s="1054"/>
      <c r="AV155" s="1054"/>
      <c r="AW155" s="1054"/>
      <c r="AX155" s="1054"/>
      <c r="AY155" s="1054"/>
      <c r="AZ155" s="1054"/>
      <c r="BA155" s="1054"/>
      <c r="BB155" s="1054"/>
      <c r="BC155" s="1054"/>
      <c r="BD155" s="1054"/>
      <c r="BE155" s="1054"/>
      <c r="BF155" s="1054"/>
      <c r="BG155" s="1056"/>
    </row>
    <row r="156" spans="1:59" x14ac:dyDescent="0.15">
      <c r="A156" s="1050"/>
      <c r="B156" s="1064"/>
      <c r="C156" s="1055"/>
      <c r="D156" s="1055"/>
      <c r="E156" s="1055" t="s">
        <v>799</v>
      </c>
      <c r="F156" s="1055"/>
      <c r="G156" s="1055"/>
      <c r="H156" s="1055"/>
      <c r="I156" s="1055"/>
      <c r="J156" s="1747"/>
      <c r="K156" s="1747"/>
      <c r="L156" s="1747"/>
      <c r="M156" s="1747"/>
      <c r="N156" s="1747"/>
      <c r="O156" s="1747"/>
      <c r="P156" s="1747"/>
      <c r="Q156" s="1747"/>
      <c r="R156" s="1747"/>
      <c r="S156" s="1747"/>
      <c r="T156" s="1747"/>
      <c r="U156" s="1747"/>
      <c r="V156" s="1747"/>
      <c r="W156" s="1747"/>
      <c r="X156" s="1747"/>
      <c r="Y156" s="1747"/>
      <c r="Z156" s="1747"/>
      <c r="AA156" s="1747"/>
      <c r="AB156" s="1747"/>
      <c r="AC156" s="1055"/>
      <c r="AD156" s="1055"/>
      <c r="AE156" s="1055"/>
      <c r="AF156" s="1055" t="s">
        <v>800</v>
      </c>
      <c r="AG156" s="1055"/>
      <c r="AH156" s="1055"/>
      <c r="AI156" s="1055"/>
      <c r="AJ156" s="1747"/>
      <c r="AK156" s="1747"/>
      <c r="AL156" s="1747"/>
      <c r="AM156" s="1747"/>
      <c r="AN156" s="1747"/>
      <c r="AO156" s="1747"/>
      <c r="AP156" s="1747"/>
      <c r="AQ156" s="1747"/>
      <c r="AR156" s="1747"/>
      <c r="AS156" s="1747"/>
      <c r="AT156" s="1747"/>
      <c r="AU156" s="1747"/>
      <c r="AV156" s="1747"/>
      <c r="AW156" s="1747"/>
      <c r="AX156" s="1747"/>
      <c r="AY156" s="1747"/>
      <c r="AZ156" s="1747"/>
      <c r="BA156" s="1747"/>
      <c r="BB156" s="1747"/>
      <c r="BC156" s="1055"/>
      <c r="BD156" s="1055"/>
      <c r="BE156" s="1055"/>
      <c r="BF156" s="1055"/>
      <c r="BG156" s="1056"/>
    </row>
    <row r="157" spans="1:59" x14ac:dyDescent="0.15">
      <c r="A157" s="1050"/>
      <c r="B157" s="1064"/>
      <c r="C157" s="1055"/>
      <c r="D157" s="1055"/>
      <c r="E157" s="1055"/>
      <c r="F157" s="1055"/>
      <c r="G157" s="1055"/>
      <c r="H157" s="1055"/>
      <c r="I157" s="1055"/>
      <c r="J157" s="1055"/>
      <c r="K157" s="1055"/>
      <c r="L157" s="1055"/>
      <c r="M157" s="1055"/>
      <c r="N157" s="1746" t="s">
        <v>315</v>
      </c>
      <c r="O157" s="1746"/>
      <c r="P157" s="1746"/>
      <c r="Q157" s="1746"/>
      <c r="R157" s="1746"/>
      <c r="S157" s="1746"/>
      <c r="T157" s="1746"/>
      <c r="U157" s="1746"/>
      <c r="V157" s="1746"/>
      <c r="W157" s="1746"/>
      <c r="X157" s="1746"/>
      <c r="Y157" s="1055"/>
      <c r="Z157" s="1055"/>
      <c r="AA157" s="1055"/>
      <c r="AB157" s="1055"/>
      <c r="AC157" s="1055"/>
      <c r="AD157" s="1055"/>
      <c r="AE157" s="1055"/>
      <c r="AF157" s="1055"/>
      <c r="AG157" s="1055"/>
      <c r="AH157" s="1055"/>
      <c r="AI157" s="1055"/>
      <c r="AJ157" s="1055"/>
      <c r="AK157" s="1055"/>
      <c r="AL157" s="1055"/>
      <c r="AM157" s="1055"/>
      <c r="AN157" s="1746" t="s">
        <v>315</v>
      </c>
      <c r="AO157" s="1746"/>
      <c r="AP157" s="1746"/>
      <c r="AQ157" s="1746"/>
      <c r="AR157" s="1746"/>
      <c r="AS157" s="1746"/>
      <c r="AT157" s="1746"/>
      <c r="AU157" s="1746"/>
      <c r="AV157" s="1746"/>
      <c r="AW157" s="1746"/>
      <c r="AX157" s="1746"/>
      <c r="AY157" s="1055"/>
      <c r="AZ157" s="1055"/>
      <c r="BA157" s="1055"/>
      <c r="BB157" s="1055"/>
      <c r="BC157" s="1055"/>
      <c r="BD157" s="1055"/>
      <c r="BE157" s="1055"/>
      <c r="BF157" s="1055"/>
      <c r="BG157" s="1056"/>
    </row>
    <row r="158" spans="1:59" x14ac:dyDescent="0.15">
      <c r="A158" s="1050"/>
      <c r="B158" s="1064"/>
      <c r="C158" s="1055"/>
      <c r="D158" s="1055"/>
      <c r="E158" s="1055"/>
      <c r="F158" s="1055"/>
      <c r="G158" s="1055"/>
      <c r="H158" s="1055"/>
      <c r="I158" s="1055"/>
      <c r="J158" s="1055"/>
      <c r="K158" s="1055"/>
      <c r="L158" s="1055"/>
      <c r="M158" s="1055"/>
      <c r="N158" s="1055"/>
      <c r="O158" s="1055"/>
      <c r="P158" s="1055"/>
      <c r="Q158" s="1055"/>
      <c r="R158" s="1055"/>
      <c r="S158" s="1055"/>
      <c r="T158" s="1055"/>
      <c r="U158" s="1055"/>
      <c r="V158" s="1055"/>
      <c r="W158" s="1055"/>
      <c r="X158" s="1055"/>
      <c r="Y158" s="1055"/>
      <c r="Z158" s="1055"/>
      <c r="AA158" s="1055"/>
      <c r="AB158" s="1055"/>
      <c r="AC158" s="1055"/>
      <c r="AD158" s="1055"/>
      <c r="AE158" s="1055"/>
      <c r="AF158" s="1055"/>
      <c r="AG158" s="1055"/>
      <c r="AH158" s="1055"/>
      <c r="AI158" s="1055"/>
      <c r="AJ158" s="1055"/>
      <c r="AK158" s="1055"/>
      <c r="AL158" s="1055"/>
      <c r="AM158" s="1055"/>
      <c r="AN158" s="1055"/>
      <c r="AO158" s="1055"/>
      <c r="AP158" s="1055"/>
      <c r="AQ158" s="1055"/>
      <c r="AR158" s="1055"/>
      <c r="AS158" s="1055"/>
      <c r="AT158" s="1055"/>
      <c r="AU158" s="1055"/>
      <c r="AV158" s="1055"/>
      <c r="AW158" s="1055"/>
      <c r="AX158" s="1055"/>
      <c r="AY158" s="1055"/>
      <c r="AZ158" s="1055"/>
      <c r="BA158" s="1055"/>
      <c r="BB158" s="1055"/>
      <c r="BC158" s="1055"/>
      <c r="BD158" s="1055"/>
      <c r="BE158" s="1055"/>
      <c r="BF158" s="1055"/>
      <c r="BG158" s="1056"/>
    </row>
    <row r="159" spans="1:59" x14ac:dyDescent="0.15">
      <c r="A159" s="1050"/>
      <c r="B159" s="1064"/>
      <c r="C159" s="1055"/>
      <c r="D159" s="1055"/>
      <c r="E159" s="1055"/>
      <c r="F159" s="1055"/>
      <c r="G159" s="1055"/>
      <c r="H159" s="1055"/>
      <c r="I159" s="1055"/>
      <c r="J159" s="1055"/>
      <c r="K159" s="1055"/>
      <c r="L159" s="1055"/>
      <c r="M159" s="1055"/>
      <c r="N159" s="1055"/>
      <c r="O159" s="1055"/>
      <c r="P159" s="1055"/>
      <c r="Q159" s="1055"/>
      <c r="R159" s="1055"/>
      <c r="S159" s="1055"/>
      <c r="T159" s="1055"/>
      <c r="U159" s="1055"/>
      <c r="V159" s="1055"/>
      <c r="W159" s="1055"/>
      <c r="X159" s="1055"/>
      <c r="Y159" s="1055"/>
      <c r="Z159" s="1055"/>
      <c r="AA159" s="1055"/>
      <c r="AB159" s="1055"/>
      <c r="AC159" s="1055"/>
      <c r="AD159" s="1055"/>
      <c r="AE159" s="1055"/>
      <c r="AF159" s="1055"/>
      <c r="AG159" s="1055"/>
      <c r="AH159" s="1055"/>
      <c r="AI159" s="1055"/>
      <c r="AJ159" s="1055"/>
      <c r="AK159" s="1055"/>
      <c r="AL159" s="1055"/>
      <c r="AM159" s="1055"/>
      <c r="AN159" s="1055"/>
      <c r="AO159" s="1055"/>
      <c r="AP159" s="1055"/>
      <c r="AQ159" s="1055"/>
      <c r="AR159" s="1055"/>
      <c r="AS159" s="1055"/>
      <c r="AT159" s="1055"/>
      <c r="AU159" s="1055"/>
      <c r="AV159" s="1055"/>
      <c r="AW159" s="1055"/>
      <c r="AX159" s="1055"/>
      <c r="AY159" s="1055"/>
      <c r="AZ159" s="1055"/>
      <c r="BA159" s="1055"/>
      <c r="BB159" s="1055"/>
      <c r="BC159" s="1055"/>
      <c r="BD159" s="1055"/>
      <c r="BE159" s="1055"/>
      <c r="BF159" s="1055"/>
      <c r="BG159" s="1056"/>
    </row>
    <row r="160" spans="1:59" x14ac:dyDescent="0.15">
      <c r="A160" s="1050"/>
      <c r="B160" s="1064"/>
      <c r="C160" s="1055"/>
      <c r="D160" s="1055"/>
      <c r="E160" s="1055"/>
      <c r="F160" s="1055"/>
      <c r="G160" s="1055"/>
      <c r="H160" s="1055"/>
      <c r="I160" s="1055"/>
      <c r="J160" s="1747"/>
      <c r="K160" s="1747"/>
      <c r="L160" s="1747"/>
      <c r="M160" s="1747"/>
      <c r="N160" s="1747"/>
      <c r="O160" s="1747"/>
      <c r="P160" s="1747"/>
      <c r="Q160" s="1747"/>
      <c r="R160" s="1747"/>
      <c r="S160" s="1747"/>
      <c r="T160" s="1747"/>
      <c r="U160" s="1747"/>
      <c r="V160" s="1747"/>
      <c r="W160" s="1747"/>
      <c r="X160" s="1747"/>
      <c r="Y160" s="1747"/>
      <c r="Z160" s="1747"/>
      <c r="AA160" s="1747"/>
      <c r="AB160" s="1747"/>
      <c r="AC160" s="1055"/>
      <c r="AD160" s="1055"/>
      <c r="AE160" s="1055"/>
      <c r="AF160" s="1055"/>
      <c r="AG160" s="1055"/>
      <c r="AH160" s="1055"/>
      <c r="AI160" s="1055"/>
      <c r="AJ160" s="1747"/>
      <c r="AK160" s="1747"/>
      <c r="AL160" s="1747"/>
      <c r="AM160" s="1747"/>
      <c r="AN160" s="1747"/>
      <c r="AO160" s="1747"/>
      <c r="AP160" s="1747"/>
      <c r="AQ160" s="1747"/>
      <c r="AR160" s="1747"/>
      <c r="AS160" s="1747"/>
      <c r="AT160" s="1747"/>
      <c r="AU160" s="1747"/>
      <c r="AV160" s="1747"/>
      <c r="AW160" s="1747"/>
      <c r="AX160" s="1747"/>
      <c r="AY160" s="1747"/>
      <c r="AZ160" s="1747"/>
      <c r="BA160" s="1747"/>
      <c r="BB160" s="1747"/>
      <c r="BC160" s="1055"/>
      <c r="BD160" s="1055"/>
      <c r="BE160" s="1055"/>
      <c r="BF160" s="1055"/>
      <c r="BG160" s="1056"/>
    </row>
    <row r="161" spans="1:59" x14ac:dyDescent="0.15">
      <c r="A161" s="1050"/>
      <c r="B161" s="1064"/>
      <c r="C161" s="1055"/>
      <c r="D161" s="1055"/>
      <c r="E161" s="1055"/>
      <c r="F161" s="1055"/>
      <c r="G161" s="1055"/>
      <c r="H161" s="1055"/>
      <c r="I161" s="1055"/>
      <c r="J161" s="1055"/>
      <c r="K161" s="1055"/>
      <c r="L161" s="1055"/>
      <c r="M161" s="1055"/>
      <c r="N161" s="1746" t="s">
        <v>316</v>
      </c>
      <c r="O161" s="1746"/>
      <c r="P161" s="1746"/>
      <c r="Q161" s="1746"/>
      <c r="R161" s="1746"/>
      <c r="S161" s="1746"/>
      <c r="T161" s="1746"/>
      <c r="U161" s="1746"/>
      <c r="V161" s="1746"/>
      <c r="W161" s="1746"/>
      <c r="X161" s="1746"/>
      <c r="Y161" s="1055"/>
      <c r="Z161" s="1055"/>
      <c r="AA161" s="1055"/>
      <c r="AB161" s="1055"/>
      <c r="AC161" s="1055"/>
      <c r="AD161" s="1055"/>
      <c r="AE161" s="1055"/>
      <c r="AF161" s="1055"/>
      <c r="AG161" s="1055"/>
      <c r="AH161" s="1055"/>
      <c r="AI161" s="1055"/>
      <c r="AJ161" s="1055"/>
      <c r="AK161" s="1055"/>
      <c r="AL161" s="1055"/>
      <c r="AM161" s="1055"/>
      <c r="AN161" s="1746" t="s">
        <v>316</v>
      </c>
      <c r="AO161" s="1746"/>
      <c r="AP161" s="1746"/>
      <c r="AQ161" s="1746"/>
      <c r="AR161" s="1746"/>
      <c r="AS161" s="1746"/>
      <c r="AT161" s="1746"/>
      <c r="AU161" s="1746"/>
      <c r="AV161" s="1746"/>
      <c r="AW161" s="1746"/>
      <c r="AX161" s="1746"/>
      <c r="AY161" s="1055"/>
      <c r="AZ161" s="1055"/>
      <c r="BA161" s="1055"/>
      <c r="BB161" s="1055"/>
      <c r="BC161" s="1055"/>
      <c r="BD161" s="1055"/>
      <c r="BE161" s="1055"/>
      <c r="BF161" s="1055"/>
      <c r="BG161" s="1056"/>
    </row>
    <row r="162" spans="1:59" x14ac:dyDescent="0.15">
      <c r="A162" s="1050"/>
      <c r="B162" s="1064"/>
      <c r="C162" s="1055"/>
      <c r="D162" s="1055"/>
      <c r="E162" s="1055"/>
      <c r="F162" s="1055"/>
      <c r="G162" s="1055"/>
      <c r="H162" s="1055"/>
      <c r="I162" s="1055"/>
      <c r="J162" s="1055"/>
      <c r="K162" s="1055"/>
      <c r="L162" s="1055"/>
      <c r="M162" s="1055"/>
      <c r="N162" s="1055"/>
      <c r="O162" s="1055"/>
      <c r="P162" s="1055"/>
      <c r="Q162" s="1055"/>
      <c r="R162" s="1055"/>
      <c r="S162" s="1055"/>
      <c r="T162" s="1055"/>
      <c r="U162" s="1055"/>
      <c r="V162" s="1055"/>
      <c r="W162" s="1055"/>
      <c r="X162" s="1055"/>
      <c r="Y162" s="1055"/>
      <c r="Z162" s="1055"/>
      <c r="AA162" s="1055"/>
      <c r="AB162" s="1055"/>
      <c r="AC162" s="1055"/>
      <c r="AD162" s="1055"/>
      <c r="AE162" s="1055"/>
      <c r="AF162" s="1055"/>
      <c r="AG162" s="1055"/>
      <c r="AH162" s="1055"/>
      <c r="AI162" s="1055"/>
      <c r="AJ162" s="1055"/>
      <c r="AK162" s="1055"/>
      <c r="AL162" s="1055"/>
      <c r="AM162" s="1055"/>
      <c r="AN162" s="1055"/>
      <c r="AO162" s="1055"/>
      <c r="AP162" s="1055"/>
      <c r="AQ162" s="1055"/>
      <c r="AR162" s="1055"/>
      <c r="AS162" s="1055"/>
      <c r="AT162" s="1055"/>
      <c r="AU162" s="1055"/>
      <c r="AV162" s="1055"/>
      <c r="AW162" s="1055"/>
      <c r="AX162" s="1055"/>
      <c r="AY162" s="1055"/>
      <c r="AZ162" s="1055"/>
      <c r="BA162" s="1055"/>
      <c r="BB162" s="1055"/>
      <c r="BC162" s="1055"/>
      <c r="BD162" s="1055"/>
      <c r="BE162" s="1055"/>
      <c r="BF162" s="1055"/>
      <c r="BG162" s="1056"/>
    </row>
    <row r="163" spans="1:59" x14ac:dyDescent="0.15">
      <c r="A163" s="1050"/>
      <c r="B163" s="1064"/>
      <c r="C163" s="1055"/>
      <c r="D163" s="1055"/>
      <c r="E163" s="1055"/>
      <c r="F163" s="1055"/>
      <c r="G163" s="1055"/>
      <c r="H163" s="1055"/>
      <c r="I163" s="1055"/>
      <c r="J163" s="1055"/>
      <c r="K163" s="1055"/>
      <c r="L163" s="1055"/>
      <c r="M163" s="1055"/>
      <c r="N163" s="1055"/>
      <c r="O163" s="1055"/>
      <c r="P163" s="1055"/>
      <c r="Q163" s="1055"/>
      <c r="R163" s="1055"/>
      <c r="S163" s="1055"/>
      <c r="T163" s="1055"/>
      <c r="U163" s="1055"/>
      <c r="V163" s="1055"/>
      <c r="W163" s="1055"/>
      <c r="X163" s="1055"/>
      <c r="Y163" s="1055"/>
      <c r="Z163" s="1055"/>
      <c r="AA163" s="1055"/>
      <c r="AB163" s="1055"/>
      <c r="AC163" s="1055"/>
      <c r="AD163" s="1055"/>
      <c r="AE163" s="1055"/>
      <c r="AF163" s="1055"/>
      <c r="AG163" s="1055"/>
      <c r="AH163" s="1055"/>
      <c r="AI163" s="1055"/>
      <c r="AJ163" s="1055"/>
      <c r="AK163" s="1055"/>
      <c r="AL163" s="1055"/>
      <c r="AM163" s="1055"/>
      <c r="AN163" s="1055"/>
      <c r="AO163" s="1055"/>
      <c r="AP163" s="1055"/>
      <c r="AQ163" s="1055"/>
      <c r="AR163" s="1055"/>
      <c r="AS163" s="1055"/>
      <c r="AT163" s="1055"/>
      <c r="AU163" s="1055"/>
      <c r="AV163" s="1055"/>
      <c r="AW163" s="1055"/>
      <c r="AX163" s="1055"/>
      <c r="AY163" s="1055"/>
      <c r="AZ163" s="1055"/>
      <c r="BA163" s="1055"/>
      <c r="BB163" s="1055"/>
      <c r="BC163" s="1055"/>
      <c r="BD163" s="1055"/>
      <c r="BE163" s="1055"/>
      <c r="BF163" s="1055"/>
      <c r="BG163" s="1056"/>
    </row>
    <row r="164" spans="1:59" x14ac:dyDescent="0.15">
      <c r="A164" s="1050"/>
      <c r="B164" s="1064"/>
      <c r="C164" s="1055"/>
      <c r="D164" s="1055"/>
      <c r="E164" s="1055"/>
      <c r="F164" s="1055"/>
      <c r="G164" s="1055"/>
      <c r="H164" s="1055"/>
      <c r="I164" s="1055"/>
      <c r="J164" s="1747"/>
      <c r="K164" s="1747"/>
      <c r="L164" s="1747"/>
      <c r="M164" s="1747"/>
      <c r="N164" s="1747"/>
      <c r="O164" s="1747"/>
      <c r="P164" s="1747"/>
      <c r="Q164" s="1747"/>
      <c r="R164" s="1747"/>
      <c r="S164" s="1747"/>
      <c r="T164" s="1747"/>
      <c r="U164" s="1747"/>
      <c r="V164" s="1747"/>
      <c r="W164" s="1747"/>
      <c r="X164" s="1747"/>
      <c r="Y164" s="1747"/>
      <c r="Z164" s="1747"/>
      <c r="AA164" s="1747"/>
      <c r="AB164" s="1747"/>
      <c r="AC164" s="1055"/>
      <c r="AD164" s="1055"/>
      <c r="AE164" s="1055"/>
      <c r="AF164" s="1055"/>
      <c r="AG164" s="1055"/>
      <c r="AH164" s="1055"/>
      <c r="AI164" s="1055"/>
      <c r="AJ164" s="1747"/>
      <c r="AK164" s="1747"/>
      <c r="AL164" s="1747"/>
      <c r="AM164" s="1747"/>
      <c r="AN164" s="1747"/>
      <c r="AO164" s="1747"/>
      <c r="AP164" s="1747"/>
      <c r="AQ164" s="1747"/>
      <c r="AR164" s="1747"/>
      <c r="AS164" s="1747"/>
      <c r="AT164" s="1747"/>
      <c r="AU164" s="1747"/>
      <c r="AV164" s="1747"/>
      <c r="AW164" s="1747"/>
      <c r="AX164" s="1747"/>
      <c r="AY164" s="1747"/>
      <c r="AZ164" s="1747"/>
      <c r="BA164" s="1747"/>
      <c r="BB164" s="1747"/>
      <c r="BC164" s="1055"/>
      <c r="BD164" s="1055"/>
      <c r="BE164" s="1055"/>
      <c r="BF164" s="1055"/>
      <c r="BG164" s="1056"/>
    </row>
    <row r="165" spans="1:59" x14ac:dyDescent="0.15">
      <c r="A165" s="1050"/>
      <c r="B165" s="1064"/>
      <c r="C165" s="1055"/>
      <c r="D165" s="1055"/>
      <c r="E165" s="1055"/>
      <c r="F165" s="1055"/>
      <c r="G165" s="1055"/>
      <c r="H165" s="1055"/>
      <c r="I165" s="1055"/>
      <c r="J165" s="1055"/>
      <c r="K165" s="1055"/>
      <c r="L165" s="1055"/>
      <c r="M165" s="1055"/>
      <c r="N165" s="1746" t="s">
        <v>801</v>
      </c>
      <c r="O165" s="1746"/>
      <c r="P165" s="1746"/>
      <c r="Q165" s="1746"/>
      <c r="R165" s="1746"/>
      <c r="S165" s="1746"/>
      <c r="T165" s="1746"/>
      <c r="U165" s="1746"/>
      <c r="V165" s="1746"/>
      <c r="W165" s="1746"/>
      <c r="X165" s="1746"/>
      <c r="Y165" s="1055"/>
      <c r="Z165" s="1055"/>
      <c r="AA165" s="1055"/>
      <c r="AB165" s="1055"/>
      <c r="AC165" s="1055"/>
      <c r="AD165" s="1055"/>
      <c r="AE165" s="1055"/>
      <c r="AF165" s="1055"/>
      <c r="AG165" s="1055"/>
      <c r="AH165" s="1055"/>
      <c r="AI165" s="1055"/>
      <c r="AJ165" s="1055"/>
      <c r="AK165" s="1055"/>
      <c r="AL165" s="1055"/>
      <c r="AM165" s="1055"/>
      <c r="AN165" s="1746" t="s">
        <v>801</v>
      </c>
      <c r="AO165" s="1746"/>
      <c r="AP165" s="1746"/>
      <c r="AQ165" s="1746"/>
      <c r="AR165" s="1746"/>
      <c r="AS165" s="1746"/>
      <c r="AT165" s="1746"/>
      <c r="AU165" s="1746"/>
      <c r="AV165" s="1746"/>
      <c r="AW165" s="1746"/>
      <c r="AX165" s="1746"/>
      <c r="AY165" s="1055"/>
      <c r="AZ165" s="1055"/>
      <c r="BA165" s="1055"/>
      <c r="BB165" s="1055"/>
      <c r="BC165" s="1055"/>
      <c r="BD165" s="1055"/>
      <c r="BE165" s="1055"/>
      <c r="BF165" s="1055"/>
      <c r="BG165" s="1056"/>
    </row>
    <row r="166" spans="1:59" x14ac:dyDescent="0.15">
      <c r="A166" s="1050"/>
      <c r="B166" s="1064"/>
      <c r="C166" s="1055"/>
      <c r="D166" s="1055"/>
      <c r="E166" s="1055"/>
      <c r="F166" s="1055"/>
      <c r="G166" s="1055"/>
      <c r="H166" s="1055"/>
      <c r="I166" s="1055"/>
      <c r="J166" s="1055"/>
      <c r="K166" s="1055"/>
      <c r="L166" s="1055"/>
      <c r="M166" s="1055"/>
      <c r="N166" s="1055"/>
      <c r="O166" s="1055"/>
      <c r="P166" s="1055"/>
      <c r="Q166" s="1055"/>
      <c r="R166" s="1055"/>
      <c r="S166" s="1055"/>
      <c r="T166" s="1055"/>
      <c r="U166" s="1055"/>
      <c r="V166" s="1055"/>
      <c r="W166" s="1055"/>
      <c r="X166" s="1055"/>
      <c r="Y166" s="1055"/>
      <c r="Z166" s="1055"/>
      <c r="AA166" s="1055"/>
      <c r="AB166" s="1055"/>
      <c r="AC166" s="1055"/>
      <c r="AD166" s="1055"/>
      <c r="AE166" s="1055"/>
      <c r="AF166" s="1055"/>
      <c r="AG166" s="1055"/>
      <c r="AH166" s="1055"/>
      <c r="AI166" s="1055"/>
      <c r="AJ166" s="1055"/>
      <c r="AK166" s="1055"/>
      <c r="AL166" s="1055"/>
      <c r="AM166" s="1055"/>
      <c r="AN166" s="1055"/>
      <c r="AO166" s="1055"/>
      <c r="AP166" s="1055"/>
      <c r="AQ166" s="1055"/>
      <c r="AR166" s="1055"/>
      <c r="AS166" s="1055"/>
      <c r="AT166" s="1055"/>
      <c r="AU166" s="1055"/>
      <c r="AV166" s="1055"/>
      <c r="AW166" s="1055"/>
      <c r="AX166" s="1055"/>
      <c r="AY166" s="1055"/>
      <c r="AZ166" s="1055"/>
      <c r="BA166" s="1055"/>
      <c r="BB166" s="1055"/>
      <c r="BC166" s="1055"/>
      <c r="BD166" s="1055"/>
      <c r="BE166" s="1055"/>
      <c r="BF166" s="1055"/>
      <c r="BG166" s="1056"/>
    </row>
    <row r="167" spans="1:59" x14ac:dyDescent="0.15">
      <c r="A167" s="1050"/>
      <c r="B167" s="1064"/>
      <c r="C167" s="1055"/>
      <c r="D167" s="1055"/>
      <c r="E167" s="1055"/>
      <c r="F167" s="1055"/>
      <c r="G167" s="1055"/>
      <c r="H167" s="1055"/>
      <c r="I167" s="1055"/>
      <c r="J167" s="1055"/>
      <c r="K167" s="1055"/>
      <c r="L167" s="1055"/>
      <c r="M167" s="1055"/>
      <c r="N167" s="1055"/>
      <c r="O167" s="1055"/>
      <c r="P167" s="1055"/>
      <c r="Q167" s="1055"/>
      <c r="R167" s="1055"/>
      <c r="S167" s="1055"/>
      <c r="T167" s="1055"/>
      <c r="U167" s="1055"/>
      <c r="V167" s="1055"/>
      <c r="W167" s="1055"/>
      <c r="X167" s="1055"/>
      <c r="Y167" s="1055"/>
      <c r="Z167" s="1055"/>
      <c r="AA167" s="1055"/>
      <c r="AB167" s="1055"/>
      <c r="AC167" s="1055"/>
      <c r="AD167" s="1055"/>
      <c r="AE167" s="1055"/>
      <c r="AF167" s="1055"/>
      <c r="AG167" s="1055"/>
      <c r="AH167" s="1055"/>
      <c r="AI167" s="1055"/>
      <c r="AJ167" s="1055"/>
      <c r="AK167" s="1055"/>
      <c r="AL167" s="1055"/>
      <c r="AM167" s="1055"/>
      <c r="AN167" s="1055"/>
      <c r="AO167" s="1055"/>
      <c r="AP167" s="1055"/>
      <c r="AQ167" s="1055"/>
      <c r="AR167" s="1055"/>
      <c r="AS167" s="1055"/>
      <c r="AT167" s="1055"/>
      <c r="AU167" s="1055"/>
      <c r="AV167" s="1055"/>
      <c r="AW167" s="1055"/>
      <c r="AX167" s="1055"/>
      <c r="AY167" s="1055"/>
      <c r="AZ167" s="1055"/>
      <c r="BA167" s="1055"/>
      <c r="BB167" s="1055"/>
      <c r="BC167" s="1055"/>
      <c r="BD167" s="1055"/>
      <c r="BE167" s="1055"/>
      <c r="BF167" s="1055"/>
      <c r="BG167" s="1056"/>
    </row>
    <row r="168" spans="1:59" x14ac:dyDescent="0.15">
      <c r="A168" s="1050"/>
      <c r="B168" s="1064"/>
      <c r="C168" s="1055"/>
      <c r="D168" s="1055"/>
      <c r="E168" s="1055"/>
      <c r="F168" s="1055"/>
      <c r="G168" s="1055"/>
      <c r="H168" s="1055"/>
      <c r="I168" s="1055"/>
      <c r="J168" s="1747"/>
      <c r="K168" s="1747"/>
      <c r="L168" s="1747"/>
      <c r="M168" s="1747"/>
      <c r="N168" s="1747"/>
      <c r="O168" s="1747"/>
      <c r="P168" s="1747"/>
      <c r="Q168" s="1747"/>
      <c r="R168" s="1747"/>
      <c r="S168" s="1747"/>
      <c r="T168" s="1747"/>
      <c r="U168" s="1747"/>
      <c r="V168" s="1747"/>
      <c r="W168" s="1747"/>
      <c r="X168" s="1747"/>
      <c r="Y168" s="1747"/>
      <c r="Z168" s="1747"/>
      <c r="AA168" s="1747"/>
      <c r="AB168" s="1747"/>
      <c r="AC168" s="1055"/>
      <c r="AD168" s="1055"/>
      <c r="AE168" s="1055"/>
      <c r="AF168" s="1055"/>
      <c r="AG168" s="1055"/>
      <c r="AH168" s="1055"/>
      <c r="AI168" s="1055"/>
      <c r="AJ168" s="1747"/>
      <c r="AK168" s="1747"/>
      <c r="AL168" s="1747"/>
      <c r="AM168" s="1747"/>
      <c r="AN168" s="1747"/>
      <c r="AO168" s="1747"/>
      <c r="AP168" s="1747"/>
      <c r="AQ168" s="1747"/>
      <c r="AR168" s="1747"/>
      <c r="AS168" s="1747"/>
      <c r="AT168" s="1747"/>
      <c r="AU168" s="1747"/>
      <c r="AV168" s="1747"/>
      <c r="AW168" s="1747"/>
      <c r="AX168" s="1747"/>
      <c r="AY168" s="1747"/>
      <c r="AZ168" s="1747"/>
      <c r="BA168" s="1747"/>
      <c r="BB168" s="1747"/>
      <c r="BC168" s="1055"/>
      <c r="BD168" s="1055"/>
      <c r="BE168" s="1055"/>
      <c r="BF168" s="1055"/>
      <c r="BG168" s="1056"/>
    </row>
    <row r="169" spans="1:59" x14ac:dyDescent="0.15">
      <c r="A169" s="1050"/>
      <c r="B169" s="1064"/>
      <c r="C169" s="1055"/>
      <c r="D169" s="1055"/>
      <c r="E169" s="1055"/>
      <c r="F169" s="1055"/>
      <c r="G169" s="1055"/>
      <c r="H169" s="1055"/>
      <c r="I169" s="1055"/>
      <c r="J169" s="1055"/>
      <c r="K169" s="1055"/>
      <c r="L169" s="1055"/>
      <c r="M169" s="1055"/>
      <c r="N169" s="1746" t="s">
        <v>802</v>
      </c>
      <c r="O169" s="1746"/>
      <c r="P169" s="1746"/>
      <c r="Q169" s="1746"/>
      <c r="R169" s="1746"/>
      <c r="S169" s="1746"/>
      <c r="T169" s="1746"/>
      <c r="U169" s="1746"/>
      <c r="V169" s="1746"/>
      <c r="W169" s="1746"/>
      <c r="X169" s="1746"/>
      <c r="Y169" s="1055"/>
      <c r="Z169" s="1055"/>
      <c r="AA169" s="1055"/>
      <c r="AB169" s="1055"/>
      <c r="AC169" s="1055"/>
      <c r="AD169" s="1055"/>
      <c r="AE169" s="1055"/>
      <c r="AF169" s="1055"/>
      <c r="AG169" s="1055"/>
      <c r="AH169" s="1055"/>
      <c r="AI169" s="1055"/>
      <c r="AJ169" s="1055"/>
      <c r="AK169" s="1055"/>
      <c r="AL169" s="1055"/>
      <c r="AM169" s="1055"/>
      <c r="AN169" s="1746" t="s">
        <v>802</v>
      </c>
      <c r="AO169" s="1746"/>
      <c r="AP169" s="1746"/>
      <c r="AQ169" s="1746"/>
      <c r="AR169" s="1746"/>
      <c r="AS169" s="1746"/>
      <c r="AT169" s="1746"/>
      <c r="AU169" s="1746"/>
      <c r="AV169" s="1746"/>
      <c r="AW169" s="1746"/>
      <c r="AX169" s="1746"/>
      <c r="AY169" s="1055"/>
      <c r="AZ169" s="1055"/>
      <c r="BA169" s="1055"/>
      <c r="BB169" s="1055"/>
      <c r="BC169" s="1055"/>
      <c r="BD169" s="1055"/>
      <c r="BE169" s="1055"/>
      <c r="BF169" s="1055"/>
      <c r="BG169" s="1056"/>
    </row>
    <row r="170" spans="1:59" x14ac:dyDescent="0.15">
      <c r="A170" s="1050"/>
      <c r="B170" s="1064"/>
      <c r="C170" s="1760"/>
      <c r="D170" s="1760"/>
      <c r="E170" s="1760"/>
      <c r="F170" s="1760"/>
      <c r="G170" s="1760"/>
      <c r="H170" s="1760"/>
      <c r="I170" s="1760"/>
      <c r="J170" s="1760"/>
      <c r="K170" s="1760"/>
      <c r="L170" s="1760"/>
      <c r="M170" s="1760"/>
      <c r="N170" s="1760"/>
      <c r="O170" s="1760"/>
      <c r="P170" s="1760"/>
      <c r="Q170" s="1760"/>
      <c r="R170" s="1760"/>
      <c r="S170" s="1760"/>
      <c r="T170" s="1760"/>
      <c r="U170" s="1760"/>
      <c r="V170" s="1760"/>
      <c r="W170" s="1760"/>
      <c r="X170" s="1760"/>
      <c r="Y170" s="1760"/>
      <c r="Z170" s="1760"/>
      <c r="AA170" s="1760"/>
      <c r="AB170" s="1760"/>
      <c r="AC170" s="1760"/>
      <c r="AD170" s="1760"/>
      <c r="AE170" s="1760"/>
      <c r="AF170" s="1760"/>
      <c r="AG170" s="1760"/>
      <c r="AH170" s="1760"/>
      <c r="AI170" s="1760"/>
      <c r="AJ170" s="1760"/>
      <c r="AK170" s="1760"/>
      <c r="AL170" s="1760"/>
      <c r="AM170" s="1760"/>
      <c r="AN170" s="1760"/>
      <c r="AO170" s="1760"/>
      <c r="AP170" s="1760"/>
      <c r="AQ170" s="1760"/>
      <c r="AR170" s="1760"/>
      <c r="AS170" s="1760"/>
      <c r="AT170" s="1760"/>
      <c r="AU170" s="1760"/>
      <c r="AV170" s="1760"/>
      <c r="AW170" s="1760"/>
      <c r="AX170" s="1760"/>
      <c r="AY170" s="1760"/>
      <c r="AZ170" s="1760"/>
      <c r="BA170" s="1760"/>
      <c r="BB170" s="1760"/>
      <c r="BC170" s="1760"/>
      <c r="BD170" s="1760"/>
      <c r="BE170" s="1760"/>
      <c r="BF170" s="1760"/>
      <c r="BG170" s="1056"/>
    </row>
    <row r="171" spans="1:59" x14ac:dyDescent="0.15">
      <c r="A171" s="1050"/>
      <c r="B171" s="1065"/>
      <c r="C171" s="1747"/>
      <c r="D171" s="1747"/>
      <c r="E171" s="1747"/>
      <c r="F171" s="1747"/>
      <c r="G171" s="1747"/>
      <c r="H171" s="1747"/>
      <c r="I171" s="1747"/>
      <c r="J171" s="1747"/>
      <c r="K171" s="1747"/>
      <c r="L171" s="1747"/>
      <c r="M171" s="1747"/>
      <c r="N171" s="1747"/>
      <c r="O171" s="1747"/>
      <c r="P171" s="1747"/>
      <c r="Q171" s="1747"/>
      <c r="R171" s="1747"/>
      <c r="S171" s="1747"/>
      <c r="T171" s="1747"/>
      <c r="U171" s="1747"/>
      <c r="V171" s="1747"/>
      <c r="W171" s="1747"/>
      <c r="X171" s="1747"/>
      <c r="Y171" s="1747"/>
      <c r="Z171" s="1747"/>
      <c r="AA171" s="1747"/>
      <c r="AB171" s="1747"/>
      <c r="AC171" s="1747"/>
      <c r="AD171" s="1747"/>
      <c r="AE171" s="1747"/>
      <c r="AF171" s="1747"/>
      <c r="AG171" s="1747"/>
      <c r="AH171" s="1747"/>
      <c r="AI171" s="1747"/>
      <c r="AJ171" s="1747"/>
      <c r="AK171" s="1747"/>
      <c r="AL171" s="1747"/>
      <c r="AM171" s="1747"/>
      <c r="AN171" s="1747"/>
      <c r="AO171" s="1747"/>
      <c r="AP171" s="1747"/>
      <c r="AQ171" s="1747"/>
      <c r="AR171" s="1747"/>
      <c r="AS171" s="1747"/>
      <c r="AT171" s="1747"/>
      <c r="AU171" s="1747"/>
      <c r="AV171" s="1747"/>
      <c r="AW171" s="1747"/>
      <c r="AX171" s="1747"/>
      <c r="AY171" s="1747"/>
      <c r="AZ171" s="1747"/>
      <c r="BA171" s="1747"/>
      <c r="BB171" s="1747"/>
      <c r="BC171" s="1747"/>
      <c r="BD171" s="1747"/>
      <c r="BE171" s="1747"/>
      <c r="BF171" s="1747"/>
      <c r="BG171" s="1067"/>
    </row>
    <row r="172" spans="1:59" x14ac:dyDescent="0.15">
      <c r="A172" s="1050"/>
      <c r="B172" s="1050"/>
      <c r="C172" s="1781"/>
      <c r="D172" s="1781"/>
      <c r="E172" s="1781"/>
      <c r="F172" s="1781"/>
      <c r="G172" s="1781"/>
      <c r="H172" s="1781"/>
      <c r="I172" s="1781"/>
      <c r="J172" s="1781"/>
      <c r="K172" s="1781"/>
      <c r="L172" s="1781"/>
      <c r="M172" s="1781"/>
      <c r="N172" s="1781"/>
      <c r="O172" s="1781"/>
      <c r="P172" s="1781"/>
      <c r="Q172" s="1781"/>
      <c r="R172" s="1781"/>
      <c r="S172" s="1781"/>
      <c r="T172" s="1781"/>
      <c r="U172" s="1781"/>
      <c r="V172" s="1781"/>
      <c r="W172" s="1781"/>
      <c r="X172" s="1781"/>
      <c r="Y172" s="1781"/>
      <c r="Z172" s="1781"/>
      <c r="AA172" s="1781"/>
      <c r="AB172" s="1781"/>
      <c r="AC172" s="1781"/>
      <c r="AD172" s="1781"/>
      <c r="AE172" s="1781"/>
      <c r="AF172" s="1781"/>
      <c r="AG172" s="1781"/>
      <c r="AH172" s="1781"/>
      <c r="AI172" s="1781"/>
      <c r="AJ172" s="1781"/>
      <c r="AK172" s="1781"/>
      <c r="AL172" s="1781"/>
      <c r="AM172" s="1781"/>
      <c r="AN172" s="1781"/>
      <c r="AO172" s="1781"/>
      <c r="AP172" s="1781"/>
      <c r="AQ172" s="1781"/>
      <c r="AR172" s="1781"/>
      <c r="AS172" s="1781"/>
      <c r="AT172" s="1781"/>
      <c r="AU172" s="1781"/>
      <c r="AV172" s="1781"/>
      <c r="AW172" s="1781"/>
      <c r="AX172" s="1781"/>
      <c r="AY172" s="1781"/>
      <c r="AZ172" s="1781"/>
      <c r="BA172" s="1781"/>
      <c r="BB172" s="1781"/>
      <c r="BC172" s="1781"/>
      <c r="BD172" s="1781"/>
      <c r="BE172" s="1781"/>
      <c r="BF172" s="1781"/>
      <c r="BG172" s="1050"/>
    </row>
    <row r="173" spans="1:59" ht="14.25" customHeight="1" x14ac:dyDescent="0.15">
      <c r="A173" s="1050"/>
      <c r="B173" s="1762" t="str">
        <f>+IF(Hitelprog_Rovid="","",Hitelprog_Rovid)</f>
        <v/>
      </c>
      <c r="C173" s="1762"/>
      <c r="D173" s="1762"/>
      <c r="E173" s="1762"/>
      <c r="F173" s="1762"/>
      <c r="G173" s="1762"/>
      <c r="H173" s="1762"/>
      <c r="I173" s="1762"/>
      <c r="J173" s="1762"/>
      <c r="K173" s="1762"/>
      <c r="L173" s="1762"/>
      <c r="M173" s="1762"/>
      <c r="N173" s="1762"/>
      <c r="O173" s="1762"/>
      <c r="P173" s="1762"/>
      <c r="Q173" s="1762"/>
      <c r="R173" s="1762"/>
      <c r="S173" s="1762"/>
      <c r="T173" s="1762"/>
      <c r="U173" s="1762"/>
      <c r="V173" s="1762"/>
      <c r="W173" s="1762"/>
      <c r="X173" s="1762"/>
      <c r="Y173" s="1762"/>
      <c r="Z173" s="1762"/>
      <c r="AA173" s="1762"/>
      <c r="AB173" s="1762"/>
      <c r="AC173" s="1762"/>
      <c r="AD173" s="1762"/>
      <c r="AE173" s="1762"/>
      <c r="AF173" s="1762"/>
      <c r="AG173" s="1762"/>
      <c r="AH173" s="1762"/>
      <c r="AI173" s="1762"/>
      <c r="AJ173" s="1762"/>
      <c r="AK173" s="1762"/>
      <c r="AL173" s="1762"/>
      <c r="AM173" s="1762"/>
      <c r="AN173" s="1762"/>
      <c r="AO173" s="1762"/>
      <c r="AP173" s="1762"/>
      <c r="AQ173" s="1762"/>
      <c r="AR173" s="1762"/>
      <c r="AS173" s="1762"/>
      <c r="AT173" s="1762"/>
      <c r="AU173" s="1762"/>
      <c r="AV173" s="1762"/>
      <c r="AW173" s="1762"/>
      <c r="AX173" s="1762"/>
      <c r="AY173" s="1762"/>
      <c r="AZ173" s="1762"/>
      <c r="BA173" s="1762"/>
      <c r="BB173" s="1762"/>
      <c r="BC173" s="1762"/>
      <c r="BD173" s="1762"/>
      <c r="BE173" s="1762"/>
      <c r="BF173" s="1762"/>
      <c r="BG173" s="1762"/>
    </row>
    <row r="174" spans="1:59" ht="14.25" customHeight="1" x14ac:dyDescent="0.15">
      <c r="A174" s="1050"/>
      <c r="B174" s="1762"/>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2"/>
      <c r="BE174" s="1762"/>
      <c r="BF174" s="1762"/>
      <c r="BG174" s="1762"/>
    </row>
    <row r="175" spans="1:59" x14ac:dyDescent="0.15">
      <c r="A175" s="1752"/>
      <c r="B175" s="1752"/>
      <c r="C175" s="1752"/>
      <c r="D175" s="1752"/>
      <c r="E175" s="1050"/>
      <c r="F175" s="1050"/>
      <c r="G175" s="1050"/>
      <c r="H175" s="1050"/>
      <c r="I175" s="1050"/>
      <c r="J175" s="1050"/>
      <c r="K175" s="1050"/>
      <c r="L175" s="1050"/>
      <c r="M175" s="1050"/>
      <c r="N175" s="1050"/>
      <c r="O175" s="1050"/>
      <c r="P175" s="1050"/>
      <c r="Q175" s="1050"/>
      <c r="R175" s="1050"/>
      <c r="S175" s="1050"/>
      <c r="T175" s="1050"/>
      <c r="U175" s="1050"/>
      <c r="V175" s="1050"/>
      <c r="W175" s="1050"/>
      <c r="X175" s="1050"/>
      <c r="Y175" s="1050"/>
      <c r="Z175" s="1050"/>
      <c r="AA175" s="1050"/>
      <c r="AB175" s="1050"/>
      <c r="AC175" s="1050"/>
      <c r="AD175" s="1050"/>
      <c r="AE175" s="1050"/>
      <c r="AF175" s="1050"/>
      <c r="AG175" s="1050"/>
      <c r="AH175" s="1050"/>
      <c r="AI175" s="1050"/>
      <c r="AJ175" s="1050"/>
      <c r="AK175" s="1050"/>
      <c r="AL175" s="1050"/>
      <c r="AM175" s="1050"/>
      <c r="AN175" s="1050"/>
      <c r="AO175" s="1050"/>
      <c r="AP175" s="1050"/>
      <c r="AQ175" s="1050"/>
      <c r="AR175" s="1050"/>
      <c r="AS175" s="1050"/>
      <c r="AT175" s="1050"/>
      <c r="AU175" s="1050"/>
      <c r="AV175" s="1050"/>
      <c r="AW175" s="1050"/>
      <c r="AX175" s="1050"/>
      <c r="AY175" s="1050"/>
      <c r="AZ175" s="1050"/>
      <c r="BA175" s="1050"/>
      <c r="BB175" s="1050"/>
      <c r="BC175" s="1050"/>
      <c r="BD175" s="1050"/>
      <c r="BE175" s="1050"/>
      <c r="BF175" s="1050"/>
      <c r="BG175" s="1050"/>
    </row>
    <row r="176" spans="1:59" ht="15" thickBot="1" x14ac:dyDescent="0.2">
      <c r="A176" s="1752"/>
      <c r="B176" s="1752"/>
      <c r="C176" s="1752"/>
      <c r="D176" s="1752"/>
      <c r="E176" s="1050"/>
      <c r="F176" s="1050"/>
      <c r="G176" s="1050"/>
      <c r="H176" s="1050"/>
      <c r="I176" s="1050"/>
      <c r="J176" s="1050"/>
      <c r="K176" s="1050"/>
      <c r="L176" s="1050"/>
      <c r="M176" s="1050"/>
      <c r="N176" s="1050"/>
      <c r="O176" s="1050"/>
      <c r="P176" s="1050"/>
      <c r="Q176" s="1050"/>
      <c r="R176" s="1050"/>
      <c r="S176" s="1050"/>
      <c r="T176" s="1050"/>
      <c r="U176" s="1050"/>
      <c r="V176" s="1050"/>
      <c r="W176" s="1050"/>
      <c r="X176" s="1050"/>
      <c r="Y176" s="1050"/>
      <c r="Z176" s="1050"/>
      <c r="AA176" s="1050"/>
      <c r="AB176" s="1050"/>
      <c r="AC176" s="1050"/>
      <c r="AD176" s="1050"/>
      <c r="AE176" s="1050"/>
      <c r="AF176" s="1050"/>
      <c r="AG176" s="1050"/>
      <c r="AH176" s="1050"/>
      <c r="AI176" s="1050"/>
      <c r="AJ176" s="1050"/>
      <c r="AK176" s="1050"/>
      <c r="AL176" s="1050"/>
      <c r="AM176" s="1050"/>
      <c r="AN176" s="1050"/>
      <c r="AO176" s="1050"/>
      <c r="AP176" s="1050"/>
      <c r="AQ176" s="1050"/>
      <c r="AR176" s="1050"/>
      <c r="AS176" s="1050"/>
      <c r="AT176" s="1050"/>
      <c r="AU176" s="1050"/>
      <c r="AV176" s="1050"/>
      <c r="AW176" s="1050"/>
      <c r="AX176" s="1050"/>
      <c r="AY176" s="1050"/>
      <c r="AZ176" s="1050"/>
      <c r="BA176" s="1050"/>
      <c r="BB176" s="1050"/>
      <c r="BC176" s="1050"/>
      <c r="BD176" s="1050"/>
      <c r="BE176" s="1050"/>
      <c r="BF176" s="1050"/>
      <c r="BG176" s="1050"/>
    </row>
    <row r="177" spans="1:59" ht="23.25" customHeight="1" thickBot="1" x14ac:dyDescent="0.2">
      <c r="A177" s="1752"/>
      <c r="B177" s="1752"/>
      <c r="C177" s="1752"/>
      <c r="D177" s="1752"/>
      <c r="E177" s="1050"/>
      <c r="F177" s="1050"/>
      <c r="G177" s="1050"/>
      <c r="H177" s="1050"/>
      <c r="I177" s="1050"/>
      <c r="J177" s="1050"/>
      <c r="K177" s="1050"/>
      <c r="L177" s="1050"/>
      <c r="M177" s="1050"/>
      <c r="N177" s="1050"/>
      <c r="O177" s="1050"/>
      <c r="P177" s="1050"/>
      <c r="Q177" s="1782" t="str">
        <f>+IF(B173="MFB NHP Fix Lízing Refinanszírozási Program","FINANSZÍROZÁSI KATEGÓRIA NYILATKOZAT","TÁMOGATÁSI KATEGÓRIA NYILATKOZAT")</f>
        <v>TÁMOGATÁSI KATEGÓRIA NYILATKOZAT</v>
      </c>
      <c r="R177" s="1783"/>
      <c r="S177" s="1783"/>
      <c r="T177" s="1783"/>
      <c r="U177" s="1783"/>
      <c r="V177" s="1783"/>
      <c r="W177" s="1783"/>
      <c r="X177" s="1783"/>
      <c r="Y177" s="1783"/>
      <c r="Z177" s="1783"/>
      <c r="AA177" s="1783"/>
      <c r="AB177" s="1783"/>
      <c r="AC177" s="1783"/>
      <c r="AD177" s="1783"/>
      <c r="AE177" s="1783"/>
      <c r="AF177" s="1783"/>
      <c r="AG177" s="1783"/>
      <c r="AH177" s="1783"/>
      <c r="AI177" s="1783"/>
      <c r="AJ177" s="1783"/>
      <c r="AK177" s="1783"/>
      <c r="AL177" s="1783"/>
      <c r="AM177" s="1783"/>
      <c r="AN177" s="1783"/>
      <c r="AO177" s="1783"/>
      <c r="AP177" s="1783"/>
      <c r="AQ177" s="1783"/>
      <c r="AR177" s="1783"/>
      <c r="AS177" s="1784"/>
      <c r="AT177" s="1050"/>
      <c r="AU177" s="1050"/>
      <c r="AV177" s="1050"/>
      <c r="AW177" s="1050"/>
      <c r="AX177" s="1050"/>
      <c r="AY177" s="1050"/>
      <c r="AZ177" s="1050"/>
      <c r="BA177" s="1050"/>
      <c r="BB177" s="1050"/>
      <c r="BC177" s="1050"/>
      <c r="BD177" s="1050"/>
      <c r="BE177" s="1050"/>
      <c r="BF177" s="1050"/>
      <c r="BG177" s="1050"/>
    </row>
    <row r="178" spans="1:59" x14ac:dyDescent="0.15">
      <c r="A178" s="1752"/>
      <c r="B178" s="1752"/>
      <c r="C178" s="1752"/>
      <c r="D178" s="1752"/>
      <c r="E178" s="1050"/>
      <c r="F178" s="1050"/>
      <c r="G178" s="1050"/>
      <c r="H178" s="1050"/>
      <c r="I178" s="1050"/>
      <c r="J178" s="1050"/>
      <c r="K178" s="1050"/>
      <c r="L178" s="1050"/>
      <c r="M178" s="1050"/>
      <c r="N178" s="1050"/>
      <c r="O178" s="1050"/>
      <c r="P178" s="1050"/>
      <c r="Q178" s="1050"/>
      <c r="R178" s="1050"/>
      <c r="S178" s="1050"/>
      <c r="T178" s="1050"/>
      <c r="U178" s="1050"/>
      <c r="V178" s="1050"/>
      <c r="W178" s="1050"/>
      <c r="X178" s="1050"/>
      <c r="Y178" s="1050"/>
      <c r="Z178" s="1050"/>
      <c r="AA178" s="1050"/>
      <c r="AB178" s="1050"/>
      <c r="AC178" s="1050"/>
      <c r="AD178" s="1050"/>
      <c r="AE178" s="1050"/>
      <c r="AF178" s="1050"/>
      <c r="AG178" s="1050"/>
      <c r="AH178" s="1050"/>
      <c r="AI178" s="1050"/>
      <c r="AJ178" s="1050"/>
      <c r="AK178" s="1050"/>
      <c r="AL178" s="1050"/>
      <c r="AM178" s="1050"/>
      <c r="AN178" s="1050"/>
      <c r="AO178" s="1050"/>
      <c r="AP178" s="1050"/>
      <c r="AQ178" s="1050"/>
      <c r="AR178" s="1050"/>
      <c r="AS178" s="1050"/>
      <c r="AT178" s="1050"/>
      <c r="AU178" s="1050"/>
      <c r="AV178" s="1050"/>
      <c r="AW178" s="1050"/>
      <c r="AX178" s="1050"/>
      <c r="AY178" s="1050"/>
      <c r="AZ178" s="1050"/>
      <c r="BA178" s="1050"/>
      <c r="BB178" s="1050"/>
      <c r="BC178" s="1050"/>
      <c r="BD178" s="1050"/>
      <c r="BE178" s="1050"/>
      <c r="BF178" s="1050"/>
      <c r="BG178" s="1050"/>
    </row>
    <row r="179" spans="1:59" x14ac:dyDescent="0.15">
      <c r="A179" s="1052"/>
      <c r="B179" s="1753" t="s">
        <v>841</v>
      </c>
      <c r="C179" s="1754"/>
      <c r="D179" s="1754"/>
      <c r="E179" s="1754"/>
      <c r="F179" s="1754"/>
      <c r="G179" s="1754"/>
      <c r="H179" s="1754"/>
      <c r="I179" s="1754"/>
      <c r="J179" s="1754"/>
      <c r="K179" s="1754"/>
      <c r="L179" s="1754"/>
      <c r="M179" s="1754"/>
      <c r="N179" s="1754"/>
      <c r="O179" s="1754"/>
      <c r="P179" s="1754"/>
      <c r="Q179" s="1754"/>
      <c r="R179" s="1754"/>
      <c r="S179" s="1754"/>
      <c r="T179" s="1754"/>
      <c r="U179" s="1754"/>
      <c r="V179" s="1754"/>
      <c r="W179" s="1754"/>
      <c r="X179" s="1754"/>
      <c r="Y179" s="1754"/>
      <c r="Z179" s="1754"/>
      <c r="AA179" s="1754"/>
      <c r="AB179" s="1754"/>
      <c r="AC179" s="1754"/>
      <c r="AD179" s="1754"/>
      <c r="AE179" s="1754"/>
      <c r="AF179" s="1754"/>
      <c r="AG179" s="1754"/>
      <c r="AH179" s="1754"/>
      <c r="AI179" s="1754"/>
      <c r="AJ179" s="1754"/>
      <c r="AK179" s="1754"/>
      <c r="AL179" s="1754"/>
      <c r="AM179" s="1754"/>
      <c r="AN179" s="1754"/>
      <c r="AO179" s="1754"/>
      <c r="AP179" s="1754"/>
      <c r="AQ179" s="1754"/>
      <c r="AR179" s="1754"/>
      <c r="AS179" s="1754"/>
      <c r="AT179" s="1754"/>
      <c r="AU179" s="1754"/>
      <c r="AV179" s="1754"/>
      <c r="AW179" s="1754"/>
      <c r="AX179" s="1754"/>
      <c r="AY179" s="1754"/>
      <c r="AZ179" s="1754"/>
      <c r="BA179" s="1754"/>
      <c r="BB179" s="1754"/>
      <c r="BC179" s="1754"/>
      <c r="BD179" s="1754"/>
      <c r="BE179" s="1754"/>
      <c r="BF179" s="1754"/>
      <c r="BG179" s="1755"/>
    </row>
    <row r="180" spans="1:59" ht="15" thickBot="1" x14ac:dyDescent="0.2">
      <c r="A180" s="1052"/>
      <c r="B180" s="1053"/>
      <c r="C180" s="1054"/>
      <c r="D180" s="1054"/>
      <c r="E180" s="1055"/>
      <c r="F180" s="1055"/>
      <c r="G180" s="1055"/>
      <c r="H180" s="1055"/>
      <c r="I180" s="1055"/>
      <c r="J180" s="1055"/>
      <c r="K180" s="1055"/>
      <c r="L180" s="1055"/>
      <c r="M180" s="1055"/>
      <c r="N180" s="1055"/>
      <c r="O180" s="1055"/>
      <c r="P180" s="1055"/>
      <c r="Q180" s="1055"/>
      <c r="R180" s="1055"/>
      <c r="S180" s="1055"/>
      <c r="T180" s="1055"/>
      <c r="U180" s="1055"/>
      <c r="V180" s="1055"/>
      <c r="W180" s="1055"/>
      <c r="X180" s="1055"/>
      <c r="Y180" s="1055"/>
      <c r="Z180" s="1055"/>
      <c r="AA180" s="1055"/>
      <c r="AB180" s="1055"/>
      <c r="AC180" s="1055"/>
      <c r="AD180" s="1055"/>
      <c r="AE180" s="1055"/>
      <c r="AF180" s="1055"/>
      <c r="AG180" s="1055"/>
      <c r="AH180" s="1055"/>
      <c r="AI180" s="1055"/>
      <c r="AJ180" s="1055"/>
      <c r="AK180" s="1055"/>
      <c r="AL180" s="1055"/>
      <c r="AM180" s="1055"/>
      <c r="AN180" s="1055"/>
      <c r="AO180" s="1055"/>
      <c r="AP180" s="1055"/>
      <c r="AQ180" s="1055"/>
      <c r="AR180" s="1055"/>
      <c r="AS180" s="1055"/>
      <c r="AT180" s="1055"/>
      <c r="AU180" s="1055"/>
      <c r="AV180" s="1055"/>
      <c r="AW180" s="1055"/>
      <c r="AX180" s="1055"/>
      <c r="AY180" s="1055"/>
      <c r="AZ180" s="1055"/>
      <c r="BA180" s="1055"/>
      <c r="BB180" s="1055"/>
      <c r="BC180" s="1055"/>
      <c r="BD180" s="1055"/>
      <c r="BE180" s="1055"/>
      <c r="BF180" s="1055"/>
      <c r="BG180" s="1056"/>
    </row>
    <row r="181" spans="1:59" ht="15" thickBot="1" x14ac:dyDescent="0.2">
      <c r="A181" s="1052"/>
      <c r="B181" s="1053"/>
      <c r="C181" s="1785" t="str">
        <f>+IF(Ugyfelnyil="","",Ugyfelnyil)</f>
        <v/>
      </c>
      <c r="D181" s="1786"/>
      <c r="E181" s="1786"/>
      <c r="F181" s="1786"/>
      <c r="G181" s="1786"/>
      <c r="H181" s="1786"/>
      <c r="I181" s="1786"/>
      <c r="J181" s="1786"/>
      <c r="K181" s="1786"/>
      <c r="L181" s="1786"/>
      <c r="M181" s="1786"/>
      <c r="N181" s="1786"/>
      <c r="O181" s="1786"/>
      <c r="P181" s="1786"/>
      <c r="Q181" s="1786"/>
      <c r="R181" s="1786"/>
      <c r="S181" s="1786"/>
      <c r="T181" s="1786"/>
      <c r="U181" s="1786"/>
      <c r="V181" s="1786"/>
      <c r="W181" s="1786"/>
      <c r="X181" s="1786"/>
      <c r="Y181" s="1786"/>
      <c r="Z181" s="1786"/>
      <c r="AA181" s="1786"/>
      <c r="AB181" s="1786"/>
      <c r="AC181" s="1786"/>
      <c r="AD181" s="1786"/>
      <c r="AE181" s="1786"/>
      <c r="AF181" s="1786"/>
      <c r="AG181" s="1786"/>
      <c r="AH181" s="1786"/>
      <c r="AI181" s="1786"/>
      <c r="AJ181" s="1786"/>
      <c r="AK181" s="1786"/>
      <c r="AL181" s="1786"/>
      <c r="AM181" s="1786"/>
      <c r="AN181" s="1786"/>
      <c r="AO181" s="1786"/>
      <c r="AP181" s="1786"/>
      <c r="AQ181" s="1786"/>
      <c r="AR181" s="1786"/>
      <c r="AS181" s="1786"/>
      <c r="AT181" s="1786"/>
      <c r="AU181" s="1786"/>
      <c r="AV181" s="1786"/>
      <c r="AW181" s="1786"/>
      <c r="AX181" s="1786"/>
      <c r="AY181" s="1786"/>
      <c r="AZ181" s="1786"/>
      <c r="BA181" s="1786"/>
      <c r="BB181" s="1786"/>
      <c r="BC181" s="1786"/>
      <c r="BD181" s="1786"/>
      <c r="BE181" s="1786"/>
      <c r="BF181" s="1787"/>
      <c r="BG181" s="1056"/>
    </row>
    <row r="182" spans="1:59" x14ac:dyDescent="0.15">
      <c r="A182" s="1052"/>
      <c r="B182" s="1053"/>
      <c r="C182" s="1054"/>
      <c r="D182" s="1057" t="s">
        <v>370</v>
      </c>
      <c r="E182" s="1055"/>
      <c r="F182" s="1055"/>
      <c r="G182" s="1055"/>
      <c r="H182" s="1055"/>
      <c r="I182" s="1055"/>
      <c r="J182" s="1055"/>
      <c r="K182" s="1055"/>
      <c r="L182" s="1055"/>
      <c r="M182" s="1055"/>
      <c r="N182" s="1055"/>
      <c r="O182" s="1055"/>
      <c r="P182" s="1055"/>
      <c r="Q182" s="1055"/>
      <c r="R182" s="1055"/>
      <c r="S182" s="1055"/>
      <c r="T182" s="1055"/>
      <c r="U182" s="1055"/>
      <c r="V182" s="1055"/>
      <c r="W182" s="1055"/>
      <c r="X182" s="1055"/>
      <c r="Y182" s="1055"/>
      <c r="Z182" s="1055"/>
      <c r="AA182" s="1055"/>
      <c r="AB182" s="1055"/>
      <c r="AC182" s="1055"/>
      <c r="AD182" s="1055"/>
      <c r="AE182" s="1055"/>
      <c r="AF182" s="1055"/>
      <c r="AG182" s="1055"/>
      <c r="AH182" s="1055"/>
      <c r="AI182" s="1055"/>
      <c r="AJ182" s="1055"/>
      <c r="AK182" s="1055"/>
      <c r="AL182" s="1055"/>
      <c r="AM182" s="1055"/>
      <c r="AN182" s="1055"/>
      <c r="AO182" s="1055"/>
      <c r="AP182" s="1055"/>
      <c r="AQ182" s="1055"/>
      <c r="AR182" s="1055"/>
      <c r="AS182" s="1055"/>
      <c r="AT182" s="1055"/>
      <c r="AU182" s="1055"/>
      <c r="AV182" s="1055"/>
      <c r="AW182" s="1055"/>
      <c r="AX182" s="1055"/>
      <c r="AY182" s="1055"/>
      <c r="AZ182" s="1055"/>
      <c r="BA182" s="1055"/>
      <c r="BB182" s="1055"/>
      <c r="BC182" s="1055"/>
      <c r="BD182" s="1055"/>
      <c r="BE182" s="1055"/>
      <c r="BF182" s="1055"/>
      <c r="BG182" s="1056"/>
    </row>
    <row r="183" spans="1:59" ht="15" thickBot="1" x14ac:dyDescent="0.2">
      <c r="A183" s="1052"/>
      <c r="B183" s="1053"/>
      <c r="C183" s="1054"/>
      <c r="D183" s="1054"/>
      <c r="E183" s="1055"/>
      <c r="F183" s="1055"/>
      <c r="G183" s="1055"/>
      <c r="H183" s="1055"/>
      <c r="I183" s="1055"/>
      <c r="J183" s="1055"/>
      <c r="K183" s="1055"/>
      <c r="L183" s="1055"/>
      <c r="M183" s="1055"/>
      <c r="N183" s="1055"/>
      <c r="O183" s="1055"/>
      <c r="P183" s="1055"/>
      <c r="Q183" s="1055"/>
      <c r="R183" s="1055"/>
      <c r="S183" s="1055"/>
      <c r="T183" s="1055"/>
      <c r="U183" s="1055"/>
      <c r="V183" s="1055"/>
      <c r="W183" s="1055"/>
      <c r="X183" s="1055"/>
      <c r="Y183" s="1055"/>
      <c r="Z183" s="1055"/>
      <c r="AA183" s="1055"/>
      <c r="AB183" s="1055"/>
      <c r="AC183" s="1055"/>
      <c r="AD183" s="1055"/>
      <c r="AE183" s="1055"/>
      <c r="AF183" s="1055"/>
      <c r="AG183" s="1055"/>
      <c r="AH183" s="1055"/>
      <c r="AI183" s="1055"/>
      <c r="AJ183" s="1055"/>
      <c r="AK183" s="1055"/>
      <c r="AL183" s="1055"/>
      <c r="AM183" s="1055"/>
      <c r="AN183" s="1055"/>
      <c r="AO183" s="1055"/>
      <c r="AP183" s="1055"/>
      <c r="AQ183" s="1055"/>
      <c r="AR183" s="1055"/>
      <c r="AS183" s="1055"/>
      <c r="AT183" s="1055"/>
      <c r="AU183" s="1055"/>
      <c r="AV183" s="1055"/>
      <c r="AW183" s="1055"/>
      <c r="AX183" s="1055"/>
      <c r="AY183" s="1055"/>
      <c r="AZ183" s="1055"/>
      <c r="BA183" s="1055"/>
      <c r="BB183" s="1055"/>
      <c r="BC183" s="1055"/>
      <c r="BD183" s="1055"/>
      <c r="BE183" s="1055"/>
      <c r="BF183" s="1055"/>
      <c r="BG183" s="1056"/>
    </row>
    <row r="184" spans="1:59" ht="15" thickBot="1" x14ac:dyDescent="0.2">
      <c r="A184" s="1052"/>
      <c r="B184" s="1053"/>
      <c r="C184" s="1763" t="str">
        <f>+IF(anyanyil="","",anyanyil)</f>
        <v/>
      </c>
      <c r="D184" s="1764"/>
      <c r="E184" s="1764"/>
      <c r="F184" s="1764"/>
      <c r="G184" s="1764"/>
      <c r="H184" s="1764"/>
      <c r="I184" s="1764"/>
      <c r="J184" s="1764"/>
      <c r="K184" s="1764"/>
      <c r="L184" s="1764"/>
      <c r="M184" s="1764"/>
      <c r="N184" s="1764"/>
      <c r="O184" s="1764"/>
      <c r="P184" s="1764"/>
      <c r="Q184" s="1764"/>
      <c r="R184" s="1764"/>
      <c r="S184" s="1764"/>
      <c r="T184" s="1765"/>
      <c r="U184" s="1055"/>
      <c r="V184" s="1055"/>
      <c r="W184" s="1055"/>
      <c r="X184" s="1763" t="str">
        <f>+IF(szülnyil="","",szülnyil)</f>
        <v/>
      </c>
      <c r="Y184" s="1764"/>
      <c r="Z184" s="1764"/>
      <c r="AA184" s="1764"/>
      <c r="AB184" s="1764"/>
      <c r="AC184" s="1764"/>
      <c r="AD184" s="1764"/>
      <c r="AE184" s="1764"/>
      <c r="AF184" s="1764"/>
      <c r="AG184" s="1764"/>
      <c r="AH184" s="1764"/>
      <c r="AI184" s="1764"/>
      <c r="AJ184" s="1764"/>
      <c r="AK184" s="1764"/>
      <c r="AL184" s="1764"/>
      <c r="AM184" s="1764"/>
      <c r="AN184" s="1765"/>
      <c r="AO184" s="1054"/>
      <c r="AP184" s="1054"/>
      <c r="AQ184" s="1055"/>
      <c r="AR184" s="1763" t="str">
        <f>+IF(szülidonyil="","",szülidonyil)</f>
        <v/>
      </c>
      <c r="AS184" s="1764"/>
      <c r="AT184" s="1764"/>
      <c r="AU184" s="1764"/>
      <c r="AV184" s="1764"/>
      <c r="AW184" s="1764"/>
      <c r="AX184" s="1764"/>
      <c r="AY184" s="1764"/>
      <c r="AZ184" s="1764"/>
      <c r="BA184" s="1764"/>
      <c r="BB184" s="1764"/>
      <c r="BC184" s="1764"/>
      <c r="BD184" s="1765"/>
      <c r="BE184" s="1055"/>
      <c r="BF184" s="1055"/>
      <c r="BG184" s="1056"/>
    </row>
    <row r="185" spans="1:59" x14ac:dyDescent="0.15">
      <c r="A185" s="1052"/>
      <c r="B185" s="1053"/>
      <c r="C185" s="1054" t="s">
        <v>581</v>
      </c>
      <c r="D185" s="1054"/>
      <c r="E185" s="1055"/>
      <c r="F185" s="1055"/>
      <c r="G185" s="1055"/>
      <c r="H185" s="1055"/>
      <c r="I185" s="1055"/>
      <c r="J185" s="1055"/>
      <c r="K185" s="1055"/>
      <c r="L185" s="1055"/>
      <c r="M185" s="1055"/>
      <c r="N185" s="1055"/>
      <c r="O185" s="1055"/>
      <c r="P185" s="1055"/>
      <c r="Q185" s="1055"/>
      <c r="R185" s="1055"/>
      <c r="S185" s="1055"/>
      <c r="T185" s="1055"/>
      <c r="U185" s="1055"/>
      <c r="V185" s="1055"/>
      <c r="W185" s="1055"/>
      <c r="X185" s="1055" t="s">
        <v>582</v>
      </c>
      <c r="Y185" s="1055"/>
      <c r="Z185" s="1055"/>
      <c r="AA185" s="1055"/>
      <c r="AB185" s="1055"/>
      <c r="AC185" s="1055"/>
      <c r="AD185" s="1055"/>
      <c r="AE185" s="1055"/>
      <c r="AF185" s="1055"/>
      <c r="AG185" s="1055"/>
      <c r="AH185" s="1055"/>
      <c r="AI185" s="1055"/>
      <c r="AJ185" s="1055"/>
      <c r="AK185" s="1055"/>
      <c r="AL185" s="1055"/>
      <c r="AM185" s="1055"/>
      <c r="AN185" s="1055"/>
      <c r="AO185" s="1055"/>
      <c r="AP185" s="1055"/>
      <c r="AQ185" s="1055"/>
      <c r="AR185" s="1055" t="s">
        <v>583</v>
      </c>
      <c r="AS185" s="1055"/>
      <c r="AT185" s="1055"/>
      <c r="AU185" s="1055"/>
      <c r="AV185" s="1055"/>
      <c r="AW185" s="1055"/>
      <c r="AX185" s="1055"/>
      <c r="AY185" s="1055"/>
      <c r="AZ185" s="1055"/>
      <c r="BA185" s="1055"/>
      <c r="BB185" s="1055"/>
      <c r="BC185" s="1055"/>
      <c r="BD185" s="1055"/>
      <c r="BE185" s="1055"/>
      <c r="BF185" s="1055"/>
      <c r="BG185" s="1056"/>
    </row>
    <row r="186" spans="1:59" ht="15" thickBot="1" x14ac:dyDescent="0.2">
      <c r="A186" s="1052"/>
      <c r="B186" s="1053"/>
      <c r="C186" s="1054"/>
      <c r="D186" s="1054"/>
      <c r="E186" s="1055"/>
      <c r="F186" s="1055"/>
      <c r="G186" s="1055"/>
      <c r="H186" s="1055"/>
      <c r="I186" s="1055"/>
      <c r="J186" s="1055"/>
      <c r="K186" s="1055"/>
      <c r="L186" s="1055"/>
      <c r="M186" s="1055"/>
      <c r="N186" s="1055"/>
      <c r="O186" s="1055"/>
      <c r="P186" s="1055"/>
      <c r="Q186" s="1055"/>
      <c r="R186" s="1055"/>
      <c r="S186" s="1055"/>
      <c r="T186" s="1055"/>
      <c r="U186" s="1055"/>
      <c r="V186" s="1055"/>
      <c r="W186" s="1055"/>
      <c r="X186" s="1055"/>
      <c r="Y186" s="1055"/>
      <c r="Z186" s="1055"/>
      <c r="AA186" s="1055"/>
      <c r="AB186" s="1055"/>
      <c r="AC186" s="1055"/>
      <c r="AD186" s="1055"/>
      <c r="AE186" s="1055"/>
      <c r="AF186" s="1055"/>
      <c r="AG186" s="1055"/>
      <c r="AH186" s="1055"/>
      <c r="AI186" s="1055"/>
      <c r="AJ186" s="1055"/>
      <c r="AK186" s="1055"/>
      <c r="AL186" s="1055"/>
      <c r="AM186" s="1055"/>
      <c r="AN186" s="1055"/>
      <c r="AO186" s="1055"/>
      <c r="AP186" s="1055"/>
      <c r="AQ186" s="1055"/>
      <c r="AR186" s="1055"/>
      <c r="AS186" s="1055"/>
      <c r="AT186" s="1055"/>
      <c r="AU186" s="1055"/>
      <c r="AV186" s="1055"/>
      <c r="AW186" s="1055"/>
      <c r="AX186" s="1055"/>
      <c r="AY186" s="1055"/>
      <c r="AZ186" s="1055"/>
      <c r="BA186" s="1055"/>
      <c r="BB186" s="1055"/>
      <c r="BC186" s="1055"/>
      <c r="BD186" s="1055"/>
      <c r="BE186" s="1055"/>
      <c r="BF186" s="1055"/>
      <c r="BG186" s="1056"/>
    </row>
    <row r="187" spans="1:59" ht="15" thickBot="1" x14ac:dyDescent="0.2">
      <c r="A187" s="1052"/>
      <c r="B187" s="1053"/>
      <c r="C187" s="1054"/>
      <c r="D187" s="1054"/>
      <c r="E187" s="1055"/>
      <c r="F187" s="1055"/>
      <c r="G187" s="1055"/>
      <c r="H187" s="1055"/>
      <c r="I187" s="1055"/>
      <c r="J187" s="1055"/>
      <c r="K187" s="1055"/>
      <c r="L187" s="1055"/>
      <c r="M187" s="1055"/>
      <c r="N187" s="1055"/>
      <c r="O187" s="1055"/>
      <c r="P187" s="1763" t="str">
        <f>+IF(orszagnyil="","",orszagnyil)</f>
        <v>HU</v>
      </c>
      <c r="Q187" s="1764"/>
      <c r="R187" s="1764"/>
      <c r="S187" s="1765"/>
      <c r="T187" s="1055"/>
      <c r="U187" s="1055"/>
      <c r="V187" s="1055"/>
      <c r="W187" s="1055"/>
      <c r="X187" s="1055"/>
      <c r="Y187" s="1055"/>
      <c r="Z187" s="1055"/>
      <c r="AA187" s="1055"/>
      <c r="AB187" s="1055"/>
      <c r="AC187" s="1055"/>
      <c r="AD187" s="1055"/>
      <c r="AE187" s="1055"/>
      <c r="AF187" s="1055"/>
      <c r="AG187" s="1055"/>
      <c r="AH187" s="1055"/>
      <c r="AI187" s="1055"/>
      <c r="AJ187" s="1055"/>
      <c r="AK187" s="1055"/>
      <c r="AL187" s="1055"/>
      <c r="AM187" s="1055"/>
      <c r="AN187" s="1055"/>
      <c r="AO187" s="1055"/>
      <c r="AP187" s="1055"/>
      <c r="AQ187" s="1055"/>
      <c r="AR187" s="1055"/>
      <c r="AS187" s="1055"/>
      <c r="AT187" s="1055"/>
      <c r="AU187" s="1055"/>
      <c r="AV187" s="1055"/>
      <c r="AW187" s="1055"/>
      <c r="AX187" s="1055"/>
      <c r="AY187" s="1055"/>
      <c r="AZ187" s="1055"/>
      <c r="BA187" s="1055"/>
      <c r="BB187" s="1055"/>
      <c r="BC187" s="1055"/>
      <c r="BD187" s="1055"/>
      <c r="BE187" s="1055"/>
      <c r="BF187" s="1055"/>
      <c r="BG187" s="1056"/>
    </row>
    <row r="188" spans="1:59" ht="15" thickBot="1" x14ac:dyDescent="0.2">
      <c r="A188" s="1052"/>
      <c r="B188" s="1053"/>
      <c r="C188" s="1054"/>
      <c r="D188" s="1769" t="s">
        <v>584</v>
      </c>
      <c r="E188" s="1769"/>
      <c r="F188" s="1769"/>
      <c r="G188" s="1769"/>
      <c r="H188" s="1769"/>
      <c r="I188" s="1769"/>
      <c r="J188" s="1769"/>
      <c r="K188" s="1769"/>
      <c r="L188" s="1769"/>
      <c r="M188" s="1769"/>
      <c r="N188" s="1769"/>
      <c r="O188" s="1058"/>
      <c r="P188" s="1058" t="s">
        <v>297</v>
      </c>
      <c r="Q188" s="1058"/>
      <c r="R188" s="1058"/>
      <c r="S188" s="1057"/>
      <c r="T188" s="1058"/>
      <c r="U188" s="1058"/>
      <c r="V188" s="1057"/>
      <c r="W188" s="1057"/>
      <c r="X188" s="1057"/>
      <c r="Y188" s="1057"/>
      <c r="Z188" s="1057"/>
      <c r="AA188" s="1057"/>
      <c r="AB188" s="1057"/>
      <c r="AC188" s="1057"/>
      <c r="AD188" s="1057"/>
      <c r="AE188" s="1057"/>
      <c r="AF188" s="1057"/>
      <c r="AG188" s="1057"/>
      <c r="AH188" s="1057"/>
      <c r="AI188" s="1057"/>
      <c r="AJ188" s="1057"/>
      <c r="AK188" s="1057"/>
      <c r="AL188" s="1057"/>
      <c r="AM188" s="1057"/>
      <c r="AN188" s="1057"/>
      <c r="AO188" s="1057"/>
      <c r="AP188" s="1057"/>
      <c r="AQ188" s="1057"/>
      <c r="AR188" s="1057"/>
      <c r="AS188" s="1057"/>
      <c r="AT188" s="1057"/>
      <c r="AU188" s="1057"/>
      <c r="AV188" s="1057"/>
      <c r="AW188" s="1057"/>
      <c r="AX188" s="1057"/>
      <c r="AY188" s="1057"/>
      <c r="AZ188" s="1057"/>
      <c r="BA188" s="1057"/>
      <c r="BB188" s="1057"/>
      <c r="BC188" s="1057"/>
      <c r="BD188" s="1057"/>
      <c r="BE188" s="1057"/>
      <c r="BF188" s="1057"/>
      <c r="BG188" s="1056"/>
    </row>
    <row r="189" spans="1:59" ht="15" thickBot="1" x14ac:dyDescent="0.2">
      <c r="A189" s="1052"/>
      <c r="B189" s="1053"/>
      <c r="C189" s="1054"/>
      <c r="D189" s="1769"/>
      <c r="E189" s="1769"/>
      <c r="F189" s="1769"/>
      <c r="G189" s="1769"/>
      <c r="H189" s="1769"/>
      <c r="I189" s="1769"/>
      <c r="J189" s="1769"/>
      <c r="K189" s="1769"/>
      <c r="L189" s="1769"/>
      <c r="M189" s="1769"/>
      <c r="N189" s="1769"/>
      <c r="O189" s="1059"/>
      <c r="P189" s="1770" t="str">
        <f>+IF(irszamnyil="","",irszamnyil)</f>
        <v/>
      </c>
      <c r="Q189" s="1771"/>
      <c r="R189" s="1771"/>
      <c r="S189" s="1772"/>
      <c r="T189" s="1057"/>
      <c r="U189" s="1773" t="str">
        <f>+IF(helysegnyil="","",helysegnyil)</f>
        <v/>
      </c>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5"/>
      <c r="AZ189" s="1057"/>
      <c r="BA189" s="1770" t="str">
        <f>+IF(postafioknyil="","",postafioknyil)</f>
        <v/>
      </c>
      <c r="BB189" s="1771"/>
      <c r="BC189" s="1771"/>
      <c r="BD189" s="1771"/>
      <c r="BE189" s="1771"/>
      <c r="BF189" s="1772"/>
      <c r="BG189" s="1056"/>
    </row>
    <row r="190" spans="1:59" x14ac:dyDescent="0.15">
      <c r="A190" s="1052"/>
      <c r="B190" s="1053"/>
      <c r="C190" s="1054"/>
      <c r="D190" s="1769"/>
      <c r="E190" s="1769"/>
      <c r="F190" s="1769"/>
      <c r="G190" s="1769"/>
      <c r="H190" s="1769"/>
      <c r="I190" s="1769"/>
      <c r="J190" s="1769"/>
      <c r="K190" s="1769"/>
      <c r="L190" s="1769"/>
      <c r="M190" s="1769"/>
      <c r="N190" s="1769"/>
      <c r="O190" s="1057"/>
      <c r="P190" s="1057" t="s">
        <v>146</v>
      </c>
      <c r="Q190" s="1057"/>
      <c r="R190" s="1057"/>
      <c r="S190" s="1057"/>
      <c r="T190" s="1057"/>
      <c r="U190" s="1057" t="s">
        <v>147</v>
      </c>
      <c r="V190" s="1057"/>
      <c r="W190" s="1057"/>
      <c r="X190" s="1057"/>
      <c r="Y190" s="1057"/>
      <c r="Z190" s="1057"/>
      <c r="AA190" s="1057"/>
      <c r="AB190" s="1057"/>
      <c r="AC190" s="1057"/>
      <c r="AD190" s="1057"/>
      <c r="AE190" s="1057"/>
      <c r="AF190" s="1057"/>
      <c r="AG190" s="1057"/>
      <c r="AH190" s="1057"/>
      <c r="AI190" s="1057"/>
      <c r="AJ190" s="1057"/>
      <c r="AK190" s="1057"/>
      <c r="AL190" s="1057"/>
      <c r="AM190" s="1057"/>
      <c r="AN190" s="1057"/>
      <c r="AO190" s="1057"/>
      <c r="AP190" s="1057"/>
      <c r="AQ190" s="1057"/>
      <c r="AR190" s="1057"/>
      <c r="AS190" s="1057"/>
      <c r="AT190" s="1057"/>
      <c r="AU190" s="1057"/>
      <c r="AV190" s="1057"/>
      <c r="AW190" s="1057"/>
      <c r="AX190" s="1057"/>
      <c r="AY190" s="1057"/>
      <c r="AZ190" s="1057"/>
      <c r="BA190" s="1057" t="s">
        <v>148</v>
      </c>
      <c r="BB190" s="1057"/>
      <c r="BC190" s="1057"/>
      <c r="BD190" s="1057"/>
      <c r="BE190" s="1057"/>
      <c r="BF190" s="1057"/>
      <c r="BG190" s="1056"/>
    </row>
    <row r="191" spans="1:59" ht="15" thickBot="1" x14ac:dyDescent="0.2">
      <c r="A191" s="1052"/>
      <c r="B191" s="1053"/>
      <c r="C191" s="1054"/>
      <c r="D191" s="1060"/>
      <c r="E191" s="1060"/>
      <c r="F191" s="1060"/>
      <c r="G191" s="1060"/>
      <c r="H191" s="1060"/>
      <c r="I191" s="1060"/>
      <c r="J191" s="1060"/>
      <c r="K191" s="1060"/>
      <c r="L191" s="1060"/>
      <c r="M191" s="1060"/>
      <c r="N191" s="1060"/>
      <c r="O191" s="1061"/>
      <c r="P191" s="1057"/>
      <c r="Q191" s="1057"/>
      <c r="R191" s="1057"/>
      <c r="S191" s="1057"/>
      <c r="T191" s="1057"/>
      <c r="U191" s="1057"/>
      <c r="V191" s="1057"/>
      <c r="W191" s="1057"/>
      <c r="X191" s="1057"/>
      <c r="Y191" s="1057"/>
      <c r="Z191" s="1057"/>
      <c r="AA191" s="1057"/>
      <c r="AB191" s="1057"/>
      <c r="AC191" s="1057"/>
      <c r="AD191" s="1057"/>
      <c r="AE191" s="1057"/>
      <c r="AF191" s="1057"/>
      <c r="AG191" s="1057"/>
      <c r="AH191" s="1057"/>
      <c r="AI191" s="1057"/>
      <c r="AJ191" s="1057"/>
      <c r="AK191" s="1057"/>
      <c r="AL191" s="1057"/>
      <c r="AM191" s="1057"/>
      <c r="AN191" s="1057"/>
      <c r="AO191" s="1057"/>
      <c r="AP191" s="1057"/>
      <c r="AQ191" s="1057"/>
      <c r="AR191" s="1057"/>
      <c r="AS191" s="1057"/>
      <c r="AT191" s="1057"/>
      <c r="AU191" s="1057"/>
      <c r="AV191" s="1057"/>
      <c r="AW191" s="1057"/>
      <c r="AX191" s="1057"/>
      <c r="AY191" s="1057"/>
      <c r="AZ191" s="1057"/>
      <c r="BA191" s="1057"/>
      <c r="BB191" s="1057"/>
      <c r="BC191" s="1057"/>
      <c r="BD191" s="1057"/>
      <c r="BE191" s="1057"/>
      <c r="BF191" s="1057"/>
      <c r="BG191" s="1056"/>
    </row>
    <row r="192" spans="1:59" ht="15" thickBot="1" x14ac:dyDescent="0.2">
      <c r="A192" s="1052"/>
      <c r="B192" s="1053"/>
      <c r="C192" s="1054"/>
      <c r="D192" s="1770" t="str">
        <f>+IF(kozternevenyil="","",kozternevenyil)</f>
        <v/>
      </c>
      <c r="E192" s="1771"/>
      <c r="F192" s="1771"/>
      <c r="G192" s="1771"/>
      <c r="H192" s="1771"/>
      <c r="I192" s="1771"/>
      <c r="J192" s="1771"/>
      <c r="K192" s="1771"/>
      <c r="L192" s="1771"/>
      <c r="M192" s="1771"/>
      <c r="N192" s="1771"/>
      <c r="O192" s="1771"/>
      <c r="P192" s="1771"/>
      <c r="Q192" s="1771"/>
      <c r="R192" s="1771"/>
      <c r="S192" s="1771"/>
      <c r="T192" s="1771"/>
      <c r="U192" s="1771"/>
      <c r="V192" s="1771"/>
      <c r="W192" s="1771"/>
      <c r="X192" s="1771"/>
      <c r="Y192" s="1771"/>
      <c r="Z192" s="1771"/>
      <c r="AA192" s="1771"/>
      <c r="AB192" s="1771"/>
      <c r="AC192" s="1772"/>
      <c r="AD192" s="1062"/>
      <c r="AE192" s="1063"/>
      <c r="AF192" s="1770" t="str">
        <f>+IF(jellegnyil="","",jellegnyil)</f>
        <v>legördülő cella</v>
      </c>
      <c r="AG192" s="1771"/>
      <c r="AH192" s="1771"/>
      <c r="AI192" s="1771"/>
      <c r="AJ192" s="1771"/>
      <c r="AK192" s="1771"/>
      <c r="AL192" s="1771"/>
      <c r="AM192" s="1771"/>
      <c r="AN192" s="1771"/>
      <c r="AO192" s="1771"/>
      <c r="AP192" s="1772"/>
      <c r="AQ192" s="1062"/>
      <c r="AR192" s="1059"/>
      <c r="AS192" s="1059"/>
      <c r="AT192" s="1059"/>
      <c r="AU192" s="1059"/>
      <c r="AV192" s="1059"/>
      <c r="AW192" s="1059"/>
      <c r="AX192" s="1776" t="str">
        <f>+IF(ajtonyil="","",ajtonyil)</f>
        <v/>
      </c>
      <c r="AY192" s="1777"/>
      <c r="AZ192" s="1777"/>
      <c r="BA192" s="1777"/>
      <c r="BB192" s="1777"/>
      <c r="BC192" s="1777"/>
      <c r="BD192" s="1777"/>
      <c r="BE192" s="1777"/>
      <c r="BF192" s="1778"/>
      <c r="BG192" s="1056"/>
    </row>
    <row r="193" spans="1:59" x14ac:dyDescent="0.15">
      <c r="A193" s="1052"/>
      <c r="B193" s="1053"/>
      <c r="C193" s="1054"/>
      <c r="D193" s="1057" t="s">
        <v>149</v>
      </c>
      <c r="E193" s="1057"/>
      <c r="F193" s="1057"/>
      <c r="G193" s="1057"/>
      <c r="H193" s="1057"/>
      <c r="I193" s="1057"/>
      <c r="J193" s="1057"/>
      <c r="K193" s="1057"/>
      <c r="L193" s="1057"/>
      <c r="M193" s="1057"/>
      <c r="N193" s="1057"/>
      <c r="O193" s="1057"/>
      <c r="P193" s="1057"/>
      <c r="Q193" s="1057"/>
      <c r="R193" s="1057"/>
      <c r="S193" s="1057"/>
      <c r="T193" s="1057"/>
      <c r="U193" s="1057"/>
      <c r="V193" s="1057"/>
      <c r="W193" s="1057"/>
      <c r="X193" s="1057"/>
      <c r="Y193" s="1057"/>
      <c r="Z193" s="1057"/>
      <c r="AA193" s="1057"/>
      <c r="AB193" s="1057"/>
      <c r="AC193" s="1057"/>
      <c r="AD193" s="1057"/>
      <c r="AE193" s="1057"/>
      <c r="AF193" s="1057" t="s">
        <v>150</v>
      </c>
      <c r="AG193" s="1057"/>
      <c r="AH193" s="1057"/>
      <c r="AI193" s="1057"/>
      <c r="AJ193" s="1063"/>
      <c r="AK193" s="1057"/>
      <c r="AL193" s="1057"/>
      <c r="AM193" s="1057"/>
      <c r="AN193" s="1057"/>
      <c r="AO193" s="1057"/>
      <c r="AP193" s="1057"/>
      <c r="AQ193" s="1063"/>
      <c r="AR193" s="1057"/>
      <c r="AS193" s="1057"/>
      <c r="AT193" s="1057"/>
      <c r="AU193" s="1057"/>
      <c r="AV193" s="1057"/>
      <c r="AW193" s="1057"/>
      <c r="AX193" s="1058" t="s">
        <v>151</v>
      </c>
      <c r="AY193" s="1058"/>
      <c r="AZ193" s="1058"/>
      <c r="BA193" s="1058"/>
      <c r="BB193" s="1058"/>
      <c r="BC193" s="1058"/>
      <c r="BD193" s="1058"/>
      <c r="BE193" s="1058"/>
      <c r="BF193" s="1058"/>
      <c r="BG193" s="1056"/>
    </row>
    <row r="194" spans="1:59" x14ac:dyDescent="0.15">
      <c r="A194" s="1050"/>
      <c r="B194" s="1064"/>
      <c r="C194" s="1055"/>
      <c r="D194" s="1060"/>
      <c r="E194" s="1060"/>
      <c r="F194" s="1060"/>
      <c r="G194" s="1060"/>
      <c r="H194" s="1060"/>
      <c r="I194" s="1060"/>
      <c r="J194" s="1060"/>
      <c r="K194" s="1060"/>
      <c r="L194" s="1060"/>
      <c r="M194" s="1060"/>
      <c r="N194" s="1060"/>
      <c r="O194" s="1061"/>
      <c r="P194" s="1057"/>
      <c r="Q194" s="1057"/>
      <c r="R194" s="1057"/>
      <c r="S194" s="1057"/>
      <c r="T194" s="1057"/>
      <c r="U194" s="1057"/>
      <c r="V194" s="1057"/>
      <c r="W194" s="1057"/>
      <c r="X194" s="1057"/>
      <c r="Y194" s="1057"/>
      <c r="Z194" s="1057"/>
      <c r="AA194" s="1057"/>
      <c r="AB194" s="1057"/>
      <c r="AC194" s="1057"/>
      <c r="AD194" s="1057"/>
      <c r="AE194" s="1057"/>
      <c r="AF194" s="1057"/>
      <c r="AG194" s="1057"/>
      <c r="AH194" s="1057"/>
      <c r="AI194" s="1057"/>
      <c r="AJ194" s="1057"/>
      <c r="AK194" s="1057"/>
      <c r="AL194" s="1057"/>
      <c r="AM194" s="1057"/>
      <c r="AN194" s="1057"/>
      <c r="AO194" s="1057"/>
      <c r="AP194" s="1057"/>
      <c r="AQ194" s="1057"/>
      <c r="AR194" s="1057"/>
      <c r="AS194" s="1057"/>
      <c r="AT194" s="1057"/>
      <c r="AU194" s="1057"/>
      <c r="AV194" s="1057"/>
      <c r="AW194" s="1057"/>
      <c r="AX194" s="1057"/>
      <c r="AY194" s="1057"/>
      <c r="AZ194" s="1057"/>
      <c r="BA194" s="1057"/>
      <c r="BB194" s="1057"/>
      <c r="BC194" s="1057"/>
      <c r="BD194" s="1057"/>
      <c r="BE194" s="1057"/>
      <c r="BF194" s="1057"/>
      <c r="BG194" s="1056"/>
    </row>
    <row r="195" spans="1:59" ht="15" thickBot="1" x14ac:dyDescent="0.2">
      <c r="A195" s="1050"/>
      <c r="B195" s="1064"/>
      <c r="C195" s="1055"/>
      <c r="D195" s="1055"/>
      <c r="E195" s="1055"/>
      <c r="F195" s="1055"/>
      <c r="G195" s="1055"/>
      <c r="H195" s="1055"/>
      <c r="I195" s="1055"/>
      <c r="J195" s="1055"/>
      <c r="K195" s="1055"/>
      <c r="L195" s="1055"/>
      <c r="M195" s="1055"/>
      <c r="N195" s="1055"/>
      <c r="O195" s="1055"/>
      <c r="P195" s="1055"/>
      <c r="Q195" s="1055"/>
      <c r="R195" s="1055"/>
      <c r="S195" s="1055"/>
      <c r="T195" s="1055"/>
      <c r="U195" s="1055"/>
      <c r="V195" s="1055"/>
      <c r="W195" s="1055"/>
      <c r="X195" s="1055"/>
      <c r="Y195" s="1055"/>
      <c r="Z195" s="1055"/>
      <c r="AA195" s="1055"/>
      <c r="AB195" s="1055"/>
      <c r="AC195" s="1055"/>
      <c r="AD195" s="1055"/>
      <c r="AE195" s="1055"/>
      <c r="AF195" s="1055"/>
      <c r="AG195" s="1055"/>
      <c r="AH195" s="1055"/>
      <c r="AI195" s="1055"/>
      <c r="AJ195" s="1055"/>
      <c r="AK195" s="1055"/>
      <c r="AL195" s="1055"/>
      <c r="AM195" s="1055"/>
      <c r="AN195" s="1055"/>
      <c r="AO195" s="1055"/>
      <c r="AP195" s="1055"/>
      <c r="AQ195" s="1055"/>
      <c r="AR195" s="1055"/>
      <c r="AS195" s="1055"/>
      <c r="AT195" s="1055"/>
      <c r="AU195" s="1055"/>
      <c r="AV195" s="1055"/>
      <c r="AW195" s="1055"/>
      <c r="AX195" s="1055"/>
      <c r="AY195" s="1055"/>
      <c r="AZ195" s="1055"/>
      <c r="BA195" s="1055"/>
      <c r="BB195" s="1055"/>
      <c r="BC195" s="1055"/>
      <c r="BD195" s="1055"/>
      <c r="BE195" s="1055"/>
      <c r="BF195" s="1055"/>
      <c r="BG195" s="1056"/>
    </row>
    <row r="196" spans="1:59" ht="15" thickBot="1" x14ac:dyDescent="0.2">
      <c r="A196" s="1050"/>
      <c r="B196" s="1064"/>
      <c r="C196" s="1763" t="str">
        <f>+IF(adoszamnyil="","",adoszamnyil)</f>
        <v/>
      </c>
      <c r="D196" s="1764"/>
      <c r="E196" s="1764"/>
      <c r="F196" s="1764"/>
      <c r="G196" s="1764"/>
      <c r="H196" s="1764"/>
      <c r="I196" s="1764"/>
      <c r="J196" s="1764"/>
      <c r="K196" s="1764"/>
      <c r="L196" s="1764"/>
      <c r="M196" s="1764"/>
      <c r="N196" s="1764"/>
      <c r="O196" s="1764"/>
      <c r="P196" s="1764"/>
      <c r="Q196" s="1764"/>
      <c r="R196" s="1764"/>
      <c r="S196" s="1764"/>
      <c r="T196" s="1765"/>
      <c r="U196" s="1055"/>
      <c r="V196" s="1055"/>
      <c r="W196" s="1055"/>
      <c r="X196" s="1763" t="str">
        <f>+IF(evnyil="","",evnyil)</f>
        <v/>
      </c>
      <c r="Y196" s="1764"/>
      <c r="Z196" s="1764"/>
      <c r="AA196" s="1764"/>
      <c r="AB196" s="1764"/>
      <c r="AC196" s="1764"/>
      <c r="AD196" s="1764"/>
      <c r="AE196" s="1764"/>
      <c r="AF196" s="1764"/>
      <c r="AG196" s="1764"/>
      <c r="AH196" s="1764"/>
      <c r="AI196" s="1764"/>
      <c r="AJ196" s="1764"/>
      <c r="AK196" s="1764"/>
      <c r="AL196" s="1765"/>
      <c r="AM196" s="1055"/>
      <c r="AN196" s="1055"/>
      <c r="AO196" s="1763" t="str">
        <f>+IF(evszamnyil="","",evszamnyil)</f>
        <v/>
      </c>
      <c r="AP196" s="1764"/>
      <c r="AQ196" s="1764"/>
      <c r="AR196" s="1764"/>
      <c r="AS196" s="1764"/>
      <c r="AT196" s="1764"/>
      <c r="AU196" s="1764"/>
      <c r="AV196" s="1764"/>
      <c r="AW196" s="1764"/>
      <c r="AX196" s="1764"/>
      <c r="AY196" s="1764"/>
      <c r="AZ196" s="1764"/>
      <c r="BA196" s="1764"/>
      <c r="BB196" s="1764"/>
      <c r="BC196" s="1764"/>
      <c r="BD196" s="1764"/>
      <c r="BE196" s="1764"/>
      <c r="BF196" s="1765"/>
      <c r="BG196" s="1056"/>
    </row>
    <row r="197" spans="1:59" x14ac:dyDescent="0.15">
      <c r="A197" s="1050"/>
      <c r="B197" s="1064"/>
      <c r="C197" s="1055" t="s">
        <v>590</v>
      </c>
      <c r="D197" s="1055"/>
      <c r="E197" s="1055"/>
      <c r="F197" s="1055"/>
      <c r="G197" s="1055"/>
      <c r="H197" s="1055"/>
      <c r="I197" s="1055"/>
      <c r="J197" s="1055"/>
      <c r="K197" s="1055"/>
      <c r="L197" s="1055"/>
      <c r="M197" s="1055"/>
      <c r="N197" s="1055"/>
      <c r="O197" s="1055"/>
      <c r="P197" s="1055"/>
      <c r="Q197" s="1055"/>
      <c r="R197" s="1055"/>
      <c r="S197" s="1055"/>
      <c r="T197" s="1055"/>
      <c r="U197" s="1055"/>
      <c r="V197" s="1055"/>
      <c r="W197" s="1055"/>
      <c r="X197" s="1055" t="s">
        <v>591</v>
      </c>
      <c r="Y197" s="1055"/>
      <c r="Z197" s="1055"/>
      <c r="AA197" s="1055"/>
      <c r="AB197" s="1055"/>
      <c r="AC197" s="1055"/>
      <c r="AD197" s="1055"/>
      <c r="AE197" s="1055"/>
      <c r="AF197" s="1055"/>
      <c r="AG197" s="1055"/>
      <c r="AH197" s="1055"/>
      <c r="AI197" s="1055"/>
      <c r="AJ197" s="1055"/>
      <c r="AK197" s="1055"/>
      <c r="AL197" s="1055"/>
      <c r="AM197" s="1055"/>
      <c r="AN197" s="1055"/>
      <c r="AO197" s="1055" t="s">
        <v>592</v>
      </c>
      <c r="AP197" s="1055"/>
      <c r="AQ197" s="1055"/>
      <c r="AR197" s="1055"/>
      <c r="AS197" s="1055"/>
      <c r="AT197" s="1055"/>
      <c r="AU197" s="1055"/>
      <c r="AV197" s="1055"/>
      <c r="AW197" s="1055"/>
      <c r="AX197" s="1055"/>
      <c r="AY197" s="1055"/>
      <c r="AZ197" s="1055"/>
      <c r="BA197" s="1055"/>
      <c r="BB197" s="1055"/>
      <c r="BC197" s="1055"/>
      <c r="BD197" s="1055"/>
      <c r="BE197" s="1055"/>
      <c r="BF197" s="1055"/>
      <c r="BG197" s="1056"/>
    </row>
    <row r="198" spans="1:59" ht="15" thickBot="1" x14ac:dyDescent="0.2">
      <c r="A198" s="1050"/>
      <c r="B198" s="1064"/>
      <c r="C198" s="1055"/>
      <c r="D198" s="1055"/>
      <c r="E198" s="1055"/>
      <c r="F198" s="1055"/>
      <c r="G198" s="1055"/>
      <c r="H198" s="1055"/>
      <c r="I198" s="1055"/>
      <c r="J198" s="1055"/>
      <c r="K198" s="1055"/>
      <c r="L198" s="1055"/>
      <c r="M198" s="1055"/>
      <c r="N198" s="1055"/>
      <c r="O198" s="1055"/>
      <c r="P198" s="1055"/>
      <c r="Q198" s="1055"/>
      <c r="R198" s="1055"/>
      <c r="S198" s="1055"/>
      <c r="T198" s="1055"/>
      <c r="U198" s="1055"/>
      <c r="V198" s="1055"/>
      <c r="W198" s="1055"/>
      <c r="X198" s="1055"/>
      <c r="Y198" s="1055"/>
      <c r="Z198" s="1055"/>
      <c r="AA198" s="1055"/>
      <c r="AB198" s="1055"/>
      <c r="AC198" s="1055"/>
      <c r="AD198" s="1055"/>
      <c r="AE198" s="1055"/>
      <c r="AF198" s="1055"/>
      <c r="AG198" s="1055"/>
      <c r="AH198" s="1055"/>
      <c r="AI198" s="1055"/>
      <c r="AJ198" s="1055"/>
      <c r="AK198" s="1055"/>
      <c r="AL198" s="1055"/>
      <c r="AM198" s="1055"/>
      <c r="AN198" s="1055"/>
      <c r="AO198" s="1055"/>
      <c r="AP198" s="1055"/>
      <c r="AQ198" s="1055"/>
      <c r="AR198" s="1055"/>
      <c r="AS198" s="1055"/>
      <c r="AT198" s="1055"/>
      <c r="AU198" s="1055"/>
      <c r="AV198" s="1055"/>
      <c r="AW198" s="1055"/>
      <c r="AX198" s="1055"/>
      <c r="AY198" s="1055"/>
      <c r="AZ198" s="1055"/>
      <c r="BA198" s="1055"/>
      <c r="BB198" s="1055"/>
      <c r="BC198" s="1055"/>
      <c r="BD198" s="1055"/>
      <c r="BE198" s="1055"/>
      <c r="BF198" s="1055"/>
      <c r="BG198" s="1056"/>
    </row>
    <row r="199" spans="1:59" ht="15" thickBot="1" x14ac:dyDescent="0.2">
      <c r="A199" s="1050"/>
      <c r="B199" s="1064"/>
      <c r="C199" s="1763" t="str">
        <f>+IF(KKVnyil="","",KKVnyil)</f>
        <v>legördülő cella</v>
      </c>
      <c r="D199" s="1764"/>
      <c r="E199" s="1764"/>
      <c r="F199" s="1764"/>
      <c r="G199" s="1764"/>
      <c r="H199" s="1764"/>
      <c r="I199" s="1764"/>
      <c r="J199" s="1764"/>
      <c r="K199" s="1764"/>
      <c r="L199" s="1764"/>
      <c r="M199" s="1764"/>
      <c r="N199" s="1764"/>
      <c r="O199" s="1764"/>
      <c r="P199" s="1764"/>
      <c r="Q199" s="1764"/>
      <c r="R199" s="1764"/>
      <c r="S199" s="1764"/>
      <c r="T199" s="1765"/>
      <c r="U199" s="1055"/>
      <c r="V199" s="1055"/>
      <c r="W199" s="1055"/>
      <c r="X199" s="1763" t="str">
        <f>+IF(gazformnyil="","",gazformnyil)</f>
        <v>legördülő cella</v>
      </c>
      <c r="Y199" s="1764"/>
      <c r="Z199" s="1764"/>
      <c r="AA199" s="1764"/>
      <c r="AB199" s="1764"/>
      <c r="AC199" s="1764"/>
      <c r="AD199" s="1764"/>
      <c r="AE199" s="1764"/>
      <c r="AF199" s="1764"/>
      <c r="AG199" s="1764"/>
      <c r="AH199" s="1764"/>
      <c r="AI199" s="1764"/>
      <c r="AJ199" s="1764"/>
      <c r="AK199" s="1764"/>
      <c r="AL199" s="1765"/>
      <c r="AM199" s="1055"/>
      <c r="AN199" s="1055"/>
      <c r="AO199" s="1055"/>
      <c r="AP199" s="1055"/>
      <c r="AQ199" s="1055"/>
      <c r="AR199" s="1055"/>
      <c r="AS199" s="1055"/>
      <c r="AT199" s="1055"/>
      <c r="AU199" s="1055"/>
      <c r="AV199" s="1055"/>
      <c r="AW199" s="1055"/>
      <c r="AX199" s="1055"/>
      <c r="AY199" s="1055"/>
      <c r="AZ199" s="1055"/>
      <c r="BA199" s="1055"/>
      <c r="BB199" s="1055"/>
      <c r="BC199" s="1055"/>
      <c r="BD199" s="1055"/>
      <c r="BE199" s="1055"/>
      <c r="BF199" s="1055"/>
      <c r="BG199" s="1056"/>
    </row>
    <row r="200" spans="1:59" x14ac:dyDescent="0.15">
      <c r="A200" s="1050"/>
      <c r="B200" s="1064"/>
      <c r="C200" s="1055" t="s">
        <v>593</v>
      </c>
      <c r="D200" s="1055"/>
      <c r="E200" s="1055"/>
      <c r="F200" s="1055"/>
      <c r="G200" s="1055"/>
      <c r="H200" s="1055"/>
      <c r="I200" s="1055"/>
      <c r="J200" s="1055"/>
      <c r="K200" s="1055"/>
      <c r="L200" s="1055"/>
      <c r="M200" s="1055"/>
      <c r="N200" s="1055"/>
      <c r="O200" s="1055"/>
      <c r="P200" s="1055"/>
      <c r="Q200" s="1055"/>
      <c r="R200" s="1055"/>
      <c r="S200" s="1055"/>
      <c r="T200" s="1055"/>
      <c r="U200" s="1055"/>
      <c r="V200" s="1055"/>
      <c r="W200" s="1055"/>
      <c r="X200" s="1055" t="s">
        <v>594</v>
      </c>
      <c r="Y200" s="1055"/>
      <c r="Z200" s="1055"/>
      <c r="AA200" s="1055"/>
      <c r="AB200" s="1055"/>
      <c r="AC200" s="1055"/>
      <c r="AD200" s="1055"/>
      <c r="AE200" s="1055"/>
      <c r="AF200" s="1055"/>
      <c r="AG200" s="1055"/>
      <c r="AH200" s="1055"/>
      <c r="AI200" s="1055"/>
      <c r="AJ200" s="1055"/>
      <c r="AK200" s="1055"/>
      <c r="AL200" s="1055"/>
      <c r="AM200" s="1055"/>
      <c r="AN200" s="1055"/>
      <c r="AO200" s="1055"/>
      <c r="AP200" s="1055"/>
      <c r="AQ200" s="1055"/>
      <c r="AR200" s="1055"/>
      <c r="AS200" s="1055"/>
      <c r="AT200" s="1055"/>
      <c r="AU200" s="1055"/>
      <c r="AV200" s="1055"/>
      <c r="AW200" s="1055"/>
      <c r="AX200" s="1055"/>
      <c r="AY200" s="1055"/>
      <c r="AZ200" s="1055"/>
      <c r="BA200" s="1055"/>
      <c r="BB200" s="1055"/>
      <c r="BC200" s="1055"/>
      <c r="BD200" s="1055"/>
      <c r="BE200" s="1055"/>
      <c r="BF200" s="1055"/>
      <c r="BG200" s="1056"/>
    </row>
    <row r="201" spans="1:59" ht="15" thickBot="1" x14ac:dyDescent="0.2">
      <c r="A201" s="1050"/>
      <c r="B201" s="1064"/>
      <c r="C201" s="1055"/>
      <c r="D201" s="1055"/>
      <c r="E201" s="1055"/>
      <c r="F201" s="1055"/>
      <c r="G201" s="1055"/>
      <c r="H201" s="1055"/>
      <c r="I201" s="1055"/>
      <c r="J201" s="1055"/>
      <c r="K201" s="1055"/>
      <c r="L201" s="1055"/>
      <c r="M201" s="1055"/>
      <c r="N201" s="1055"/>
      <c r="O201" s="1055"/>
      <c r="P201" s="1055"/>
      <c r="Q201" s="1055"/>
      <c r="R201" s="1055"/>
      <c r="S201" s="1055"/>
      <c r="T201" s="1055"/>
      <c r="U201" s="1055"/>
      <c r="V201" s="1055"/>
      <c r="W201" s="1055"/>
      <c r="X201" s="1055"/>
      <c r="Y201" s="1055"/>
      <c r="Z201" s="1055"/>
      <c r="AA201" s="1055"/>
      <c r="AB201" s="1055"/>
      <c r="AC201" s="1055"/>
      <c r="AD201" s="1055"/>
      <c r="AE201" s="1055"/>
      <c r="AF201" s="1055"/>
      <c r="AG201" s="1055"/>
      <c r="AH201" s="1055"/>
      <c r="AI201" s="1055"/>
      <c r="AJ201" s="1055"/>
      <c r="AK201" s="1055"/>
      <c r="AL201" s="1055"/>
      <c r="AM201" s="1055"/>
      <c r="AN201" s="1055"/>
      <c r="AO201" s="1055"/>
      <c r="AP201" s="1055"/>
      <c r="AQ201" s="1055"/>
      <c r="AR201" s="1055"/>
      <c r="AS201" s="1055"/>
      <c r="AT201" s="1055"/>
      <c r="AU201" s="1055"/>
      <c r="AV201" s="1055"/>
      <c r="AW201" s="1055"/>
      <c r="AX201" s="1055"/>
      <c r="AY201" s="1055"/>
      <c r="AZ201" s="1055"/>
      <c r="BA201" s="1055"/>
      <c r="BB201" s="1055"/>
      <c r="BC201" s="1055"/>
      <c r="BD201" s="1055"/>
      <c r="BE201" s="1055"/>
      <c r="BF201" s="1055"/>
      <c r="BG201" s="1056"/>
    </row>
    <row r="202" spans="1:59" ht="15" thickBot="1" x14ac:dyDescent="0.2">
      <c r="A202" s="1050"/>
      <c r="B202" s="1064"/>
      <c r="C202" s="1763" t="str">
        <f>+IF(kapcsnyil="","",kapcsnyil)</f>
        <v/>
      </c>
      <c r="D202" s="1764"/>
      <c r="E202" s="1764"/>
      <c r="F202" s="1764"/>
      <c r="G202" s="1764"/>
      <c r="H202" s="1764"/>
      <c r="I202" s="1764"/>
      <c r="J202" s="1764"/>
      <c r="K202" s="1764"/>
      <c r="L202" s="1764"/>
      <c r="M202" s="1764"/>
      <c r="N202" s="1764"/>
      <c r="O202" s="1764"/>
      <c r="P202" s="1764"/>
      <c r="Q202" s="1764"/>
      <c r="R202" s="1764"/>
      <c r="S202" s="1764"/>
      <c r="T202" s="1765"/>
      <c r="U202" s="1055"/>
      <c r="V202" s="1055"/>
      <c r="W202" s="1055"/>
      <c r="X202" s="1763" t="str">
        <f>+IF(kapcstelnyil="","",kapcstelnyil)</f>
        <v/>
      </c>
      <c r="Y202" s="1764"/>
      <c r="Z202" s="1764"/>
      <c r="AA202" s="1764"/>
      <c r="AB202" s="1764"/>
      <c r="AC202" s="1764"/>
      <c r="AD202" s="1764"/>
      <c r="AE202" s="1764"/>
      <c r="AF202" s="1764"/>
      <c r="AG202" s="1764"/>
      <c r="AH202" s="1764"/>
      <c r="AI202" s="1764"/>
      <c r="AJ202" s="1764"/>
      <c r="AK202" s="1764"/>
      <c r="AL202" s="1765"/>
      <c r="AM202" s="1055"/>
      <c r="AN202" s="1055"/>
      <c r="AO202" s="1763" t="str">
        <f>+IF(kapcsemailnyil="","",kapcsemailnyil)</f>
        <v/>
      </c>
      <c r="AP202" s="1764"/>
      <c r="AQ202" s="1764"/>
      <c r="AR202" s="1764"/>
      <c r="AS202" s="1764"/>
      <c r="AT202" s="1764"/>
      <c r="AU202" s="1764"/>
      <c r="AV202" s="1764"/>
      <c r="AW202" s="1764"/>
      <c r="AX202" s="1764"/>
      <c r="AY202" s="1764"/>
      <c r="AZ202" s="1764"/>
      <c r="BA202" s="1764"/>
      <c r="BB202" s="1764"/>
      <c r="BC202" s="1764"/>
      <c r="BD202" s="1764"/>
      <c r="BE202" s="1764"/>
      <c r="BF202" s="1765"/>
      <c r="BG202" s="1056"/>
    </row>
    <row r="203" spans="1:59" x14ac:dyDescent="0.15">
      <c r="A203" s="1050"/>
      <c r="B203" s="1064"/>
      <c r="C203" s="1055" t="s">
        <v>587</v>
      </c>
      <c r="D203" s="1055"/>
      <c r="E203" s="1055"/>
      <c r="F203" s="1055"/>
      <c r="G203" s="1055"/>
      <c r="H203" s="1055"/>
      <c r="I203" s="1055"/>
      <c r="J203" s="1055"/>
      <c r="K203" s="1055"/>
      <c r="L203" s="1055"/>
      <c r="M203" s="1055"/>
      <c r="N203" s="1055"/>
      <c r="O203" s="1055"/>
      <c r="P203" s="1055"/>
      <c r="Q203" s="1055"/>
      <c r="R203" s="1055"/>
      <c r="S203" s="1055"/>
      <c r="T203" s="1055"/>
      <c r="U203" s="1055"/>
      <c r="V203" s="1055"/>
      <c r="W203" s="1055"/>
      <c r="X203" s="1055" t="s">
        <v>586</v>
      </c>
      <c r="Y203" s="1055"/>
      <c r="Z203" s="1055"/>
      <c r="AA203" s="1055"/>
      <c r="AB203" s="1055"/>
      <c r="AC203" s="1055"/>
      <c r="AD203" s="1055"/>
      <c r="AE203" s="1055"/>
      <c r="AF203" s="1055"/>
      <c r="AG203" s="1055"/>
      <c r="AH203" s="1055"/>
      <c r="AI203" s="1055"/>
      <c r="AJ203" s="1055"/>
      <c r="AK203" s="1055"/>
      <c r="AL203" s="1055"/>
      <c r="AM203" s="1055"/>
      <c r="AN203" s="1055"/>
      <c r="AO203" s="1055" t="s">
        <v>585</v>
      </c>
      <c r="AP203" s="1055"/>
      <c r="AQ203" s="1055"/>
      <c r="AR203" s="1055"/>
      <c r="AS203" s="1055"/>
      <c r="AT203" s="1055"/>
      <c r="AU203" s="1055"/>
      <c r="AV203" s="1055"/>
      <c r="AW203" s="1055"/>
      <c r="AX203" s="1055"/>
      <c r="AY203" s="1055"/>
      <c r="AZ203" s="1055"/>
      <c r="BA203" s="1055"/>
      <c r="BB203" s="1055"/>
      <c r="BC203" s="1055"/>
      <c r="BD203" s="1055"/>
      <c r="BE203" s="1055"/>
      <c r="BF203" s="1055"/>
      <c r="BG203" s="1056"/>
    </row>
    <row r="204" spans="1:59" ht="15" thickBot="1" x14ac:dyDescent="0.2">
      <c r="A204" s="1050"/>
      <c r="B204" s="1064"/>
      <c r="C204" s="1055"/>
      <c r="D204" s="1055"/>
      <c r="E204" s="1055"/>
      <c r="F204" s="1055"/>
      <c r="G204" s="1055"/>
      <c r="H204" s="1055"/>
      <c r="I204" s="1055"/>
      <c r="J204" s="1055"/>
      <c r="K204" s="1055"/>
      <c r="L204" s="1055"/>
      <c r="M204" s="1055"/>
      <c r="N204" s="1055"/>
      <c r="O204" s="1055"/>
      <c r="P204" s="1055"/>
      <c r="Q204" s="1055"/>
      <c r="R204" s="1055"/>
      <c r="S204" s="1055"/>
      <c r="T204" s="1055"/>
      <c r="U204" s="1055"/>
      <c r="V204" s="1055"/>
      <c r="W204" s="1055"/>
      <c r="X204" s="1055"/>
      <c r="Y204" s="1055"/>
      <c r="Z204" s="1055"/>
      <c r="AA204" s="1055"/>
      <c r="AB204" s="1055"/>
      <c r="AC204" s="1055"/>
      <c r="AD204" s="1055"/>
      <c r="AE204" s="1055"/>
      <c r="AF204" s="1055"/>
      <c r="AG204" s="1055"/>
      <c r="AH204" s="1055"/>
      <c r="AI204" s="1055"/>
      <c r="AJ204" s="1055"/>
      <c r="AK204" s="1055"/>
      <c r="AL204" s="1055"/>
      <c r="AM204" s="1055"/>
      <c r="AN204" s="1055"/>
      <c r="AO204" s="1055"/>
      <c r="AP204" s="1055"/>
      <c r="AQ204" s="1055"/>
      <c r="AR204" s="1055"/>
      <c r="AS204" s="1055"/>
      <c r="AT204" s="1055"/>
      <c r="AU204" s="1055"/>
      <c r="AV204" s="1055"/>
      <c r="AW204" s="1055"/>
      <c r="AX204" s="1055"/>
      <c r="AY204" s="1055"/>
      <c r="AZ204" s="1055"/>
      <c r="BA204" s="1055"/>
      <c r="BB204" s="1055"/>
      <c r="BC204" s="1055"/>
      <c r="BD204" s="1055"/>
      <c r="BE204" s="1055"/>
      <c r="BF204" s="1055"/>
      <c r="BG204" s="1056"/>
    </row>
    <row r="205" spans="1:59" ht="15" thickBot="1" x14ac:dyDescent="0.2">
      <c r="A205" s="1050"/>
      <c r="B205" s="1064"/>
      <c r="C205" s="1763" t="str">
        <f>+IF(vállemailnyil="","",vállemailnyil)</f>
        <v/>
      </c>
      <c r="D205" s="1764"/>
      <c r="E205" s="1764"/>
      <c r="F205" s="1764"/>
      <c r="G205" s="1764"/>
      <c r="H205" s="1764"/>
      <c r="I205" s="1764"/>
      <c r="J205" s="1764"/>
      <c r="K205" s="1764"/>
      <c r="L205" s="1764"/>
      <c r="M205" s="1764"/>
      <c r="N205" s="1764"/>
      <c r="O205" s="1764"/>
      <c r="P205" s="1764"/>
      <c r="Q205" s="1764"/>
      <c r="R205" s="1764"/>
      <c r="S205" s="1764"/>
      <c r="T205" s="1765"/>
      <c r="U205" s="1055"/>
      <c r="V205" s="1055"/>
      <c r="W205" s="1055"/>
      <c r="X205" s="1763" t="str">
        <f>+IF(válltelnyil="","",válltelnyil)</f>
        <v/>
      </c>
      <c r="Y205" s="1764"/>
      <c r="Z205" s="1764"/>
      <c r="AA205" s="1764"/>
      <c r="AB205" s="1764"/>
      <c r="AC205" s="1764"/>
      <c r="AD205" s="1764"/>
      <c r="AE205" s="1764"/>
      <c r="AF205" s="1764"/>
      <c r="AG205" s="1764"/>
      <c r="AH205" s="1764"/>
      <c r="AI205" s="1764"/>
      <c r="AJ205" s="1764"/>
      <c r="AK205" s="1764"/>
      <c r="AL205" s="1765"/>
      <c r="AM205" s="1055"/>
      <c r="AN205" s="1055"/>
      <c r="AO205" s="1055"/>
      <c r="AP205" s="1055"/>
      <c r="AQ205" s="1055"/>
      <c r="AR205" s="1055"/>
      <c r="AS205" s="1055"/>
      <c r="AT205" s="1055"/>
      <c r="AU205" s="1055"/>
      <c r="AV205" s="1055"/>
      <c r="AW205" s="1055"/>
      <c r="AX205" s="1055"/>
      <c r="AY205" s="1055"/>
      <c r="AZ205" s="1055"/>
      <c r="BA205" s="1055"/>
      <c r="BB205" s="1055"/>
      <c r="BC205" s="1055"/>
      <c r="BD205" s="1055"/>
      <c r="BE205" s="1055"/>
      <c r="BF205" s="1055"/>
      <c r="BG205" s="1056"/>
    </row>
    <row r="206" spans="1:59" x14ac:dyDescent="0.15">
      <c r="A206" s="1050"/>
      <c r="B206" s="1064"/>
      <c r="C206" s="1055" t="s">
        <v>588</v>
      </c>
      <c r="D206" s="1055"/>
      <c r="E206" s="1055"/>
      <c r="F206" s="1055"/>
      <c r="G206" s="1055"/>
      <c r="H206" s="1055"/>
      <c r="I206" s="1055"/>
      <c r="J206" s="1055"/>
      <c r="K206" s="1055"/>
      <c r="L206" s="1055"/>
      <c r="M206" s="1055"/>
      <c r="N206" s="1055"/>
      <c r="O206" s="1055"/>
      <c r="P206" s="1055"/>
      <c r="Q206" s="1055"/>
      <c r="R206" s="1055"/>
      <c r="S206" s="1055"/>
      <c r="T206" s="1055"/>
      <c r="U206" s="1055"/>
      <c r="V206" s="1055"/>
      <c r="W206" s="1055"/>
      <c r="X206" s="1055" t="s">
        <v>589</v>
      </c>
      <c r="Y206" s="1055"/>
      <c r="Z206" s="1055"/>
      <c r="AA206" s="1055"/>
      <c r="AB206" s="1055"/>
      <c r="AC206" s="1055"/>
      <c r="AD206" s="1055"/>
      <c r="AE206" s="1055"/>
      <c r="AF206" s="1055"/>
      <c r="AG206" s="1055"/>
      <c r="AH206" s="1055"/>
      <c r="AI206" s="1055"/>
      <c r="AJ206" s="1055"/>
      <c r="AK206" s="1055"/>
      <c r="AL206" s="1055"/>
      <c r="AM206" s="1055"/>
      <c r="AN206" s="1055"/>
      <c r="AO206" s="1055"/>
      <c r="AP206" s="1055"/>
      <c r="AQ206" s="1055"/>
      <c r="AR206" s="1055"/>
      <c r="AS206" s="1055"/>
      <c r="AT206" s="1055"/>
      <c r="AU206" s="1055"/>
      <c r="AV206" s="1055"/>
      <c r="AW206" s="1055"/>
      <c r="AX206" s="1055"/>
      <c r="AY206" s="1055"/>
      <c r="AZ206" s="1055"/>
      <c r="BA206" s="1055"/>
      <c r="BB206" s="1055"/>
      <c r="BC206" s="1055"/>
      <c r="BD206" s="1055"/>
      <c r="BE206" s="1055"/>
      <c r="BF206" s="1055"/>
      <c r="BG206" s="1056"/>
    </row>
    <row r="207" spans="1:59" x14ac:dyDescent="0.15">
      <c r="A207" s="1050"/>
      <c r="B207" s="1065"/>
      <c r="C207" s="1066"/>
      <c r="D207" s="1066"/>
      <c r="E207" s="1066"/>
      <c r="F207" s="1066"/>
      <c r="G207" s="1066"/>
      <c r="H207" s="1066"/>
      <c r="I207" s="1066"/>
      <c r="J207" s="1066"/>
      <c r="K207" s="1066"/>
      <c r="L207" s="1066"/>
      <c r="M207" s="1066"/>
      <c r="N207" s="1066"/>
      <c r="O207" s="1066"/>
      <c r="P207" s="1066"/>
      <c r="Q207" s="1066"/>
      <c r="R207" s="1066"/>
      <c r="S207" s="1066"/>
      <c r="T207" s="1066"/>
      <c r="U207" s="1066"/>
      <c r="V207" s="1066"/>
      <c r="W207" s="1066"/>
      <c r="X207" s="1066"/>
      <c r="Y207" s="1066"/>
      <c r="Z207" s="1066"/>
      <c r="AA207" s="1066"/>
      <c r="AB207" s="1066"/>
      <c r="AC207" s="1066"/>
      <c r="AD207" s="1066"/>
      <c r="AE207" s="1066"/>
      <c r="AF207" s="1066"/>
      <c r="AG207" s="1066"/>
      <c r="AH207" s="1066"/>
      <c r="AI207" s="1066"/>
      <c r="AJ207" s="1066"/>
      <c r="AK207" s="1066"/>
      <c r="AL207" s="1066"/>
      <c r="AM207" s="1066"/>
      <c r="AN207" s="1066"/>
      <c r="AO207" s="1066"/>
      <c r="AP207" s="1066"/>
      <c r="AQ207" s="1066"/>
      <c r="AR207" s="1066"/>
      <c r="AS207" s="1066"/>
      <c r="AT207" s="1066"/>
      <c r="AU207" s="1066"/>
      <c r="AV207" s="1066"/>
      <c r="AW207" s="1066"/>
      <c r="AX207" s="1066"/>
      <c r="AY207" s="1066"/>
      <c r="AZ207" s="1066"/>
      <c r="BA207" s="1066"/>
      <c r="BB207" s="1066"/>
      <c r="BC207" s="1066"/>
      <c r="BD207" s="1066"/>
      <c r="BE207" s="1066"/>
      <c r="BF207" s="1066"/>
      <c r="BG207" s="1067"/>
    </row>
    <row r="208" spans="1:59" x14ac:dyDescent="0.15">
      <c r="A208" s="1050"/>
      <c r="B208" s="1753" t="s">
        <v>846</v>
      </c>
      <c r="C208" s="1754"/>
      <c r="D208" s="1754"/>
      <c r="E208" s="1754"/>
      <c r="F208" s="1754"/>
      <c r="G208" s="1754"/>
      <c r="H208" s="1754"/>
      <c r="I208" s="1754"/>
      <c r="J208" s="1754"/>
      <c r="K208" s="1754"/>
      <c r="L208" s="1754"/>
      <c r="M208" s="1754"/>
      <c r="N208" s="1754"/>
      <c r="O208" s="1754"/>
      <c r="P208" s="1754"/>
      <c r="Q208" s="1754"/>
      <c r="R208" s="1754"/>
      <c r="S208" s="1754"/>
      <c r="T208" s="1754"/>
      <c r="U208" s="1754"/>
      <c r="V208" s="1754"/>
      <c r="W208" s="1754"/>
      <c r="X208" s="1754"/>
      <c r="Y208" s="1754"/>
      <c r="Z208" s="1754"/>
      <c r="AA208" s="1754"/>
      <c r="AB208" s="1754"/>
      <c r="AC208" s="1754"/>
      <c r="AD208" s="1754"/>
      <c r="AE208" s="1754"/>
      <c r="AF208" s="1754"/>
      <c r="AG208" s="1754"/>
      <c r="AH208" s="1754"/>
      <c r="AI208" s="1754"/>
      <c r="AJ208" s="1754"/>
      <c r="AK208" s="1754"/>
      <c r="AL208" s="1754"/>
      <c r="AM208" s="1754"/>
      <c r="AN208" s="1754"/>
      <c r="AO208" s="1754"/>
      <c r="AP208" s="1754"/>
      <c r="AQ208" s="1754"/>
      <c r="AR208" s="1754"/>
      <c r="AS208" s="1754"/>
      <c r="AT208" s="1754"/>
      <c r="AU208" s="1754"/>
      <c r="AV208" s="1754"/>
      <c r="AW208" s="1754"/>
      <c r="AX208" s="1754"/>
      <c r="AY208" s="1754"/>
      <c r="AZ208" s="1754"/>
      <c r="BA208" s="1754"/>
      <c r="BB208" s="1754"/>
      <c r="BC208" s="1754"/>
      <c r="BD208" s="1754"/>
      <c r="BE208" s="1754"/>
      <c r="BF208" s="1754"/>
      <c r="BG208" s="1755"/>
    </row>
    <row r="209" spans="1:59" x14ac:dyDescent="0.15">
      <c r="A209" s="1050"/>
      <c r="B209" s="1068"/>
      <c r="C209" s="1751" t="s">
        <v>777</v>
      </c>
      <c r="D209" s="1751"/>
      <c r="E209" s="1751"/>
      <c r="F209" s="1751"/>
      <c r="G209" s="1751"/>
      <c r="H209" s="1751"/>
      <c r="I209" s="1751"/>
      <c r="J209" s="1751"/>
      <c r="K209" s="1751"/>
      <c r="L209" s="1751"/>
      <c r="M209" s="1751"/>
      <c r="N209" s="1751"/>
      <c r="O209" s="1751"/>
      <c r="P209" s="1751"/>
      <c r="Q209" s="1751"/>
      <c r="R209" s="1751"/>
      <c r="S209" s="1751"/>
      <c r="T209" s="1751"/>
      <c r="U209" s="1751"/>
      <c r="V209" s="1751"/>
      <c r="W209" s="1751"/>
      <c r="X209" s="1751"/>
      <c r="Y209" s="1751"/>
      <c r="Z209" s="1751"/>
      <c r="AA209" s="1751"/>
      <c r="AB209" s="1751"/>
      <c r="AC209" s="1751"/>
      <c r="AD209" s="1751"/>
      <c r="AE209" s="1751"/>
      <c r="AF209" s="1751"/>
      <c r="AG209" s="1751"/>
      <c r="AH209" s="1751"/>
      <c r="AI209" s="1751"/>
      <c r="AJ209" s="1751"/>
      <c r="AK209" s="1751"/>
      <c r="AL209" s="1751"/>
      <c r="AM209" s="1751"/>
      <c r="AN209" s="1751"/>
      <c r="AO209" s="1751"/>
      <c r="AP209" s="1751"/>
      <c r="AQ209" s="1751"/>
      <c r="AR209" s="1751"/>
      <c r="AS209" s="1751"/>
      <c r="AT209" s="1751"/>
      <c r="AU209" s="1751"/>
      <c r="AV209" s="1751"/>
      <c r="AW209" s="1751"/>
      <c r="AX209" s="1751"/>
      <c r="AY209" s="1751"/>
      <c r="AZ209" s="1751"/>
      <c r="BA209" s="1751"/>
      <c r="BB209" s="1751"/>
      <c r="BC209" s="1751"/>
      <c r="BD209" s="1751"/>
      <c r="BE209" s="1751"/>
      <c r="BF209" s="1751"/>
      <c r="BG209" s="1069"/>
    </row>
    <row r="210" spans="1:59" ht="15" thickBot="1" x14ac:dyDescent="0.2">
      <c r="A210" s="1050"/>
      <c r="B210" s="1064"/>
      <c r="C210" s="1761" t="s">
        <v>914</v>
      </c>
      <c r="D210" s="1761"/>
      <c r="E210" s="1761"/>
      <c r="F210" s="1761"/>
      <c r="G210" s="1761"/>
      <c r="H210" s="1761"/>
      <c r="I210" s="1761"/>
      <c r="J210" s="1761"/>
      <c r="K210" s="1761"/>
      <c r="L210" s="1761"/>
      <c r="M210" s="1761"/>
      <c r="N210" s="1761"/>
      <c r="O210" s="1761"/>
      <c r="P210" s="1761"/>
      <c r="Q210" s="1761"/>
      <c r="R210" s="1761"/>
      <c r="S210" s="1761"/>
      <c r="T210" s="1761"/>
      <c r="U210" s="1761"/>
      <c r="V210" s="1761"/>
      <c r="W210" s="1761"/>
      <c r="X210" s="1761"/>
      <c r="Y210" s="1761"/>
      <c r="Z210" s="1761"/>
      <c r="AA210" s="1761"/>
      <c r="AB210" s="1761"/>
      <c r="AC210" s="1761"/>
      <c r="AD210" s="1761"/>
      <c r="AE210" s="1761"/>
      <c r="AF210" s="1761"/>
      <c r="AG210" s="1761"/>
      <c r="AH210" s="1761"/>
      <c r="AI210" s="1761"/>
      <c r="AJ210" s="1761"/>
      <c r="AK210" s="1761"/>
      <c r="AL210" s="1761"/>
      <c r="AM210" s="1761"/>
      <c r="AN210" s="1761"/>
      <c r="AO210" s="1761"/>
      <c r="AP210" s="1761"/>
      <c r="AQ210" s="1761"/>
      <c r="AR210" s="1761"/>
      <c r="AS210" s="1761"/>
      <c r="AT210" s="1761"/>
      <c r="AU210" s="1761"/>
      <c r="AV210" s="1761"/>
      <c r="AW210" s="1761"/>
      <c r="AX210" s="1761"/>
      <c r="AY210" s="1761"/>
      <c r="AZ210" s="1761"/>
      <c r="BA210" s="1761"/>
      <c r="BB210" s="1761"/>
      <c r="BC210" s="1761"/>
      <c r="BD210" s="1761"/>
      <c r="BE210" s="1761"/>
      <c r="BF210" s="1761"/>
      <c r="BG210" s="1056"/>
    </row>
    <row r="211" spans="1:59" ht="15" thickBot="1" x14ac:dyDescent="0.2">
      <c r="A211" s="1050"/>
      <c r="B211" s="1064"/>
      <c r="C211" s="1748" t="str">
        <f>+Nyilatkozatok!CK113</f>
        <v>megújuló energiatermelésre irányuló beruházási támogatás</v>
      </c>
      <c r="D211" s="1749"/>
      <c r="E211" s="1749"/>
      <c r="F211" s="1749"/>
      <c r="G211" s="1749"/>
      <c r="H211" s="1749"/>
      <c r="I211" s="1749"/>
      <c r="J211" s="1749"/>
      <c r="K211" s="1749"/>
      <c r="L211" s="1749"/>
      <c r="M211" s="1749"/>
      <c r="N211" s="1749"/>
      <c r="O211" s="1749"/>
      <c r="P211" s="1749"/>
      <c r="Q211" s="1749"/>
      <c r="R211" s="1749"/>
      <c r="S211" s="1749"/>
      <c r="T211" s="1749"/>
      <c r="U211" s="1749"/>
      <c r="V211" s="1749"/>
      <c r="W211" s="1749"/>
      <c r="X211" s="1749"/>
      <c r="Y211" s="1749"/>
      <c r="Z211" s="1749"/>
      <c r="AA211" s="1749"/>
      <c r="AB211" s="1749"/>
      <c r="AC211" s="1749"/>
      <c r="AD211" s="1749"/>
      <c r="AE211" s="1749"/>
      <c r="AF211" s="1749"/>
      <c r="AG211" s="1749"/>
      <c r="AH211" s="1750"/>
      <c r="AI211" s="1070"/>
      <c r="AJ211" s="1070"/>
      <c r="AK211" s="1070"/>
      <c r="AL211" s="1070"/>
      <c r="AM211" s="1070"/>
      <c r="AN211" s="1070"/>
      <c r="AO211" s="1070"/>
      <c r="AP211" s="1070"/>
      <c r="AQ211" s="1070"/>
      <c r="AR211" s="1070"/>
      <c r="AS211" s="1070"/>
      <c r="AT211" s="1070"/>
      <c r="AU211" s="1070"/>
      <c r="AV211" s="1070"/>
      <c r="AW211" s="1070"/>
      <c r="AX211" s="1070"/>
      <c r="AY211" s="1070"/>
      <c r="AZ211" s="1070"/>
      <c r="BA211" s="1070"/>
      <c r="BB211" s="1070"/>
      <c r="BC211" s="1070"/>
      <c r="BD211" s="1070"/>
      <c r="BE211" s="1070"/>
      <c r="BF211" s="1070"/>
      <c r="BG211" s="1056"/>
    </row>
    <row r="212" spans="1:59" x14ac:dyDescent="0.15">
      <c r="A212" s="1050"/>
      <c r="B212" s="1064"/>
      <c r="C212" s="1761" t="s">
        <v>856</v>
      </c>
      <c r="D212" s="1761"/>
      <c r="E212" s="1761"/>
      <c r="F212" s="1761"/>
      <c r="G212" s="1761"/>
      <c r="H212" s="1761"/>
      <c r="I212" s="1761"/>
      <c r="J212" s="1761"/>
      <c r="K212" s="1761"/>
      <c r="L212" s="1761"/>
      <c r="M212" s="1761"/>
      <c r="N212" s="1761"/>
      <c r="O212" s="1761"/>
      <c r="P212" s="1761"/>
      <c r="Q212" s="1761"/>
      <c r="R212" s="1761"/>
      <c r="S212" s="1761"/>
      <c r="T212" s="1761"/>
      <c r="U212" s="1761"/>
      <c r="V212" s="1761"/>
      <c r="W212" s="1761"/>
      <c r="X212" s="1761"/>
      <c r="Y212" s="1761"/>
      <c r="Z212" s="1761"/>
      <c r="AA212" s="1761"/>
      <c r="AB212" s="1761"/>
      <c r="AC212" s="1761"/>
      <c r="AD212" s="1761"/>
      <c r="AE212" s="1761"/>
      <c r="AF212" s="1761"/>
      <c r="AG212" s="1761"/>
      <c r="AH212" s="1761"/>
      <c r="AI212" s="1761"/>
      <c r="AJ212" s="1761"/>
      <c r="AK212" s="1761"/>
      <c r="AL212" s="1761"/>
      <c r="AM212" s="1761"/>
      <c r="AN212" s="1761"/>
      <c r="AO212" s="1761"/>
      <c r="AP212" s="1761"/>
      <c r="AQ212" s="1761"/>
      <c r="AR212" s="1761"/>
      <c r="AS212" s="1761"/>
      <c r="AT212" s="1761"/>
      <c r="AU212" s="1761"/>
      <c r="AV212" s="1761"/>
      <c r="AW212" s="1761"/>
      <c r="AX212" s="1761"/>
      <c r="AY212" s="1761"/>
      <c r="AZ212" s="1761"/>
      <c r="BA212" s="1761"/>
      <c r="BB212" s="1761"/>
      <c r="BC212" s="1761"/>
      <c r="BD212" s="1761"/>
      <c r="BE212" s="1761"/>
      <c r="BF212" s="1761"/>
      <c r="BG212" s="1056"/>
    </row>
    <row r="213" spans="1:59" x14ac:dyDescent="0.15">
      <c r="A213" s="1050"/>
      <c r="B213" s="1064"/>
      <c r="C213" s="1759" t="str">
        <f>+Nyilatkozatok!CK114</f>
        <v xml:space="preserve">– visszaigényelhető általános forgalmi adó (ÁFA), vám, illeték finanszírozására használom fel, kivéve, ha ÁFA visszaigénylésére nem vagyok jogosult; </v>
      </c>
      <c r="D213" s="1759"/>
      <c r="E213" s="1759"/>
      <c r="F213" s="1759"/>
      <c r="G213" s="1759"/>
      <c r="H213" s="1759"/>
      <c r="I213" s="1759"/>
      <c r="J213" s="1759"/>
      <c r="K213" s="1759"/>
      <c r="L213" s="1759"/>
      <c r="M213" s="1759"/>
      <c r="N213" s="1759"/>
      <c r="O213" s="1759"/>
      <c r="P213" s="1759"/>
      <c r="Q213" s="1759"/>
      <c r="R213" s="1759"/>
      <c r="S213" s="1759"/>
      <c r="T213" s="1759"/>
      <c r="U213" s="1759"/>
      <c r="V213" s="1759"/>
      <c r="W213" s="1759"/>
      <c r="X213" s="1759"/>
      <c r="Y213" s="1759"/>
      <c r="Z213" s="1759"/>
      <c r="AA213" s="1759"/>
      <c r="AB213" s="1759"/>
      <c r="AC213" s="1759"/>
      <c r="AD213" s="1759"/>
      <c r="AE213" s="1759"/>
      <c r="AF213" s="1759"/>
      <c r="AG213" s="1759"/>
      <c r="AH213" s="1759"/>
      <c r="AI213" s="1759"/>
      <c r="AJ213" s="1759"/>
      <c r="AK213" s="1759"/>
      <c r="AL213" s="1759"/>
      <c r="AM213" s="1759"/>
      <c r="AN213" s="1759"/>
      <c r="AO213" s="1759"/>
      <c r="AP213" s="1759"/>
      <c r="AQ213" s="1759"/>
      <c r="AR213" s="1759"/>
      <c r="AS213" s="1759"/>
      <c r="AT213" s="1759"/>
      <c r="AU213" s="1759"/>
      <c r="AV213" s="1759"/>
      <c r="AW213" s="1759"/>
      <c r="AX213" s="1759"/>
      <c r="AY213" s="1759"/>
      <c r="AZ213" s="1759"/>
      <c r="BA213" s="1759"/>
      <c r="BB213" s="1759"/>
      <c r="BC213" s="1759"/>
      <c r="BD213" s="1759"/>
      <c r="BE213" s="1759"/>
      <c r="BF213" s="1759"/>
      <c r="BG213" s="1056"/>
    </row>
    <row r="214" spans="1:59" x14ac:dyDescent="0.15">
      <c r="A214" s="1050"/>
      <c r="B214" s="1064"/>
      <c r="C214" s="1759" t="str">
        <f>+Nyilatkozatok!CK115</f>
        <v>– más hitel, lízing kiváltására, üzletrész, részvény, illetve más társasági részesedés vásárlására használom fel;</v>
      </c>
      <c r="D214" s="1759"/>
      <c r="E214" s="1759"/>
      <c r="F214" s="1759"/>
      <c r="G214" s="1759"/>
      <c r="H214" s="1759"/>
      <c r="I214" s="1759"/>
      <c r="J214" s="1759"/>
      <c r="K214" s="1759"/>
      <c r="L214" s="1759"/>
      <c r="M214" s="1759"/>
      <c r="N214" s="1759"/>
      <c r="O214" s="1759"/>
      <c r="P214" s="1759"/>
      <c r="Q214" s="1759"/>
      <c r="R214" s="1759"/>
      <c r="S214" s="1759"/>
      <c r="T214" s="1759"/>
      <c r="U214" s="1759"/>
      <c r="V214" s="1759"/>
      <c r="W214" s="1759"/>
      <c r="X214" s="1759"/>
      <c r="Y214" s="1759"/>
      <c r="Z214" s="1759"/>
      <c r="AA214" s="1759"/>
      <c r="AB214" s="1759"/>
      <c r="AC214" s="1759"/>
      <c r="AD214" s="1759"/>
      <c r="AE214" s="1759"/>
      <c r="AF214" s="1759"/>
      <c r="AG214" s="1759"/>
      <c r="AH214" s="1759"/>
      <c r="AI214" s="1759"/>
      <c r="AJ214" s="1759"/>
      <c r="AK214" s="1759"/>
      <c r="AL214" s="1759"/>
      <c r="AM214" s="1759"/>
      <c r="AN214" s="1759"/>
      <c r="AO214" s="1759"/>
      <c r="AP214" s="1759"/>
      <c r="AQ214" s="1759"/>
      <c r="AR214" s="1759"/>
      <c r="AS214" s="1759"/>
      <c r="AT214" s="1759"/>
      <c r="AU214" s="1759"/>
      <c r="AV214" s="1759"/>
      <c r="AW214" s="1759"/>
      <c r="AX214" s="1759"/>
      <c r="AY214" s="1759"/>
      <c r="AZ214" s="1759"/>
      <c r="BA214" s="1759"/>
      <c r="BB214" s="1759"/>
      <c r="BC214" s="1759"/>
      <c r="BD214" s="1759"/>
      <c r="BE214" s="1759"/>
      <c r="BF214" s="1759"/>
      <c r="BG214" s="1056"/>
    </row>
    <row r="215" spans="1:59" x14ac:dyDescent="0.15">
      <c r="A215" s="1050"/>
      <c r="B215" s="1064"/>
      <c r="C215" s="1759" t="str">
        <f>+Nyilatkozatok!CK116</f>
        <v xml:space="preserve">– a hiteldöntés napján fizikailag már lezárt (befejezett) vagy teljes mértékben (fizikailag és pénzügyileg is) végrehajtott beruházás finanszírozására használom fel; </v>
      </c>
      <c r="D215" s="1759"/>
      <c r="E215" s="1759"/>
      <c r="F215" s="1759"/>
      <c r="G215" s="1759"/>
      <c r="H215" s="1759"/>
      <c r="I215" s="1759"/>
      <c r="J215" s="1759"/>
      <c r="K215" s="1759"/>
      <c r="L215" s="1759"/>
      <c r="M215" s="1759"/>
      <c r="N215" s="1759"/>
      <c r="O215" s="1759"/>
      <c r="P215" s="1759"/>
      <c r="Q215" s="1759"/>
      <c r="R215" s="1759"/>
      <c r="S215" s="1759"/>
      <c r="T215" s="1759"/>
      <c r="U215" s="1759"/>
      <c r="V215" s="1759"/>
      <c r="W215" s="1759"/>
      <c r="X215" s="1759"/>
      <c r="Y215" s="1759"/>
      <c r="Z215" s="1759"/>
      <c r="AA215" s="1759"/>
      <c r="AB215" s="1759"/>
      <c r="AC215" s="1759"/>
      <c r="AD215" s="1759"/>
      <c r="AE215" s="1759"/>
      <c r="AF215" s="1759"/>
      <c r="AG215" s="1759"/>
      <c r="AH215" s="1759"/>
      <c r="AI215" s="1759"/>
      <c r="AJ215" s="1759"/>
      <c r="AK215" s="1759"/>
      <c r="AL215" s="1759"/>
      <c r="AM215" s="1759"/>
      <c r="AN215" s="1759"/>
      <c r="AO215" s="1759"/>
      <c r="AP215" s="1759"/>
      <c r="AQ215" s="1759"/>
      <c r="AR215" s="1759"/>
      <c r="AS215" s="1759"/>
      <c r="AT215" s="1759"/>
      <c r="AU215" s="1759"/>
      <c r="AV215" s="1759"/>
      <c r="AW215" s="1759"/>
      <c r="AX215" s="1759"/>
      <c r="AY215" s="1759"/>
      <c r="AZ215" s="1759"/>
      <c r="BA215" s="1759"/>
      <c r="BB215" s="1759"/>
      <c r="BC215" s="1759"/>
      <c r="BD215" s="1759"/>
      <c r="BE215" s="1759"/>
      <c r="BF215" s="1759"/>
      <c r="BG215" s="1056"/>
    </row>
    <row r="216" spans="1:59" x14ac:dyDescent="0.15">
      <c r="A216" s="1050"/>
      <c r="B216" s="1064"/>
      <c r="C216" s="1759" t="str">
        <f>+Nyilatkozatok!CK117</f>
        <v>–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használom fel,</v>
      </c>
      <c r="D216" s="1759"/>
      <c r="E216" s="1759"/>
      <c r="F216" s="1759"/>
      <c r="G216" s="1759"/>
      <c r="H216" s="1759"/>
      <c r="I216" s="1759"/>
      <c r="J216" s="1759"/>
      <c r="K216" s="1759"/>
      <c r="L216" s="1759"/>
      <c r="M216" s="1759"/>
      <c r="N216" s="1759"/>
      <c r="O216" s="1759"/>
      <c r="P216" s="1759"/>
      <c r="Q216" s="1759"/>
      <c r="R216" s="1759"/>
      <c r="S216" s="1759"/>
      <c r="T216" s="1759"/>
      <c r="U216" s="1759"/>
      <c r="V216" s="1759"/>
      <c r="W216" s="1759"/>
      <c r="X216" s="1759"/>
      <c r="Y216" s="1759"/>
      <c r="Z216" s="1759"/>
      <c r="AA216" s="1759"/>
      <c r="AB216" s="1759"/>
      <c r="AC216" s="1759"/>
      <c r="AD216" s="1759"/>
      <c r="AE216" s="1759"/>
      <c r="AF216" s="1759"/>
      <c r="AG216" s="1759"/>
      <c r="AH216" s="1759"/>
      <c r="AI216" s="1759"/>
      <c r="AJ216" s="1759"/>
      <c r="AK216" s="1759"/>
      <c r="AL216" s="1759"/>
      <c r="AM216" s="1759"/>
      <c r="AN216" s="1759"/>
      <c r="AO216" s="1759"/>
      <c r="AP216" s="1759"/>
      <c r="AQ216" s="1759"/>
      <c r="AR216" s="1759"/>
      <c r="AS216" s="1759"/>
      <c r="AT216" s="1759"/>
      <c r="AU216" s="1759"/>
      <c r="AV216" s="1759"/>
      <c r="AW216" s="1759"/>
      <c r="AX216" s="1759"/>
      <c r="AY216" s="1759"/>
      <c r="AZ216" s="1759"/>
      <c r="BA216" s="1759"/>
      <c r="BB216" s="1759"/>
      <c r="BC216" s="1759"/>
      <c r="BD216" s="1759"/>
      <c r="BE216" s="1759"/>
      <c r="BF216" s="1759"/>
      <c r="BG216" s="1056"/>
    </row>
    <row r="217" spans="1:59" x14ac:dyDescent="0.15">
      <c r="A217" s="1050"/>
      <c r="B217" s="1064"/>
      <c r="C217" s="1759" t="str">
        <f>+Nyilatkozatok!CK118</f>
        <v>– olyan feltétellel használom fel, amely az európai uniós jog megsértését eredményezi,</v>
      </c>
      <c r="D217" s="1759"/>
      <c r="E217" s="1759"/>
      <c r="F217" s="1759"/>
      <c r="G217" s="1759"/>
      <c r="H217" s="1759"/>
      <c r="I217" s="1759"/>
      <c r="J217" s="1759"/>
      <c r="K217" s="1759"/>
      <c r="L217" s="1759"/>
      <c r="M217" s="1759"/>
      <c r="N217" s="1759"/>
      <c r="O217" s="1759"/>
      <c r="P217" s="1759"/>
      <c r="Q217" s="1759"/>
      <c r="R217" s="1759"/>
      <c r="S217" s="1759"/>
      <c r="T217" s="1759"/>
      <c r="U217" s="1759"/>
      <c r="V217" s="1759"/>
      <c r="W217" s="1759"/>
      <c r="X217" s="1759"/>
      <c r="Y217" s="1759"/>
      <c r="Z217" s="1759"/>
      <c r="AA217" s="1759"/>
      <c r="AB217" s="1759"/>
      <c r="AC217" s="1759"/>
      <c r="AD217" s="1759"/>
      <c r="AE217" s="1759"/>
      <c r="AF217" s="1759"/>
      <c r="AG217" s="1759"/>
      <c r="AH217" s="1759"/>
      <c r="AI217" s="1759"/>
      <c r="AJ217" s="1759"/>
      <c r="AK217" s="1759"/>
      <c r="AL217" s="1759"/>
      <c r="AM217" s="1759"/>
      <c r="AN217" s="1759"/>
      <c r="AO217" s="1759"/>
      <c r="AP217" s="1759"/>
      <c r="AQ217" s="1759"/>
      <c r="AR217" s="1759"/>
      <c r="AS217" s="1759"/>
      <c r="AT217" s="1759"/>
      <c r="AU217" s="1759"/>
      <c r="AV217" s="1759"/>
      <c r="AW217" s="1759"/>
      <c r="AX217" s="1759"/>
      <c r="AY217" s="1759"/>
      <c r="AZ217" s="1759"/>
      <c r="BA217" s="1759"/>
      <c r="BB217" s="1759"/>
      <c r="BC217" s="1759"/>
      <c r="BD217" s="1759"/>
      <c r="BE217" s="1759"/>
      <c r="BF217" s="1759"/>
      <c r="BG217" s="1056"/>
    </row>
    <row r="218" spans="1:59" x14ac:dyDescent="0.15">
      <c r="A218" s="1050"/>
      <c r="B218" s="1064"/>
      <c r="C218" s="1759" t="str">
        <f>+Nyilatkozatok!CK119</f>
        <v>Kijelentem, hogy:</v>
      </c>
      <c r="D218" s="1759"/>
      <c r="E218" s="1759"/>
      <c r="F218" s="1759"/>
      <c r="G218" s="1759"/>
      <c r="H218" s="1759"/>
      <c r="I218" s="1759"/>
      <c r="J218" s="1759"/>
      <c r="K218" s="1759"/>
      <c r="L218" s="1759"/>
      <c r="M218" s="1759"/>
      <c r="N218" s="1759"/>
      <c r="O218" s="1759"/>
      <c r="P218" s="1759"/>
      <c r="Q218" s="1759"/>
      <c r="R218" s="1759"/>
      <c r="S218" s="1759"/>
      <c r="T218" s="1759"/>
      <c r="U218" s="1759"/>
      <c r="V218" s="1759"/>
      <c r="W218" s="1759"/>
      <c r="X218" s="1759"/>
      <c r="Y218" s="1759"/>
      <c r="Z218" s="1759"/>
      <c r="AA218" s="1759"/>
      <c r="AB218" s="1759"/>
      <c r="AC218" s="1759"/>
      <c r="AD218" s="1759"/>
      <c r="AE218" s="1759"/>
      <c r="AF218" s="1759"/>
      <c r="AG218" s="1759"/>
      <c r="AH218" s="1759"/>
      <c r="AI218" s="1759"/>
      <c r="AJ218" s="1759"/>
      <c r="AK218" s="1759"/>
      <c r="AL218" s="1759"/>
      <c r="AM218" s="1759"/>
      <c r="AN218" s="1759"/>
      <c r="AO218" s="1759"/>
      <c r="AP218" s="1759"/>
      <c r="AQ218" s="1759"/>
      <c r="AR218" s="1759"/>
      <c r="AS218" s="1759"/>
      <c r="AT218" s="1759"/>
      <c r="AU218" s="1759"/>
      <c r="AV218" s="1759"/>
      <c r="AW218" s="1759"/>
      <c r="AX218" s="1759"/>
      <c r="AY218" s="1759"/>
      <c r="AZ218" s="1759"/>
      <c r="BA218" s="1759"/>
      <c r="BB218" s="1759"/>
      <c r="BC218" s="1759"/>
      <c r="BD218" s="1759"/>
      <c r="BE218" s="1759"/>
      <c r="BF218" s="1759"/>
      <c r="BG218" s="1056"/>
    </row>
    <row r="219" spans="1:59" x14ac:dyDescent="0.15">
      <c r="A219" s="1050"/>
      <c r="B219" s="1064"/>
      <c r="C219" s="1759" t="str">
        <f>+Nyilatkozatok!CK120</f>
        <v>– a Termékleírásban meghatározott - mértékű saját erővel rendelkezem.</v>
      </c>
      <c r="D219" s="1759"/>
      <c r="E219" s="1759"/>
      <c r="F219" s="1759"/>
      <c r="G219" s="1759"/>
      <c r="H219" s="1759"/>
      <c r="I219" s="1759"/>
      <c r="J219" s="1759"/>
      <c r="K219" s="1759"/>
      <c r="L219" s="1759"/>
      <c r="M219" s="1759"/>
      <c r="N219" s="1759"/>
      <c r="O219" s="1759"/>
      <c r="P219" s="1759"/>
      <c r="Q219" s="1759"/>
      <c r="R219" s="1759"/>
      <c r="S219" s="1759"/>
      <c r="T219" s="1759"/>
      <c r="U219" s="1759"/>
      <c r="V219" s="1759"/>
      <c r="W219" s="1759"/>
      <c r="X219" s="1759"/>
      <c r="Y219" s="1759"/>
      <c r="Z219" s="1759"/>
      <c r="AA219" s="1759"/>
      <c r="AB219" s="1759"/>
      <c r="AC219" s="1759"/>
      <c r="AD219" s="1759"/>
      <c r="AE219" s="1759"/>
      <c r="AF219" s="1759"/>
      <c r="AG219" s="1759"/>
      <c r="AH219" s="1759"/>
      <c r="AI219" s="1759"/>
      <c r="AJ219" s="1759"/>
      <c r="AK219" s="1759"/>
      <c r="AL219" s="1759"/>
      <c r="AM219" s="1759"/>
      <c r="AN219" s="1759"/>
      <c r="AO219" s="1759"/>
      <c r="AP219" s="1759"/>
      <c r="AQ219" s="1759"/>
      <c r="AR219" s="1759"/>
      <c r="AS219" s="1759"/>
      <c r="AT219" s="1759"/>
      <c r="AU219" s="1759"/>
      <c r="AV219" s="1759"/>
      <c r="AW219" s="1759"/>
      <c r="AX219" s="1759"/>
      <c r="AY219" s="1759"/>
      <c r="AZ219" s="1759"/>
      <c r="BA219" s="1759"/>
      <c r="BB219" s="1759"/>
      <c r="BC219" s="1759"/>
      <c r="BD219" s="1759"/>
      <c r="BE219" s="1759"/>
      <c r="BF219" s="1759"/>
      <c r="BG219" s="1056"/>
    </row>
    <row r="220" spans="1:59" x14ac:dyDescent="0.15">
      <c r="A220" s="1050"/>
      <c r="B220" s="1064"/>
      <c r="C220" s="1759" t="str">
        <f>+Nyilatkozatok!CK121</f>
        <v>– amennyiben ÁFA visszaigénylésre jogosult vagyok, rendelkezem az ÁFA megfizetéséhez szükséges forrással.</v>
      </c>
      <c r="D220" s="1759"/>
      <c r="E220" s="1759"/>
      <c r="F220" s="1759"/>
      <c r="G220" s="1759"/>
      <c r="H220" s="1759"/>
      <c r="I220" s="1759"/>
      <c r="J220" s="1759"/>
      <c r="K220" s="1759"/>
      <c r="L220" s="1759"/>
      <c r="M220" s="1759"/>
      <c r="N220" s="1759"/>
      <c r="O220" s="1759"/>
      <c r="P220" s="1759"/>
      <c r="Q220" s="1759"/>
      <c r="R220" s="1759"/>
      <c r="S220" s="1759"/>
      <c r="T220" s="1759"/>
      <c r="U220" s="1759"/>
      <c r="V220" s="1759"/>
      <c r="W220" s="1759"/>
      <c r="X220" s="1759"/>
      <c r="Y220" s="1759"/>
      <c r="Z220" s="1759"/>
      <c r="AA220" s="1759"/>
      <c r="AB220" s="1759"/>
      <c r="AC220" s="1759"/>
      <c r="AD220" s="1759"/>
      <c r="AE220" s="1759"/>
      <c r="AF220" s="1759"/>
      <c r="AG220" s="1759"/>
      <c r="AH220" s="1759"/>
      <c r="AI220" s="1759"/>
      <c r="AJ220" s="1759"/>
      <c r="AK220" s="1759"/>
      <c r="AL220" s="1759"/>
      <c r="AM220" s="1759"/>
      <c r="AN220" s="1759"/>
      <c r="AO220" s="1759"/>
      <c r="AP220" s="1759"/>
      <c r="AQ220" s="1759"/>
      <c r="AR220" s="1759"/>
      <c r="AS220" s="1759"/>
      <c r="AT220" s="1759"/>
      <c r="AU220" s="1759"/>
      <c r="AV220" s="1759"/>
      <c r="AW220" s="1759"/>
      <c r="AX220" s="1759"/>
      <c r="AY220" s="1759"/>
      <c r="AZ220" s="1759"/>
      <c r="BA220" s="1759"/>
      <c r="BB220" s="1759"/>
      <c r="BC220" s="1759"/>
      <c r="BD220" s="1759"/>
      <c r="BE220" s="1759"/>
      <c r="BF220" s="1759"/>
      <c r="BG220" s="1056"/>
    </row>
    <row r="221" spans="1:59" x14ac:dyDescent="0.15">
      <c r="A221" s="1050"/>
      <c r="B221" s="1064"/>
      <c r="C221" s="1759" t="str">
        <f>+Nyilatkozatok!CK122</f>
        <v>– a finanszírozást kizárólag új létesítmény létrehozására fordítom</v>
      </c>
      <c r="D221" s="1759"/>
      <c r="E221" s="1759"/>
      <c r="F221" s="1759"/>
      <c r="G221" s="1759"/>
      <c r="H221" s="1759"/>
      <c r="I221" s="1759"/>
      <c r="J221" s="1759"/>
      <c r="K221" s="1759"/>
      <c r="L221" s="1759"/>
      <c r="M221" s="1759"/>
      <c r="N221" s="1759"/>
      <c r="O221" s="1759"/>
      <c r="P221" s="1759"/>
      <c r="Q221" s="1759"/>
      <c r="R221" s="1759"/>
      <c r="S221" s="1759"/>
      <c r="T221" s="1759"/>
      <c r="U221" s="1759"/>
      <c r="V221" s="1759"/>
      <c r="W221" s="1759"/>
      <c r="X221" s="1759"/>
      <c r="Y221" s="1759"/>
      <c r="Z221" s="1759"/>
      <c r="AA221" s="1759"/>
      <c r="AB221" s="1759"/>
      <c r="AC221" s="1759"/>
      <c r="AD221" s="1759"/>
      <c r="AE221" s="1759"/>
      <c r="AF221" s="1759"/>
      <c r="AG221" s="1759"/>
      <c r="AH221" s="1759"/>
      <c r="AI221" s="1759"/>
      <c r="AJ221" s="1759"/>
      <c r="AK221" s="1759"/>
      <c r="AL221" s="1759"/>
      <c r="AM221" s="1759"/>
      <c r="AN221" s="1759"/>
      <c r="AO221" s="1759"/>
      <c r="AP221" s="1759"/>
      <c r="AQ221" s="1759"/>
      <c r="AR221" s="1759"/>
      <c r="AS221" s="1759"/>
      <c r="AT221" s="1759"/>
      <c r="AU221" s="1759"/>
      <c r="AV221" s="1759"/>
      <c r="AW221" s="1759"/>
      <c r="AX221" s="1759"/>
      <c r="AY221" s="1759"/>
      <c r="AZ221" s="1759"/>
      <c r="BA221" s="1759"/>
      <c r="BB221" s="1759"/>
      <c r="BC221" s="1759"/>
      <c r="BD221" s="1759"/>
      <c r="BE221" s="1759"/>
      <c r="BF221" s="1759"/>
      <c r="BG221" s="1056"/>
    </row>
    <row r="222" spans="1:59" x14ac:dyDescent="0.15">
      <c r="A222" s="1050"/>
      <c r="B222" s="1064"/>
      <c r="C222" s="1759" t="str">
        <f>+Nyilatkozatok!CK123</f>
        <v>– a termékleírásban meghatározott mértékű saját erővel rendelkezem</v>
      </c>
      <c r="D222" s="1759"/>
      <c r="E222" s="1759"/>
      <c r="F222" s="1759"/>
      <c r="G222" s="1759"/>
      <c r="H222" s="1759"/>
      <c r="I222" s="1759"/>
      <c r="J222" s="1759"/>
      <c r="K222" s="1759"/>
      <c r="L222" s="1759"/>
      <c r="M222" s="1759"/>
      <c r="N222" s="1759"/>
      <c r="O222" s="1759"/>
      <c r="P222" s="1759"/>
      <c r="Q222" s="1759"/>
      <c r="R222" s="1759"/>
      <c r="S222" s="1759"/>
      <c r="T222" s="1759"/>
      <c r="U222" s="1759"/>
      <c r="V222" s="1759"/>
      <c r="W222" s="1759"/>
      <c r="X222" s="1759"/>
      <c r="Y222" s="1759"/>
      <c r="Z222" s="1759"/>
      <c r="AA222" s="1759"/>
      <c r="AB222" s="1759"/>
      <c r="AC222" s="1759"/>
      <c r="AD222" s="1759"/>
      <c r="AE222" s="1759"/>
      <c r="AF222" s="1759"/>
      <c r="AG222" s="1759"/>
      <c r="AH222" s="1759"/>
      <c r="AI222" s="1759"/>
      <c r="AJ222" s="1759"/>
      <c r="AK222" s="1759"/>
      <c r="AL222" s="1759"/>
      <c r="AM222" s="1759"/>
      <c r="AN222" s="1759"/>
      <c r="AO222" s="1759"/>
      <c r="AP222" s="1759"/>
      <c r="AQ222" s="1759"/>
      <c r="AR222" s="1759"/>
      <c r="AS222" s="1759"/>
      <c r="AT222" s="1759"/>
      <c r="AU222" s="1759"/>
      <c r="AV222" s="1759"/>
      <c r="AW222" s="1759"/>
      <c r="AX222" s="1759"/>
      <c r="AY222" s="1759"/>
      <c r="AZ222" s="1759"/>
      <c r="BA222" s="1759"/>
      <c r="BB222" s="1759"/>
      <c r="BC222" s="1759"/>
      <c r="BD222" s="1759"/>
      <c r="BE222" s="1759"/>
      <c r="BF222" s="1759"/>
      <c r="BG222" s="1056"/>
    </row>
    <row r="223" spans="1:59" x14ac:dyDescent="0.15">
      <c r="A223" s="1050"/>
      <c r="B223" s="1064"/>
      <c r="C223" s="1759" t="str">
        <f>+Nyilatkozatok!CK124</f>
        <v>– amennyiben ÁFA visszaigénylésre jogosult vagyok, rendelkezem az ÁFA megfizetéshez szükséges forrással</v>
      </c>
      <c r="D223" s="1759"/>
      <c r="E223" s="1759"/>
      <c r="F223" s="1759"/>
      <c r="G223" s="1759"/>
      <c r="H223" s="1759"/>
      <c r="I223" s="1759"/>
      <c r="J223" s="1759"/>
      <c r="K223" s="1759"/>
      <c r="L223" s="1759"/>
      <c r="M223" s="1759"/>
      <c r="N223" s="1759"/>
      <c r="O223" s="1759"/>
      <c r="P223" s="1759"/>
      <c r="Q223" s="1759"/>
      <c r="R223" s="1759"/>
      <c r="S223" s="1759"/>
      <c r="T223" s="1759"/>
      <c r="U223" s="1759"/>
      <c r="V223" s="1759"/>
      <c r="W223" s="1759"/>
      <c r="X223" s="1759"/>
      <c r="Y223" s="1759"/>
      <c r="Z223" s="1759"/>
      <c r="AA223" s="1759"/>
      <c r="AB223" s="1759"/>
      <c r="AC223" s="1759"/>
      <c r="AD223" s="1759"/>
      <c r="AE223" s="1759"/>
      <c r="AF223" s="1759"/>
      <c r="AG223" s="1759"/>
      <c r="AH223" s="1759"/>
      <c r="AI223" s="1759"/>
      <c r="AJ223" s="1759"/>
      <c r="AK223" s="1759"/>
      <c r="AL223" s="1759"/>
      <c r="AM223" s="1759"/>
      <c r="AN223" s="1759"/>
      <c r="AO223" s="1759"/>
      <c r="AP223" s="1759"/>
      <c r="AQ223" s="1759"/>
      <c r="AR223" s="1759"/>
      <c r="AS223" s="1759"/>
      <c r="AT223" s="1759"/>
      <c r="AU223" s="1759"/>
      <c r="AV223" s="1759"/>
      <c r="AW223" s="1759"/>
      <c r="AX223" s="1759"/>
      <c r="AY223" s="1759"/>
      <c r="AZ223" s="1759"/>
      <c r="BA223" s="1759"/>
      <c r="BB223" s="1759"/>
      <c r="BC223" s="1759"/>
      <c r="BD223" s="1759"/>
      <c r="BE223" s="1759"/>
      <c r="BF223" s="1759"/>
      <c r="BG223" s="1056"/>
    </row>
    <row r="224" spans="1:59" x14ac:dyDescent="0.15">
      <c r="A224" s="1050"/>
      <c r="B224" s="1064"/>
      <c r="C224" s="1759" t="str">
        <f>+Nyilatkozatok!CK125</f>
        <v>– a finanszírozást kizárólag élelmiszer-alapú bioüzemanyagtól eltérő fenntartható bioüzemanyag előállítására irányuló beruházásra, vagy élelmiszer-alapú bioüzemanyagot előállító meglévő létesítmény újszerű bioüzemanyagot előállító létesítménnyé való átalakítására és azzal arányosan az élelmiszer-alapú bioüzemanyag előállításának csökkentésére fordítom</v>
      </c>
      <c r="D224" s="1759"/>
      <c r="E224" s="1759"/>
      <c r="F224" s="1759"/>
      <c r="G224" s="1759"/>
      <c r="H224" s="1759"/>
      <c r="I224" s="1759"/>
      <c r="J224" s="1759"/>
      <c r="K224" s="1759"/>
      <c r="L224" s="1759"/>
      <c r="M224" s="1759"/>
      <c r="N224" s="1759"/>
      <c r="O224" s="1759"/>
      <c r="P224" s="1759"/>
      <c r="Q224" s="1759"/>
      <c r="R224" s="1759"/>
      <c r="S224" s="1759"/>
      <c r="T224" s="1759"/>
      <c r="U224" s="1759"/>
      <c r="V224" s="1759"/>
      <c r="W224" s="1759"/>
      <c r="X224" s="1759"/>
      <c r="Y224" s="1759"/>
      <c r="Z224" s="1759"/>
      <c r="AA224" s="1759"/>
      <c r="AB224" s="1759"/>
      <c r="AC224" s="1759"/>
      <c r="AD224" s="1759"/>
      <c r="AE224" s="1759"/>
      <c r="AF224" s="1759"/>
      <c r="AG224" s="1759"/>
      <c r="AH224" s="1759"/>
      <c r="AI224" s="1759"/>
      <c r="AJ224" s="1759"/>
      <c r="AK224" s="1759"/>
      <c r="AL224" s="1759"/>
      <c r="AM224" s="1759"/>
      <c r="AN224" s="1759"/>
      <c r="AO224" s="1759"/>
      <c r="AP224" s="1759"/>
      <c r="AQ224" s="1759"/>
      <c r="AR224" s="1759"/>
      <c r="AS224" s="1759"/>
      <c r="AT224" s="1759"/>
      <c r="AU224" s="1759"/>
      <c r="AV224" s="1759"/>
      <c r="AW224" s="1759"/>
      <c r="AX224" s="1759"/>
      <c r="AY224" s="1759"/>
      <c r="AZ224" s="1759"/>
      <c r="BA224" s="1759"/>
      <c r="BB224" s="1759"/>
      <c r="BC224" s="1759"/>
      <c r="BD224" s="1759"/>
      <c r="BE224" s="1759"/>
      <c r="BF224" s="1759"/>
      <c r="BG224" s="1056"/>
    </row>
    <row r="225" spans="1:59" x14ac:dyDescent="0.15">
      <c r="A225" s="1050"/>
      <c r="B225" s="1064"/>
      <c r="C225" s="1759" t="str">
        <f>+Nyilatkozatok!CK126</f>
        <v>–  a finanszírozást kizárólag olyan bioüzemanyagok előállítására irányuló beruházásra fordítom, amelyek nem tartoznak szolgáltatási vagy keverési kötelezettség hatálya alá</v>
      </c>
      <c r="D225" s="1759"/>
      <c r="E225" s="1759"/>
      <c r="F225" s="1759"/>
      <c r="G225" s="1759"/>
      <c r="H225" s="1759"/>
      <c r="I225" s="1759"/>
      <c r="J225" s="1759"/>
      <c r="K225" s="1759"/>
      <c r="L225" s="1759"/>
      <c r="M225" s="1759"/>
      <c r="N225" s="1759"/>
      <c r="O225" s="1759"/>
      <c r="P225" s="1759"/>
      <c r="Q225" s="1759"/>
      <c r="R225" s="1759"/>
      <c r="S225" s="1759"/>
      <c r="T225" s="1759"/>
      <c r="U225" s="1759"/>
      <c r="V225" s="1759"/>
      <c r="W225" s="1759"/>
      <c r="X225" s="1759"/>
      <c r="Y225" s="1759"/>
      <c r="Z225" s="1759"/>
      <c r="AA225" s="1759"/>
      <c r="AB225" s="1759"/>
      <c r="AC225" s="1759"/>
      <c r="AD225" s="1759"/>
      <c r="AE225" s="1759"/>
      <c r="AF225" s="1759"/>
      <c r="AG225" s="1759"/>
      <c r="AH225" s="1759"/>
      <c r="AI225" s="1759"/>
      <c r="AJ225" s="1759"/>
      <c r="AK225" s="1759"/>
      <c r="AL225" s="1759"/>
      <c r="AM225" s="1759"/>
      <c r="AN225" s="1759"/>
      <c r="AO225" s="1759"/>
      <c r="AP225" s="1759"/>
      <c r="AQ225" s="1759"/>
      <c r="AR225" s="1759"/>
      <c r="AS225" s="1759"/>
      <c r="AT225" s="1759"/>
      <c r="AU225" s="1759"/>
      <c r="AV225" s="1759"/>
      <c r="AW225" s="1759"/>
      <c r="AX225" s="1759"/>
      <c r="AY225" s="1759"/>
      <c r="AZ225" s="1759"/>
      <c r="BA225" s="1759"/>
      <c r="BB225" s="1759"/>
      <c r="BC225" s="1759"/>
      <c r="BD225" s="1759"/>
      <c r="BE225" s="1759"/>
      <c r="BF225" s="1759"/>
      <c r="BG225" s="1056"/>
    </row>
    <row r="226" spans="1:59" x14ac:dyDescent="0.15">
      <c r="A226" s="1050"/>
      <c r="B226" s="1064"/>
      <c r="C226" s="1759" t="str">
        <f>+Nyilatkozatok!CK127</f>
        <v>– a finanszírozást kizárólag olyan vízi erőművek létrehozására fordítom, amelyek megfelelnek a 2000/60/EK európai parlamenti és tanácsi irányelvnek</v>
      </c>
      <c r="D226" s="1759"/>
      <c r="E226" s="1759"/>
      <c r="F226" s="1759"/>
      <c r="G226" s="1759"/>
      <c r="H226" s="1759"/>
      <c r="I226" s="1759"/>
      <c r="J226" s="1759"/>
      <c r="K226" s="1759"/>
      <c r="L226" s="1759"/>
      <c r="M226" s="1759"/>
      <c r="N226" s="1759"/>
      <c r="O226" s="1759"/>
      <c r="P226" s="1759"/>
      <c r="Q226" s="1759"/>
      <c r="R226" s="1759"/>
      <c r="S226" s="1759"/>
      <c r="T226" s="1759"/>
      <c r="U226" s="1759"/>
      <c r="V226" s="1759"/>
      <c r="W226" s="1759"/>
      <c r="X226" s="1759"/>
      <c r="Y226" s="1759"/>
      <c r="Z226" s="1759"/>
      <c r="AA226" s="1759"/>
      <c r="AB226" s="1759"/>
      <c r="AC226" s="1759"/>
      <c r="AD226" s="1759"/>
      <c r="AE226" s="1759"/>
      <c r="AF226" s="1759"/>
      <c r="AG226" s="1759"/>
      <c r="AH226" s="1759"/>
      <c r="AI226" s="1759"/>
      <c r="AJ226" s="1759"/>
      <c r="AK226" s="1759"/>
      <c r="AL226" s="1759"/>
      <c r="AM226" s="1759"/>
      <c r="AN226" s="1759"/>
      <c r="AO226" s="1759"/>
      <c r="AP226" s="1759"/>
      <c r="AQ226" s="1759"/>
      <c r="AR226" s="1759"/>
      <c r="AS226" s="1759"/>
      <c r="AT226" s="1759"/>
      <c r="AU226" s="1759"/>
      <c r="AV226" s="1759"/>
      <c r="AW226" s="1759"/>
      <c r="AX226" s="1759"/>
      <c r="AY226" s="1759"/>
      <c r="AZ226" s="1759"/>
      <c r="BA226" s="1759"/>
      <c r="BB226" s="1759"/>
      <c r="BC226" s="1759"/>
      <c r="BD226" s="1759"/>
      <c r="BE226" s="1759"/>
      <c r="BF226" s="1759"/>
      <c r="BG226" s="1056"/>
    </row>
    <row r="227" spans="1:59" x14ac:dyDescent="0.15">
      <c r="A227" s="1050"/>
      <c r="B227" s="1064"/>
      <c r="C227" s="1759" t="str">
        <f>+Nyilatkozatok!CK128</f>
        <v>– a támogatást nem fordítom közvetlenül működési célra, illetve a magasabb környezetvédelmi szint eléréséhez közvetlenül nem kapcsolódó költségeket nem számolok el</v>
      </c>
      <c r="D227" s="1759"/>
      <c r="E227" s="1759"/>
      <c r="F227" s="1759"/>
      <c r="G227" s="1759"/>
      <c r="H227" s="1759"/>
      <c r="I227" s="1759"/>
      <c r="J227" s="1759"/>
      <c r="K227" s="1759"/>
      <c r="L227" s="1759"/>
      <c r="M227" s="1759"/>
      <c r="N227" s="1759"/>
      <c r="O227" s="1759"/>
      <c r="P227" s="1759"/>
      <c r="Q227" s="1759"/>
      <c r="R227" s="1759"/>
      <c r="S227" s="1759"/>
      <c r="T227" s="1759"/>
      <c r="U227" s="1759"/>
      <c r="V227" s="1759"/>
      <c r="W227" s="1759"/>
      <c r="X227" s="1759"/>
      <c r="Y227" s="1759"/>
      <c r="Z227" s="1759"/>
      <c r="AA227" s="1759"/>
      <c r="AB227" s="1759"/>
      <c r="AC227" s="1759"/>
      <c r="AD227" s="1759"/>
      <c r="AE227" s="1759"/>
      <c r="AF227" s="1759"/>
      <c r="AG227" s="1759"/>
      <c r="AH227" s="1759"/>
      <c r="AI227" s="1759"/>
      <c r="AJ227" s="1759"/>
      <c r="AK227" s="1759"/>
      <c r="AL227" s="1759"/>
      <c r="AM227" s="1759"/>
      <c r="AN227" s="1759"/>
      <c r="AO227" s="1759"/>
      <c r="AP227" s="1759"/>
      <c r="AQ227" s="1759"/>
      <c r="AR227" s="1759"/>
      <c r="AS227" s="1759"/>
      <c r="AT227" s="1759"/>
      <c r="AU227" s="1759"/>
      <c r="AV227" s="1759"/>
      <c r="AW227" s="1759"/>
      <c r="AX227" s="1759"/>
      <c r="AY227" s="1759"/>
      <c r="AZ227" s="1759"/>
      <c r="BA227" s="1759"/>
      <c r="BB227" s="1759"/>
      <c r="BC227" s="1759"/>
      <c r="BD227" s="1759"/>
      <c r="BE227" s="1759"/>
      <c r="BF227" s="1759"/>
      <c r="BG227" s="1056"/>
    </row>
    <row r="228" spans="1:59" ht="50.25" customHeight="1" x14ac:dyDescent="0.15">
      <c r="A228" s="1050"/>
      <c r="B228" s="1064"/>
      <c r="C228" s="1759" t="str">
        <f>+Nyilatkozatok!CK129</f>
        <v>– a megújulóenergia-termeléshez szükséges beruházási többletköltségek elszámolása során az alábbiakra figyelemmel járok el:
a) amennyiben a beruházás összköltségén belül a megújulóenergia-termelésre irányuló beruházás költségei külön beruházásként meghatározhatók, például egy már meglévő létesítmény könnyen azonosítható kiegészítő alkotórészeként, az elszámolható költségek e megújuló energiához kapcsolódó költségek</v>
      </c>
      <c r="D228" s="1759"/>
      <c r="E228" s="1759"/>
      <c r="F228" s="1759"/>
      <c r="G228" s="1759"/>
      <c r="H228" s="1759"/>
      <c r="I228" s="1759"/>
      <c r="J228" s="1759"/>
      <c r="K228" s="1759"/>
      <c r="L228" s="1759"/>
      <c r="M228" s="1759"/>
      <c r="N228" s="1759"/>
      <c r="O228" s="1759"/>
      <c r="P228" s="1759"/>
      <c r="Q228" s="1759"/>
      <c r="R228" s="1759"/>
      <c r="S228" s="1759"/>
      <c r="T228" s="1759"/>
      <c r="U228" s="1759"/>
      <c r="V228" s="1759"/>
      <c r="W228" s="1759"/>
      <c r="X228" s="1759"/>
      <c r="Y228" s="1759"/>
      <c r="Z228" s="1759"/>
      <c r="AA228" s="1759"/>
      <c r="AB228" s="1759"/>
      <c r="AC228" s="1759"/>
      <c r="AD228" s="1759"/>
      <c r="AE228" s="1759"/>
      <c r="AF228" s="1759"/>
      <c r="AG228" s="1759"/>
      <c r="AH228" s="1759"/>
      <c r="AI228" s="1759"/>
      <c r="AJ228" s="1759"/>
      <c r="AK228" s="1759"/>
      <c r="AL228" s="1759"/>
      <c r="AM228" s="1759"/>
      <c r="AN228" s="1759"/>
      <c r="AO228" s="1759"/>
      <c r="AP228" s="1759"/>
      <c r="AQ228" s="1759"/>
      <c r="AR228" s="1759"/>
      <c r="AS228" s="1759"/>
      <c r="AT228" s="1759"/>
      <c r="AU228" s="1759"/>
      <c r="AV228" s="1759"/>
      <c r="AW228" s="1759"/>
      <c r="AX228" s="1759"/>
      <c r="AY228" s="1759"/>
      <c r="AZ228" s="1759"/>
      <c r="BA228" s="1759"/>
      <c r="BB228" s="1759"/>
      <c r="BC228" s="1759"/>
      <c r="BD228" s="1759"/>
      <c r="BE228" s="1759"/>
      <c r="BF228" s="1759"/>
      <c r="BG228" s="1056"/>
    </row>
    <row r="229" spans="1:59" x14ac:dyDescent="0.15">
      <c r="A229" s="1050"/>
      <c r="B229" s="1064"/>
      <c r="C229" s="1759" t="str">
        <f>+Nyilatkozatok!CK130</f>
        <v>b) amennyiben a megújulóenergia-termelésre irányuló beruházás költségei olyan hasonló, kevésbé környezetbarát beruházáshoz viszonyítva határozhatók meg, amelyet a támogatás hiányában hitelt érdemlően végrehajtottak volna, a megújuló energiához kapcsolódó költséget e két beruházás költségeinek különbsége jelenti, és ez minősül elszámolható költségnek
c) bizonyos kisméretű létesítmények esetében, ahol azért nem lehet megvalósítani kevésbé környezetbarát beruházást, mert nem léteznek korlátozott méretű létesítmények, az elszámolható költség a magasabb környezetvédelmi szint eléréséhez kapcsolódó beruházás teljes költsége</v>
      </c>
      <c r="D229" s="1759"/>
      <c r="E229" s="1759"/>
      <c r="F229" s="1759"/>
      <c r="G229" s="1759"/>
      <c r="H229" s="1759"/>
      <c r="I229" s="1759"/>
      <c r="J229" s="1759"/>
      <c r="K229" s="1759"/>
      <c r="L229" s="1759"/>
      <c r="M229" s="1759"/>
      <c r="N229" s="1759"/>
      <c r="O229" s="1759"/>
      <c r="P229" s="1759"/>
      <c r="Q229" s="1759"/>
      <c r="R229" s="1759"/>
      <c r="S229" s="1759"/>
      <c r="T229" s="1759"/>
      <c r="U229" s="1759"/>
      <c r="V229" s="1759"/>
      <c r="W229" s="1759"/>
      <c r="X229" s="1759"/>
      <c r="Y229" s="1759"/>
      <c r="Z229" s="1759"/>
      <c r="AA229" s="1759"/>
      <c r="AB229" s="1759"/>
      <c r="AC229" s="1759"/>
      <c r="AD229" s="1759"/>
      <c r="AE229" s="1759"/>
      <c r="AF229" s="1759"/>
      <c r="AG229" s="1759"/>
      <c r="AH229" s="1759"/>
      <c r="AI229" s="1759"/>
      <c r="AJ229" s="1759"/>
      <c r="AK229" s="1759"/>
      <c r="AL229" s="1759"/>
      <c r="AM229" s="1759"/>
      <c r="AN229" s="1759"/>
      <c r="AO229" s="1759"/>
      <c r="AP229" s="1759"/>
      <c r="AQ229" s="1759"/>
      <c r="AR229" s="1759"/>
      <c r="AS229" s="1759"/>
      <c r="AT229" s="1759"/>
      <c r="AU229" s="1759"/>
      <c r="AV229" s="1759"/>
      <c r="AW229" s="1759"/>
      <c r="AX229" s="1759"/>
      <c r="AY229" s="1759"/>
      <c r="AZ229" s="1759"/>
      <c r="BA229" s="1759"/>
      <c r="BB229" s="1759"/>
      <c r="BC229" s="1759"/>
      <c r="BD229" s="1759"/>
      <c r="BE229" s="1759"/>
      <c r="BF229" s="1759"/>
      <c r="BG229" s="1056"/>
    </row>
    <row r="230" spans="1:59" x14ac:dyDescent="0.15">
      <c r="A230" s="1050"/>
      <c r="B230" s="1064"/>
      <c r="C230" s="1759" t="str">
        <f>+Nyilatkozatok!CK131</f>
        <v/>
      </c>
      <c r="D230" s="1759"/>
      <c r="E230" s="1759"/>
      <c r="F230" s="1759"/>
      <c r="G230" s="1759"/>
      <c r="H230" s="1759"/>
      <c r="I230" s="1759"/>
      <c r="J230" s="1759"/>
      <c r="K230" s="1759"/>
      <c r="L230" s="1759"/>
      <c r="M230" s="1759"/>
      <c r="N230" s="1759"/>
      <c r="O230" s="1759"/>
      <c r="P230" s="1759"/>
      <c r="Q230" s="1759"/>
      <c r="R230" s="1759"/>
      <c r="S230" s="1759"/>
      <c r="T230" s="1759"/>
      <c r="U230" s="1759"/>
      <c r="V230" s="1759"/>
      <c r="W230" s="1759"/>
      <c r="X230" s="1759"/>
      <c r="Y230" s="1759"/>
      <c r="Z230" s="1759"/>
      <c r="AA230" s="1759"/>
      <c r="AB230" s="1759"/>
      <c r="AC230" s="1759"/>
      <c r="AD230" s="1759"/>
      <c r="AE230" s="1759"/>
      <c r="AF230" s="1759"/>
      <c r="AG230" s="1759"/>
      <c r="AH230" s="1759"/>
      <c r="AI230" s="1759"/>
      <c r="AJ230" s="1759"/>
      <c r="AK230" s="1759"/>
      <c r="AL230" s="1759"/>
      <c r="AM230" s="1759"/>
      <c r="AN230" s="1759"/>
      <c r="AO230" s="1759"/>
      <c r="AP230" s="1759"/>
      <c r="AQ230" s="1759"/>
      <c r="AR230" s="1759"/>
      <c r="AS230" s="1759"/>
      <c r="AT230" s="1759"/>
      <c r="AU230" s="1759"/>
      <c r="AV230" s="1759"/>
      <c r="AW230" s="1759"/>
      <c r="AX230" s="1759"/>
      <c r="AY230" s="1759"/>
      <c r="AZ230" s="1759"/>
      <c r="BA230" s="1759"/>
      <c r="BB230" s="1759"/>
      <c r="BC230" s="1759"/>
      <c r="BD230" s="1759"/>
      <c r="BE230" s="1759"/>
      <c r="BF230" s="1759"/>
      <c r="BG230" s="1056"/>
    </row>
    <row r="231" spans="1:59" x14ac:dyDescent="0.15">
      <c r="A231" s="1050"/>
      <c r="B231" s="1064"/>
      <c r="C231" s="1759" t="str">
        <f>+Nyilatkozatok!CK132</f>
        <v/>
      </c>
      <c r="D231" s="1759"/>
      <c r="E231" s="1759"/>
      <c r="F231" s="1759"/>
      <c r="G231" s="1759"/>
      <c r="H231" s="1759"/>
      <c r="I231" s="1759"/>
      <c r="J231" s="1759"/>
      <c r="K231" s="1759"/>
      <c r="L231" s="1759"/>
      <c r="M231" s="1759"/>
      <c r="N231" s="1759"/>
      <c r="O231" s="1759"/>
      <c r="P231" s="1759"/>
      <c r="Q231" s="1759"/>
      <c r="R231" s="1759"/>
      <c r="S231" s="1759"/>
      <c r="T231" s="1759"/>
      <c r="U231" s="1759"/>
      <c r="V231" s="1759"/>
      <c r="W231" s="1759"/>
      <c r="X231" s="1759"/>
      <c r="Y231" s="1759"/>
      <c r="Z231" s="1759"/>
      <c r="AA231" s="1759"/>
      <c r="AB231" s="1759"/>
      <c r="AC231" s="1759"/>
      <c r="AD231" s="1759"/>
      <c r="AE231" s="1759"/>
      <c r="AF231" s="1759"/>
      <c r="AG231" s="1759"/>
      <c r="AH231" s="1759"/>
      <c r="AI231" s="1759"/>
      <c r="AJ231" s="1759"/>
      <c r="AK231" s="1759"/>
      <c r="AL231" s="1759"/>
      <c r="AM231" s="1759"/>
      <c r="AN231" s="1759"/>
      <c r="AO231" s="1759"/>
      <c r="AP231" s="1759"/>
      <c r="AQ231" s="1759"/>
      <c r="AR231" s="1759"/>
      <c r="AS231" s="1759"/>
      <c r="AT231" s="1759"/>
      <c r="AU231" s="1759"/>
      <c r="AV231" s="1759"/>
      <c r="AW231" s="1759"/>
      <c r="AX231" s="1759"/>
      <c r="AY231" s="1759"/>
      <c r="AZ231" s="1759"/>
      <c r="BA231" s="1759"/>
      <c r="BB231" s="1759"/>
      <c r="BC231" s="1759"/>
      <c r="BD231" s="1759"/>
      <c r="BE231" s="1759"/>
      <c r="BF231" s="1759"/>
      <c r="BG231" s="1056"/>
    </row>
    <row r="232" spans="1:59" x14ac:dyDescent="0.15">
      <c r="A232" s="1050"/>
      <c r="B232" s="1064"/>
      <c r="C232" s="1759" t="str">
        <f>+Nyilatkozatok!CK133</f>
        <v/>
      </c>
      <c r="D232" s="1759"/>
      <c r="E232" s="1759"/>
      <c r="F232" s="1759"/>
      <c r="G232" s="1759"/>
      <c r="H232" s="1759"/>
      <c r="I232" s="1759"/>
      <c r="J232" s="1759"/>
      <c r="K232" s="1759"/>
      <c r="L232" s="1759"/>
      <c r="M232" s="1759"/>
      <c r="N232" s="1759"/>
      <c r="O232" s="1759"/>
      <c r="P232" s="1759"/>
      <c r="Q232" s="1759"/>
      <c r="R232" s="1759"/>
      <c r="S232" s="1759"/>
      <c r="T232" s="1759"/>
      <c r="U232" s="1759"/>
      <c r="V232" s="1759"/>
      <c r="W232" s="1759"/>
      <c r="X232" s="1759"/>
      <c r="Y232" s="1759"/>
      <c r="Z232" s="1759"/>
      <c r="AA232" s="1759"/>
      <c r="AB232" s="1759"/>
      <c r="AC232" s="1759"/>
      <c r="AD232" s="1759"/>
      <c r="AE232" s="1759"/>
      <c r="AF232" s="1759"/>
      <c r="AG232" s="1759"/>
      <c r="AH232" s="1759"/>
      <c r="AI232" s="1759"/>
      <c r="AJ232" s="1759"/>
      <c r="AK232" s="1759"/>
      <c r="AL232" s="1759"/>
      <c r="AM232" s="1759"/>
      <c r="AN232" s="1759"/>
      <c r="AO232" s="1759"/>
      <c r="AP232" s="1759"/>
      <c r="AQ232" s="1759"/>
      <c r="AR232" s="1759"/>
      <c r="AS232" s="1759"/>
      <c r="AT232" s="1759"/>
      <c r="AU232" s="1759"/>
      <c r="AV232" s="1759"/>
      <c r="AW232" s="1759"/>
      <c r="AX232" s="1759"/>
      <c r="AY232" s="1759"/>
      <c r="AZ232" s="1759"/>
      <c r="BA232" s="1759"/>
      <c r="BB232" s="1759"/>
      <c r="BC232" s="1759"/>
      <c r="BD232" s="1759"/>
      <c r="BE232" s="1759"/>
      <c r="BF232" s="1759"/>
      <c r="BG232" s="1056"/>
    </row>
    <row r="233" spans="1:59" x14ac:dyDescent="0.15">
      <c r="A233" s="1050"/>
      <c r="B233" s="1064"/>
      <c r="C233" s="1759" t="str">
        <f>+Nyilatkozatok!CK134</f>
        <v/>
      </c>
      <c r="D233" s="1759"/>
      <c r="E233" s="1759"/>
      <c r="F233" s="1759"/>
      <c r="G233" s="1759"/>
      <c r="H233" s="1759"/>
      <c r="I233" s="1759"/>
      <c r="J233" s="1759"/>
      <c r="K233" s="1759"/>
      <c r="L233" s="1759"/>
      <c r="M233" s="1759"/>
      <c r="N233" s="1759"/>
      <c r="O233" s="1759"/>
      <c r="P233" s="1759"/>
      <c r="Q233" s="1759"/>
      <c r="R233" s="1759"/>
      <c r="S233" s="1759"/>
      <c r="T233" s="1759"/>
      <c r="U233" s="1759"/>
      <c r="V233" s="1759"/>
      <c r="W233" s="1759"/>
      <c r="X233" s="1759"/>
      <c r="Y233" s="1759"/>
      <c r="Z233" s="1759"/>
      <c r="AA233" s="1759"/>
      <c r="AB233" s="1759"/>
      <c r="AC233" s="1759"/>
      <c r="AD233" s="1759"/>
      <c r="AE233" s="1759"/>
      <c r="AF233" s="1759"/>
      <c r="AG233" s="1759"/>
      <c r="AH233" s="1759"/>
      <c r="AI233" s="1759"/>
      <c r="AJ233" s="1759"/>
      <c r="AK233" s="1759"/>
      <c r="AL233" s="1759"/>
      <c r="AM233" s="1759"/>
      <c r="AN233" s="1759"/>
      <c r="AO233" s="1759"/>
      <c r="AP233" s="1759"/>
      <c r="AQ233" s="1759"/>
      <c r="AR233" s="1759"/>
      <c r="AS233" s="1759"/>
      <c r="AT233" s="1759"/>
      <c r="AU233" s="1759"/>
      <c r="AV233" s="1759"/>
      <c r="AW233" s="1759"/>
      <c r="AX233" s="1759"/>
      <c r="AY233" s="1759"/>
      <c r="AZ233" s="1759"/>
      <c r="BA233" s="1759"/>
      <c r="BB233" s="1759"/>
      <c r="BC233" s="1759"/>
      <c r="BD233" s="1759"/>
      <c r="BE233" s="1759"/>
      <c r="BF233" s="1759"/>
      <c r="BG233" s="1056"/>
    </row>
    <row r="234" spans="1:59" x14ac:dyDescent="0.15">
      <c r="A234" s="1050"/>
      <c r="B234" s="1064"/>
      <c r="C234" s="1759" t="str">
        <f>+Nyilatkozatok!CK135</f>
        <v/>
      </c>
      <c r="D234" s="1759"/>
      <c r="E234" s="1759"/>
      <c r="F234" s="1759"/>
      <c r="G234" s="1759"/>
      <c r="H234" s="1759"/>
      <c r="I234" s="1759"/>
      <c r="J234" s="1759"/>
      <c r="K234" s="1759"/>
      <c r="L234" s="1759"/>
      <c r="M234" s="1759"/>
      <c r="N234" s="1759"/>
      <c r="O234" s="1759"/>
      <c r="P234" s="1759"/>
      <c r="Q234" s="1759"/>
      <c r="R234" s="1759"/>
      <c r="S234" s="1759"/>
      <c r="T234" s="1759"/>
      <c r="U234" s="1759"/>
      <c r="V234" s="1759"/>
      <c r="W234" s="1759"/>
      <c r="X234" s="1759"/>
      <c r="Y234" s="1759"/>
      <c r="Z234" s="1759"/>
      <c r="AA234" s="1759"/>
      <c r="AB234" s="1759"/>
      <c r="AC234" s="1759"/>
      <c r="AD234" s="1759"/>
      <c r="AE234" s="1759"/>
      <c r="AF234" s="1759"/>
      <c r="AG234" s="1759"/>
      <c r="AH234" s="1759"/>
      <c r="AI234" s="1759"/>
      <c r="AJ234" s="1759"/>
      <c r="AK234" s="1759"/>
      <c r="AL234" s="1759"/>
      <c r="AM234" s="1759"/>
      <c r="AN234" s="1759"/>
      <c r="AO234" s="1759"/>
      <c r="AP234" s="1759"/>
      <c r="AQ234" s="1759"/>
      <c r="AR234" s="1759"/>
      <c r="AS234" s="1759"/>
      <c r="AT234" s="1759"/>
      <c r="AU234" s="1759"/>
      <c r="AV234" s="1759"/>
      <c r="AW234" s="1759"/>
      <c r="AX234" s="1759"/>
      <c r="AY234" s="1759"/>
      <c r="AZ234" s="1759"/>
      <c r="BA234" s="1759"/>
      <c r="BB234" s="1759"/>
      <c r="BC234" s="1759"/>
      <c r="BD234" s="1759"/>
      <c r="BE234" s="1759"/>
      <c r="BF234" s="1759"/>
      <c r="BG234" s="1056"/>
    </row>
    <row r="235" spans="1:59" x14ac:dyDescent="0.15">
      <c r="A235" s="1050"/>
      <c r="B235" s="1064"/>
      <c r="C235" s="1759" t="str">
        <f>+Nyilatkozatok!CK136</f>
        <v/>
      </c>
      <c r="D235" s="1759"/>
      <c r="E235" s="1759"/>
      <c r="F235" s="1759"/>
      <c r="G235" s="1759"/>
      <c r="H235" s="1759"/>
      <c r="I235" s="1759"/>
      <c r="J235" s="1759"/>
      <c r="K235" s="1759"/>
      <c r="L235" s="1759"/>
      <c r="M235" s="1759"/>
      <c r="N235" s="1759"/>
      <c r="O235" s="1759"/>
      <c r="P235" s="1759"/>
      <c r="Q235" s="1759"/>
      <c r="R235" s="1759"/>
      <c r="S235" s="1759"/>
      <c r="T235" s="1759"/>
      <c r="U235" s="1759"/>
      <c r="V235" s="1759"/>
      <c r="W235" s="1759"/>
      <c r="X235" s="1759"/>
      <c r="Y235" s="1759"/>
      <c r="Z235" s="1759"/>
      <c r="AA235" s="1759"/>
      <c r="AB235" s="1759"/>
      <c r="AC235" s="1759"/>
      <c r="AD235" s="1759"/>
      <c r="AE235" s="1759"/>
      <c r="AF235" s="1759"/>
      <c r="AG235" s="1759"/>
      <c r="AH235" s="1759"/>
      <c r="AI235" s="1759"/>
      <c r="AJ235" s="1759"/>
      <c r="AK235" s="1759"/>
      <c r="AL235" s="1759"/>
      <c r="AM235" s="1759"/>
      <c r="AN235" s="1759"/>
      <c r="AO235" s="1759"/>
      <c r="AP235" s="1759"/>
      <c r="AQ235" s="1759"/>
      <c r="AR235" s="1759"/>
      <c r="AS235" s="1759"/>
      <c r="AT235" s="1759"/>
      <c r="AU235" s="1759"/>
      <c r="AV235" s="1759"/>
      <c r="AW235" s="1759"/>
      <c r="AX235" s="1759"/>
      <c r="AY235" s="1759"/>
      <c r="AZ235" s="1759"/>
      <c r="BA235" s="1759"/>
      <c r="BB235" s="1759"/>
      <c r="BC235" s="1759"/>
      <c r="BD235" s="1759"/>
      <c r="BE235" s="1759"/>
      <c r="BF235" s="1759"/>
      <c r="BG235" s="1056"/>
    </row>
    <row r="236" spans="1:59" x14ac:dyDescent="0.15">
      <c r="A236" s="1050"/>
      <c r="B236" s="1064"/>
      <c r="C236" s="1759" t="str">
        <f>+Nyilatkozatok!CK137</f>
        <v/>
      </c>
      <c r="D236" s="1759"/>
      <c r="E236" s="1759"/>
      <c r="F236" s="1759"/>
      <c r="G236" s="1759"/>
      <c r="H236" s="1759"/>
      <c r="I236" s="1759"/>
      <c r="J236" s="1759"/>
      <c r="K236" s="1759"/>
      <c r="L236" s="1759"/>
      <c r="M236" s="1759"/>
      <c r="N236" s="1759"/>
      <c r="O236" s="1759"/>
      <c r="P236" s="1759"/>
      <c r="Q236" s="1759"/>
      <c r="R236" s="1759"/>
      <c r="S236" s="1759"/>
      <c r="T236" s="1759"/>
      <c r="U236" s="1759"/>
      <c r="V236" s="1759"/>
      <c r="W236" s="1759"/>
      <c r="X236" s="1759"/>
      <c r="Y236" s="1759"/>
      <c r="Z236" s="1759"/>
      <c r="AA236" s="1759"/>
      <c r="AB236" s="1759"/>
      <c r="AC236" s="1759"/>
      <c r="AD236" s="1759"/>
      <c r="AE236" s="1759"/>
      <c r="AF236" s="1759"/>
      <c r="AG236" s="1759"/>
      <c r="AH236" s="1759"/>
      <c r="AI236" s="1759"/>
      <c r="AJ236" s="1759"/>
      <c r="AK236" s="1759"/>
      <c r="AL236" s="1759"/>
      <c r="AM236" s="1759"/>
      <c r="AN236" s="1759"/>
      <c r="AO236" s="1759"/>
      <c r="AP236" s="1759"/>
      <c r="AQ236" s="1759"/>
      <c r="AR236" s="1759"/>
      <c r="AS236" s="1759"/>
      <c r="AT236" s="1759"/>
      <c r="AU236" s="1759"/>
      <c r="AV236" s="1759"/>
      <c r="AW236" s="1759"/>
      <c r="AX236" s="1759"/>
      <c r="AY236" s="1759"/>
      <c r="AZ236" s="1759"/>
      <c r="BA236" s="1759"/>
      <c r="BB236" s="1759"/>
      <c r="BC236" s="1759"/>
      <c r="BD236" s="1759"/>
      <c r="BE236" s="1759"/>
      <c r="BF236" s="1759"/>
      <c r="BG236" s="1056"/>
    </row>
    <row r="237" spans="1:59" x14ac:dyDescent="0.15">
      <c r="A237" s="1050"/>
      <c r="B237" s="1064"/>
      <c r="C237" s="1779" t="s">
        <v>787</v>
      </c>
      <c r="D237" s="1761"/>
      <c r="E237" s="1761"/>
      <c r="F237" s="1761"/>
      <c r="G237" s="1761"/>
      <c r="H237" s="1761"/>
      <c r="I237" s="1761"/>
      <c r="J237" s="1761"/>
      <c r="K237" s="1761"/>
      <c r="L237" s="1761"/>
      <c r="M237" s="1761"/>
      <c r="N237" s="1761"/>
      <c r="O237" s="1761"/>
      <c r="P237" s="1761"/>
      <c r="Q237" s="1761"/>
      <c r="R237" s="1761"/>
      <c r="S237" s="1761"/>
      <c r="T237" s="1761"/>
      <c r="U237" s="1761"/>
      <c r="V237" s="1761"/>
      <c r="W237" s="1761"/>
      <c r="X237" s="1761"/>
      <c r="Y237" s="1761"/>
      <c r="Z237" s="1761"/>
      <c r="AA237" s="1761"/>
      <c r="AB237" s="1761"/>
      <c r="AC237" s="1761"/>
      <c r="AD237" s="1761"/>
      <c r="AE237" s="1761"/>
      <c r="AF237" s="1761"/>
      <c r="AG237" s="1761"/>
      <c r="AH237" s="1761"/>
      <c r="AI237" s="1761"/>
      <c r="AJ237" s="1761"/>
      <c r="AK237" s="1761"/>
      <c r="AL237" s="1761"/>
      <c r="AM237" s="1761"/>
      <c r="AN237" s="1761"/>
      <c r="AO237" s="1761"/>
      <c r="AP237" s="1761"/>
      <c r="AQ237" s="1761"/>
      <c r="AR237" s="1761"/>
      <c r="AS237" s="1761"/>
      <c r="AT237" s="1761"/>
      <c r="AU237" s="1761"/>
      <c r="AV237" s="1761"/>
      <c r="AW237" s="1761"/>
      <c r="AX237" s="1761"/>
      <c r="AY237" s="1761"/>
      <c r="AZ237" s="1761"/>
      <c r="BA237" s="1761"/>
      <c r="BB237" s="1761"/>
      <c r="BC237" s="1761"/>
      <c r="BD237" s="1761"/>
      <c r="BE237" s="1761"/>
      <c r="BF237" s="1761"/>
      <c r="BG237" s="1056"/>
    </row>
    <row r="238" spans="1:59" x14ac:dyDescent="0.15">
      <c r="A238" s="1050"/>
      <c r="B238" s="1053"/>
      <c r="C238" s="1760"/>
      <c r="D238" s="1760"/>
      <c r="E238" s="1760"/>
      <c r="F238" s="1760"/>
      <c r="G238" s="1760"/>
      <c r="H238" s="1760"/>
      <c r="I238" s="1760"/>
      <c r="J238" s="1760"/>
      <c r="K238" s="1760"/>
      <c r="L238" s="1760"/>
      <c r="M238" s="1760"/>
      <c r="N238" s="1760"/>
      <c r="O238" s="1760"/>
      <c r="P238" s="1760"/>
      <c r="Q238" s="1760"/>
      <c r="R238" s="1760"/>
      <c r="S238" s="1760"/>
      <c r="T238" s="1760"/>
      <c r="U238" s="1760"/>
      <c r="V238" s="1760"/>
      <c r="W238" s="1760"/>
      <c r="X238" s="1760"/>
      <c r="Y238" s="1760"/>
      <c r="Z238" s="1760"/>
      <c r="AA238" s="1760"/>
      <c r="AB238" s="1760"/>
      <c r="AC238" s="1760"/>
      <c r="AD238" s="1760"/>
      <c r="AE238" s="1760"/>
      <c r="AF238" s="1760"/>
      <c r="AG238" s="1760"/>
      <c r="AH238" s="1760"/>
      <c r="AI238" s="1760"/>
      <c r="AJ238" s="1760"/>
      <c r="AK238" s="1760"/>
      <c r="AL238" s="1760"/>
      <c r="AM238" s="1760"/>
      <c r="AN238" s="1760"/>
      <c r="AO238" s="1760"/>
      <c r="AP238" s="1760"/>
      <c r="AQ238" s="1760"/>
      <c r="AR238" s="1760"/>
      <c r="AS238" s="1760"/>
      <c r="AT238" s="1760"/>
      <c r="AU238" s="1760"/>
      <c r="AV238" s="1760"/>
      <c r="AW238" s="1760"/>
      <c r="AX238" s="1760"/>
      <c r="AY238" s="1760"/>
      <c r="AZ238" s="1760"/>
      <c r="BA238" s="1760"/>
      <c r="BB238" s="1760"/>
      <c r="BC238" s="1760"/>
      <c r="BD238" s="1760"/>
      <c r="BE238" s="1760"/>
      <c r="BF238" s="1760"/>
      <c r="BG238" s="1071"/>
    </row>
    <row r="239" spans="1:59" x14ac:dyDescent="0.15">
      <c r="A239" s="1050"/>
      <c r="B239" s="1064"/>
      <c r="C239" s="1760"/>
      <c r="D239" s="1760"/>
      <c r="E239" s="1760"/>
      <c r="F239" s="1760"/>
      <c r="G239" s="1760"/>
      <c r="H239" s="1760"/>
      <c r="I239" s="1760"/>
      <c r="J239" s="1760"/>
      <c r="K239" s="1760"/>
      <c r="L239" s="1760"/>
      <c r="M239" s="1760"/>
      <c r="N239" s="1760"/>
      <c r="O239" s="1760"/>
      <c r="P239" s="1760"/>
      <c r="Q239" s="1760"/>
      <c r="R239" s="1760"/>
      <c r="S239" s="1760"/>
      <c r="T239" s="1760"/>
      <c r="U239" s="1760"/>
      <c r="V239" s="1760"/>
      <c r="W239" s="1760"/>
      <c r="X239" s="1760"/>
      <c r="Y239" s="1760"/>
      <c r="Z239" s="1760"/>
      <c r="AA239" s="1760"/>
      <c r="AB239" s="1760"/>
      <c r="AC239" s="1760"/>
      <c r="AD239" s="1760"/>
      <c r="AE239" s="1760"/>
      <c r="AF239" s="1760"/>
      <c r="AG239" s="1760"/>
      <c r="AH239" s="1760"/>
      <c r="AI239" s="1760"/>
      <c r="AJ239" s="1760"/>
      <c r="AK239" s="1760"/>
      <c r="AL239" s="1760"/>
      <c r="AM239" s="1760"/>
      <c r="AN239" s="1760"/>
      <c r="AO239" s="1760"/>
      <c r="AP239" s="1760"/>
      <c r="AQ239" s="1760"/>
      <c r="AR239" s="1760"/>
      <c r="AS239" s="1760"/>
      <c r="AT239" s="1760"/>
      <c r="AU239" s="1760"/>
      <c r="AV239" s="1760"/>
      <c r="AW239" s="1760"/>
      <c r="AX239" s="1760"/>
      <c r="AY239" s="1760"/>
      <c r="AZ239" s="1760"/>
      <c r="BA239" s="1760"/>
      <c r="BB239" s="1760"/>
      <c r="BC239" s="1760"/>
      <c r="BD239" s="1760"/>
      <c r="BE239" s="1760"/>
      <c r="BF239" s="1760"/>
      <c r="BG239" s="1056"/>
    </row>
    <row r="240" spans="1:59" x14ac:dyDescent="0.15">
      <c r="A240" s="1050"/>
      <c r="B240" s="1064"/>
      <c r="C240" s="1054"/>
      <c r="D240" s="1054"/>
      <c r="E240" s="1054"/>
      <c r="F240" s="1054" t="s">
        <v>796</v>
      </c>
      <c r="G240" s="1054"/>
      <c r="H240" s="1780" t="str">
        <f>+IF(keltezes="","",keltezes)</f>
        <v/>
      </c>
      <c r="I240" s="1760"/>
      <c r="J240" s="1760"/>
      <c r="K240" s="1760"/>
      <c r="L240" s="1760"/>
      <c r="M240" s="1760"/>
      <c r="N240" s="1760"/>
      <c r="O240" s="1760"/>
      <c r="P240" s="1760"/>
      <c r="Q240" s="1760"/>
      <c r="R240" s="1760"/>
      <c r="S240" s="1760"/>
      <c r="T240" s="1760"/>
      <c r="U240" s="1054"/>
      <c r="V240" s="1054"/>
      <c r="W240" s="1054"/>
      <c r="X240" s="1054"/>
      <c r="Y240" s="1054"/>
      <c r="Z240" s="1054"/>
      <c r="AA240" s="1054"/>
      <c r="AB240" s="1054"/>
      <c r="AC240" s="1054"/>
      <c r="AD240" s="1054"/>
      <c r="AE240" s="1054"/>
      <c r="AF240" s="1054"/>
      <c r="AG240" s="1054"/>
      <c r="AH240" s="1054"/>
      <c r="AI240" s="1054"/>
      <c r="AJ240" s="1054"/>
      <c r="AK240" s="1054"/>
      <c r="AL240" s="1054"/>
      <c r="AM240" s="1054"/>
      <c r="AN240" s="1054"/>
      <c r="AO240" s="1054"/>
      <c r="AP240" s="1054"/>
      <c r="AQ240" s="1054"/>
      <c r="AR240" s="1054"/>
      <c r="AS240" s="1054"/>
      <c r="AT240" s="1054"/>
      <c r="AU240" s="1054"/>
      <c r="AV240" s="1054"/>
      <c r="AW240" s="1054"/>
      <c r="AX240" s="1054"/>
      <c r="AY240" s="1054"/>
      <c r="AZ240" s="1054"/>
      <c r="BA240" s="1054"/>
      <c r="BB240" s="1054"/>
      <c r="BC240" s="1054"/>
      <c r="BD240" s="1054"/>
      <c r="BE240" s="1054"/>
      <c r="BF240" s="1054"/>
      <c r="BG240" s="1056"/>
    </row>
    <row r="241" spans="1:59" x14ac:dyDescent="0.15">
      <c r="A241" s="1050"/>
      <c r="B241" s="1064"/>
      <c r="C241" s="1054"/>
      <c r="D241" s="1054"/>
      <c r="E241" s="1054"/>
      <c r="F241" s="1054"/>
      <c r="G241" s="1054"/>
      <c r="H241" s="1054"/>
      <c r="I241" s="1054"/>
      <c r="J241" s="1054"/>
      <c r="K241" s="1054"/>
      <c r="L241" s="1054"/>
      <c r="M241" s="1054"/>
      <c r="N241" s="1054"/>
      <c r="O241" s="1054"/>
      <c r="P241" s="1054"/>
      <c r="Q241" s="1054"/>
      <c r="R241" s="1054"/>
      <c r="S241" s="1054"/>
      <c r="T241" s="1054"/>
      <c r="U241" s="1054"/>
      <c r="V241" s="1054"/>
      <c r="W241" s="1054"/>
      <c r="X241" s="1054"/>
      <c r="Y241" s="1054"/>
      <c r="Z241" s="1054"/>
      <c r="AA241" s="1054"/>
      <c r="AB241" s="1054"/>
      <c r="AC241" s="1054"/>
      <c r="AD241" s="1054"/>
      <c r="AE241" s="1054"/>
      <c r="AF241" s="1054"/>
      <c r="AG241" s="1054"/>
      <c r="AH241" s="1054"/>
      <c r="AI241" s="1054"/>
      <c r="AJ241" s="1054"/>
      <c r="AK241" s="1054"/>
      <c r="AL241" s="1054"/>
      <c r="AM241" s="1054"/>
      <c r="AN241" s="1054"/>
      <c r="AO241" s="1054"/>
      <c r="AP241" s="1054"/>
      <c r="AQ241" s="1054"/>
      <c r="AR241" s="1054"/>
      <c r="AS241" s="1054"/>
      <c r="AT241" s="1054"/>
      <c r="AU241" s="1054"/>
      <c r="AV241" s="1054"/>
      <c r="AW241" s="1054"/>
      <c r="AX241" s="1054"/>
      <c r="AY241" s="1054"/>
      <c r="AZ241" s="1054"/>
      <c r="BA241" s="1054"/>
      <c r="BB241" s="1054"/>
      <c r="BC241" s="1054"/>
      <c r="BD241" s="1054"/>
      <c r="BE241" s="1054"/>
      <c r="BF241" s="1054"/>
      <c r="BG241" s="1056"/>
    </row>
    <row r="242" spans="1:59" x14ac:dyDescent="0.15">
      <c r="A242" s="1050"/>
      <c r="B242" s="1064"/>
      <c r="C242" s="1054"/>
      <c r="D242" s="1054"/>
      <c r="E242" s="1054"/>
      <c r="F242" s="1054"/>
      <c r="G242" s="1054"/>
      <c r="H242" s="1054"/>
      <c r="I242" s="1054"/>
      <c r="J242" s="1054"/>
      <c r="K242" s="1054"/>
      <c r="L242" s="1054"/>
      <c r="M242" s="1054"/>
      <c r="N242" s="1054"/>
      <c r="O242" s="1054"/>
      <c r="P242" s="1054"/>
      <c r="Q242" s="1054"/>
      <c r="R242" s="1054"/>
      <c r="S242" s="1054"/>
      <c r="T242" s="1054"/>
      <c r="U242" s="1054"/>
      <c r="V242" s="1054"/>
      <c r="W242" s="1054"/>
      <c r="X242" s="1054"/>
      <c r="Y242" s="1054"/>
      <c r="Z242" s="1054"/>
      <c r="AA242" s="1054"/>
      <c r="AB242" s="1054"/>
      <c r="AC242" s="1054"/>
      <c r="AD242" s="1054"/>
      <c r="AE242" s="1054"/>
      <c r="AF242" s="1054"/>
      <c r="AG242" s="1747"/>
      <c r="AH242" s="1747"/>
      <c r="AI242" s="1747"/>
      <c r="AJ242" s="1747"/>
      <c r="AK242" s="1747"/>
      <c r="AL242" s="1747"/>
      <c r="AM242" s="1747"/>
      <c r="AN242" s="1747"/>
      <c r="AO242" s="1747"/>
      <c r="AP242" s="1747"/>
      <c r="AQ242" s="1747"/>
      <c r="AR242" s="1747"/>
      <c r="AS242" s="1747"/>
      <c r="AT242" s="1747"/>
      <c r="AU242" s="1747"/>
      <c r="AV242" s="1747"/>
      <c r="AW242" s="1747"/>
      <c r="AX242" s="1747"/>
      <c r="AY242" s="1747"/>
      <c r="AZ242" s="1747"/>
      <c r="BA242" s="1747"/>
      <c r="BB242" s="1747"/>
      <c r="BC242" s="1747"/>
      <c r="BD242" s="1747"/>
      <c r="BE242" s="1054"/>
      <c r="BF242" s="1054"/>
      <c r="BG242" s="1056"/>
    </row>
    <row r="243" spans="1:59" ht="15" customHeight="1" x14ac:dyDescent="0.15">
      <c r="A243" s="1050"/>
      <c r="B243" s="1064"/>
      <c r="C243" s="1054"/>
      <c r="D243" s="1054"/>
      <c r="E243" s="1054"/>
      <c r="F243" s="1054"/>
      <c r="G243" s="1054"/>
      <c r="H243" s="1054"/>
      <c r="I243" s="1054"/>
      <c r="J243" s="1054"/>
      <c r="K243" s="1054"/>
      <c r="L243" s="1054"/>
      <c r="M243" s="1054"/>
      <c r="N243" s="1054"/>
      <c r="O243" s="1054"/>
      <c r="P243" s="1054"/>
      <c r="Q243" s="1054"/>
      <c r="R243" s="1054"/>
      <c r="S243" s="1054"/>
      <c r="T243" s="1054"/>
      <c r="U243" s="1054"/>
      <c r="V243" s="1054"/>
      <c r="W243" s="1054"/>
      <c r="X243" s="1054"/>
      <c r="Y243" s="1054"/>
      <c r="Z243" s="1054"/>
      <c r="AA243" s="1054"/>
      <c r="AB243" s="1054"/>
      <c r="AC243" s="1054"/>
      <c r="AD243" s="1054"/>
      <c r="AE243" s="1054"/>
      <c r="AF243" s="1054"/>
      <c r="AG243" s="1746" t="str">
        <f>+IF('Támogatási Nyilatkozatok_all'!C181="","",'Támogatási Nyilatkozatok_all'!C181)</f>
        <v/>
      </c>
      <c r="AH243" s="1746"/>
      <c r="AI243" s="1746"/>
      <c r="AJ243" s="1746"/>
      <c r="AK243" s="1746"/>
      <c r="AL243" s="1746"/>
      <c r="AM243" s="1746"/>
      <c r="AN243" s="1746"/>
      <c r="AO243" s="1746"/>
      <c r="AP243" s="1746"/>
      <c r="AQ243" s="1746"/>
      <c r="AR243" s="1746"/>
      <c r="AS243" s="1746"/>
      <c r="AT243" s="1746"/>
      <c r="AU243" s="1746"/>
      <c r="AV243" s="1746"/>
      <c r="AW243" s="1746"/>
      <c r="AX243" s="1746"/>
      <c r="AY243" s="1746"/>
      <c r="AZ243" s="1746"/>
      <c r="BA243" s="1746"/>
      <c r="BB243" s="1746"/>
      <c r="BC243" s="1746"/>
      <c r="BD243" s="1746"/>
      <c r="BE243" s="1054"/>
      <c r="BF243" s="1054"/>
      <c r="BG243" s="1056"/>
    </row>
    <row r="244" spans="1:59" x14ac:dyDescent="0.15">
      <c r="A244" s="1050"/>
      <c r="B244" s="1064"/>
      <c r="C244" s="1054"/>
      <c r="D244" s="1054"/>
      <c r="E244" s="1054"/>
      <c r="F244" s="1054"/>
      <c r="G244" s="1054"/>
      <c r="H244" s="1054"/>
      <c r="I244" s="1054"/>
      <c r="J244" s="1054"/>
      <c r="K244" s="1054"/>
      <c r="L244" s="1054"/>
      <c r="M244" s="1054"/>
      <c r="N244" s="1054"/>
      <c r="O244" s="1054"/>
      <c r="P244" s="1054"/>
      <c r="Q244" s="1054"/>
      <c r="R244" s="1054"/>
      <c r="S244" s="1054"/>
      <c r="T244" s="1054"/>
      <c r="U244" s="1054"/>
      <c r="V244" s="1054"/>
      <c r="W244" s="1054"/>
      <c r="X244" s="1054"/>
      <c r="Y244" s="1054"/>
      <c r="Z244" s="1054"/>
      <c r="AA244" s="1054"/>
      <c r="AB244" s="1054"/>
      <c r="AC244" s="1054"/>
      <c r="AD244" s="1054"/>
      <c r="AE244" s="1054"/>
      <c r="AF244" s="1054"/>
      <c r="AG244" s="1054"/>
      <c r="AH244" s="1054"/>
      <c r="AI244" s="1054"/>
      <c r="AJ244" s="1054"/>
      <c r="AK244" s="1054"/>
      <c r="AL244" s="1054"/>
      <c r="AM244" s="1054"/>
      <c r="AN244" s="1054"/>
      <c r="AO244" s="1054"/>
      <c r="AP244" s="1054"/>
      <c r="AQ244" s="1054"/>
      <c r="AR244" s="1054"/>
      <c r="AS244" s="1054"/>
      <c r="AT244" s="1054"/>
      <c r="AU244" s="1054"/>
      <c r="AV244" s="1054"/>
      <c r="AW244" s="1054"/>
      <c r="AX244" s="1054"/>
      <c r="AY244" s="1054"/>
      <c r="AZ244" s="1054"/>
      <c r="BA244" s="1054"/>
      <c r="BB244" s="1054"/>
      <c r="BC244" s="1054"/>
      <c r="BD244" s="1054"/>
      <c r="BE244" s="1054"/>
      <c r="BF244" s="1054"/>
      <c r="BG244" s="1056"/>
    </row>
    <row r="245" spans="1:59" x14ac:dyDescent="0.15">
      <c r="A245" s="1050"/>
      <c r="B245" s="1064"/>
      <c r="C245" s="1054"/>
      <c r="D245" s="1054"/>
      <c r="E245" s="1054"/>
      <c r="F245" s="1054"/>
      <c r="G245" s="1054"/>
      <c r="H245" s="1054"/>
      <c r="I245" s="1054"/>
      <c r="J245" s="1054"/>
      <c r="K245" s="1054"/>
      <c r="L245" s="1054"/>
      <c r="M245" s="1054"/>
      <c r="N245" s="1054"/>
      <c r="O245" s="1054"/>
      <c r="P245" s="1054"/>
      <c r="Q245" s="1054"/>
      <c r="R245" s="1054"/>
      <c r="S245" s="1054"/>
      <c r="T245" s="1054"/>
      <c r="U245" s="1054"/>
      <c r="V245" s="1054"/>
      <c r="W245" s="1054"/>
      <c r="X245" s="1054"/>
      <c r="Y245" s="1054"/>
      <c r="Z245" s="1054"/>
      <c r="AA245" s="1054"/>
      <c r="AB245" s="1054"/>
      <c r="AC245" s="1054"/>
      <c r="AD245" s="1054"/>
      <c r="AE245" s="1054"/>
      <c r="AF245" s="1054"/>
      <c r="AG245" s="1054"/>
      <c r="AH245" s="1054"/>
      <c r="AI245" s="1054"/>
      <c r="AJ245" s="1054"/>
      <c r="AK245" s="1054"/>
      <c r="AL245" s="1054"/>
      <c r="AM245" s="1054"/>
      <c r="AN245" s="1054"/>
      <c r="AO245" s="1054"/>
      <c r="AP245" s="1054"/>
      <c r="AQ245" s="1054"/>
      <c r="AR245" s="1054"/>
      <c r="AS245" s="1054"/>
      <c r="AT245" s="1054"/>
      <c r="AU245" s="1054"/>
      <c r="AV245" s="1054"/>
      <c r="AW245" s="1054"/>
      <c r="AX245" s="1054"/>
      <c r="AY245" s="1054"/>
      <c r="AZ245" s="1054"/>
      <c r="BA245" s="1054"/>
      <c r="BB245" s="1054"/>
      <c r="BC245" s="1054"/>
      <c r="BD245" s="1054"/>
      <c r="BE245" s="1054"/>
      <c r="BF245" s="1054"/>
      <c r="BG245" s="1056"/>
    </row>
    <row r="246" spans="1:59" x14ac:dyDescent="0.15">
      <c r="A246" s="1050"/>
      <c r="B246" s="1064"/>
      <c r="C246" s="1054"/>
      <c r="D246" s="1054"/>
      <c r="E246" s="1054" t="s">
        <v>797</v>
      </c>
      <c r="F246" s="1054"/>
      <c r="G246" s="1054"/>
      <c r="H246" s="1054"/>
      <c r="I246" s="1054"/>
      <c r="J246" s="1054"/>
      <c r="K246" s="1054"/>
      <c r="L246" s="1054"/>
      <c r="M246" s="1054"/>
      <c r="N246" s="1054"/>
      <c r="O246" s="1054"/>
      <c r="P246" s="1054"/>
      <c r="Q246" s="1054"/>
      <c r="R246" s="1054"/>
      <c r="S246" s="1054"/>
      <c r="T246" s="1054"/>
      <c r="U246" s="1054"/>
      <c r="V246" s="1054"/>
      <c r="W246" s="1054"/>
      <c r="X246" s="1054"/>
      <c r="Y246" s="1054"/>
      <c r="Z246" s="1054"/>
      <c r="AA246" s="1054"/>
      <c r="AB246" s="1054"/>
      <c r="AC246" s="1054"/>
      <c r="AD246" s="1054"/>
      <c r="AE246" s="1054"/>
      <c r="AF246" s="1054"/>
      <c r="AG246" s="1054"/>
      <c r="AH246" s="1054"/>
      <c r="AI246" s="1054"/>
      <c r="AJ246" s="1054"/>
      <c r="AK246" s="1054"/>
      <c r="AL246" s="1054"/>
      <c r="AM246" s="1054"/>
      <c r="AN246" s="1054"/>
      <c r="AO246" s="1054"/>
      <c r="AP246" s="1054"/>
      <c r="AQ246" s="1054"/>
      <c r="AR246" s="1054"/>
      <c r="AS246" s="1054"/>
      <c r="AT246" s="1054"/>
      <c r="AU246" s="1054"/>
      <c r="AV246" s="1054"/>
      <c r="AW246" s="1054"/>
      <c r="AX246" s="1054"/>
      <c r="AY246" s="1054"/>
      <c r="AZ246" s="1054"/>
      <c r="BA246" s="1054"/>
      <c r="BB246" s="1054"/>
      <c r="BC246" s="1054"/>
      <c r="BD246" s="1054"/>
      <c r="BE246" s="1054"/>
      <c r="BF246" s="1054"/>
      <c r="BG246" s="1056"/>
    </row>
    <row r="247" spans="1:59" x14ac:dyDescent="0.15">
      <c r="A247" s="1050"/>
      <c r="B247" s="1064"/>
      <c r="C247" s="1054"/>
      <c r="D247" s="1054"/>
      <c r="E247" s="1054" t="s">
        <v>798</v>
      </c>
      <c r="F247" s="1054"/>
      <c r="G247" s="1054"/>
      <c r="H247" s="1054"/>
      <c r="I247" s="1054"/>
      <c r="J247" s="1054"/>
      <c r="K247" s="1054"/>
      <c r="L247" s="1054"/>
      <c r="M247" s="1054"/>
      <c r="N247" s="1054"/>
      <c r="O247" s="1054"/>
      <c r="P247" s="1054"/>
      <c r="Q247" s="1054"/>
      <c r="R247" s="1054"/>
      <c r="S247" s="1054"/>
      <c r="T247" s="1054"/>
      <c r="U247" s="1054"/>
      <c r="V247" s="1054"/>
      <c r="W247" s="1054"/>
      <c r="X247" s="1054"/>
      <c r="Y247" s="1054"/>
      <c r="Z247" s="1054"/>
      <c r="AA247" s="1054"/>
      <c r="AB247" s="1054"/>
      <c r="AC247" s="1054"/>
      <c r="AD247" s="1054"/>
      <c r="AE247" s="1054"/>
      <c r="AF247" s="1054"/>
      <c r="AG247" s="1054"/>
      <c r="AH247" s="1054"/>
      <c r="AI247" s="1054"/>
      <c r="AJ247" s="1054"/>
      <c r="AK247" s="1054"/>
      <c r="AL247" s="1054"/>
      <c r="AM247" s="1054"/>
      <c r="AN247" s="1054"/>
      <c r="AO247" s="1054"/>
      <c r="AP247" s="1054"/>
      <c r="AQ247" s="1054"/>
      <c r="AR247" s="1054"/>
      <c r="AS247" s="1054"/>
      <c r="AT247" s="1054"/>
      <c r="AU247" s="1054"/>
      <c r="AV247" s="1054"/>
      <c r="AW247" s="1054"/>
      <c r="AX247" s="1054"/>
      <c r="AY247" s="1054"/>
      <c r="AZ247" s="1054"/>
      <c r="BA247" s="1054"/>
      <c r="BB247" s="1054"/>
      <c r="BC247" s="1054"/>
      <c r="BD247" s="1054"/>
      <c r="BE247" s="1054"/>
      <c r="BF247" s="1054"/>
      <c r="BG247" s="1056"/>
    </row>
    <row r="248" spans="1:59" x14ac:dyDescent="0.15">
      <c r="A248" s="1050"/>
      <c r="B248" s="1064"/>
      <c r="C248" s="1054"/>
      <c r="D248" s="1054"/>
      <c r="E248" s="1054"/>
      <c r="F248" s="1054"/>
      <c r="G248" s="1054"/>
      <c r="H248" s="1054"/>
      <c r="I248" s="1054"/>
      <c r="J248" s="1054"/>
      <c r="K248" s="1054"/>
      <c r="L248" s="1054"/>
      <c r="M248" s="1054"/>
      <c r="N248" s="1054"/>
      <c r="O248" s="1054"/>
      <c r="P248" s="1054"/>
      <c r="Q248" s="1054"/>
      <c r="R248" s="1054"/>
      <c r="S248" s="1054"/>
      <c r="T248" s="1054"/>
      <c r="U248" s="1054"/>
      <c r="V248" s="1054"/>
      <c r="W248" s="1054"/>
      <c r="X248" s="1054"/>
      <c r="Y248" s="1054"/>
      <c r="Z248" s="1054"/>
      <c r="AA248" s="1054"/>
      <c r="AB248" s="1054"/>
      <c r="AC248" s="1054"/>
      <c r="AD248" s="1054"/>
      <c r="AE248" s="1054"/>
      <c r="AF248" s="1054"/>
      <c r="AG248" s="1054"/>
      <c r="AH248" s="1054"/>
      <c r="AI248" s="1054"/>
      <c r="AJ248" s="1054"/>
      <c r="AK248" s="1054"/>
      <c r="AL248" s="1054"/>
      <c r="AM248" s="1054"/>
      <c r="AN248" s="1054"/>
      <c r="AO248" s="1054"/>
      <c r="AP248" s="1054"/>
      <c r="AQ248" s="1054"/>
      <c r="AR248" s="1054"/>
      <c r="AS248" s="1054"/>
      <c r="AT248" s="1054"/>
      <c r="AU248" s="1054"/>
      <c r="AV248" s="1054"/>
      <c r="AW248" s="1054"/>
      <c r="AX248" s="1054"/>
      <c r="AY248" s="1054"/>
      <c r="AZ248" s="1054"/>
      <c r="BA248" s="1054"/>
      <c r="BB248" s="1054"/>
      <c r="BC248" s="1054"/>
      <c r="BD248" s="1054"/>
      <c r="BE248" s="1054"/>
      <c r="BF248" s="1054"/>
      <c r="BG248" s="1056"/>
    </row>
    <row r="249" spans="1:59" x14ac:dyDescent="0.15">
      <c r="A249" s="1050"/>
      <c r="B249" s="1064"/>
      <c r="C249" s="1055"/>
      <c r="D249" s="1055"/>
      <c r="E249" s="1055" t="s">
        <v>799</v>
      </c>
      <c r="F249" s="1055"/>
      <c r="G249" s="1055"/>
      <c r="H249" s="1055"/>
      <c r="I249" s="1055"/>
      <c r="J249" s="1747"/>
      <c r="K249" s="1747"/>
      <c r="L249" s="1747"/>
      <c r="M249" s="1747"/>
      <c r="N249" s="1747"/>
      <c r="O249" s="1747"/>
      <c r="P249" s="1747"/>
      <c r="Q249" s="1747"/>
      <c r="R249" s="1747"/>
      <c r="S249" s="1747"/>
      <c r="T249" s="1747"/>
      <c r="U249" s="1747"/>
      <c r="V249" s="1747"/>
      <c r="W249" s="1747"/>
      <c r="X249" s="1747"/>
      <c r="Y249" s="1747"/>
      <c r="Z249" s="1747"/>
      <c r="AA249" s="1747"/>
      <c r="AB249" s="1747"/>
      <c r="AC249" s="1055"/>
      <c r="AD249" s="1055"/>
      <c r="AE249" s="1055"/>
      <c r="AF249" s="1055" t="s">
        <v>800</v>
      </c>
      <c r="AG249" s="1055"/>
      <c r="AH249" s="1055"/>
      <c r="AI249" s="1055"/>
      <c r="AJ249" s="1747"/>
      <c r="AK249" s="1747"/>
      <c r="AL249" s="1747"/>
      <c r="AM249" s="1747"/>
      <c r="AN249" s="1747"/>
      <c r="AO249" s="1747"/>
      <c r="AP249" s="1747"/>
      <c r="AQ249" s="1747"/>
      <c r="AR249" s="1747"/>
      <c r="AS249" s="1747"/>
      <c r="AT249" s="1747"/>
      <c r="AU249" s="1747"/>
      <c r="AV249" s="1747"/>
      <c r="AW249" s="1747"/>
      <c r="AX249" s="1747"/>
      <c r="AY249" s="1747"/>
      <c r="AZ249" s="1747"/>
      <c r="BA249" s="1747"/>
      <c r="BB249" s="1747"/>
      <c r="BC249" s="1055"/>
      <c r="BD249" s="1055"/>
      <c r="BE249" s="1055"/>
      <c r="BF249" s="1055"/>
      <c r="BG249" s="1056"/>
    </row>
    <row r="250" spans="1:59" x14ac:dyDescent="0.15">
      <c r="A250" s="1050"/>
      <c r="B250" s="1064"/>
      <c r="C250" s="1055"/>
      <c r="D250" s="1055"/>
      <c r="E250" s="1055"/>
      <c r="F250" s="1055"/>
      <c r="G250" s="1055"/>
      <c r="H250" s="1055"/>
      <c r="I250" s="1055"/>
      <c r="J250" s="1055"/>
      <c r="K250" s="1055"/>
      <c r="L250" s="1055"/>
      <c r="M250" s="1055"/>
      <c r="N250" s="1746" t="s">
        <v>315</v>
      </c>
      <c r="O250" s="1746"/>
      <c r="P250" s="1746"/>
      <c r="Q250" s="1746"/>
      <c r="R250" s="1746"/>
      <c r="S250" s="1746"/>
      <c r="T250" s="1746"/>
      <c r="U250" s="1746"/>
      <c r="V250" s="1746"/>
      <c r="W250" s="1746"/>
      <c r="X250" s="1746"/>
      <c r="Y250" s="1055"/>
      <c r="Z250" s="1055"/>
      <c r="AA250" s="1055"/>
      <c r="AB250" s="1055"/>
      <c r="AC250" s="1055"/>
      <c r="AD250" s="1055"/>
      <c r="AE250" s="1055"/>
      <c r="AF250" s="1055"/>
      <c r="AG250" s="1055"/>
      <c r="AH250" s="1055"/>
      <c r="AI250" s="1055"/>
      <c r="AJ250" s="1055"/>
      <c r="AK250" s="1055"/>
      <c r="AL250" s="1055"/>
      <c r="AM250" s="1055"/>
      <c r="AN250" s="1746" t="s">
        <v>315</v>
      </c>
      <c r="AO250" s="1746"/>
      <c r="AP250" s="1746"/>
      <c r="AQ250" s="1746"/>
      <c r="AR250" s="1746"/>
      <c r="AS250" s="1746"/>
      <c r="AT250" s="1746"/>
      <c r="AU250" s="1746"/>
      <c r="AV250" s="1746"/>
      <c r="AW250" s="1746"/>
      <c r="AX250" s="1746"/>
      <c r="AY250" s="1055"/>
      <c r="AZ250" s="1055"/>
      <c r="BA250" s="1055"/>
      <c r="BB250" s="1055"/>
      <c r="BC250" s="1055"/>
      <c r="BD250" s="1055"/>
      <c r="BE250" s="1055"/>
      <c r="BF250" s="1055"/>
      <c r="BG250" s="1056"/>
    </row>
    <row r="251" spans="1:59" x14ac:dyDescent="0.15">
      <c r="A251" s="1050"/>
      <c r="B251" s="1064"/>
      <c r="C251" s="1055"/>
      <c r="D251" s="1055"/>
      <c r="E251" s="1055"/>
      <c r="F251" s="1055"/>
      <c r="G251" s="1055"/>
      <c r="H251" s="1055"/>
      <c r="I251" s="1055"/>
      <c r="J251" s="1055"/>
      <c r="K251" s="1055"/>
      <c r="L251" s="1055"/>
      <c r="M251" s="1055"/>
      <c r="N251" s="1055"/>
      <c r="O251" s="1055"/>
      <c r="P251" s="1055"/>
      <c r="Q251" s="1055"/>
      <c r="R251" s="1055"/>
      <c r="S251" s="1055"/>
      <c r="T251" s="1055"/>
      <c r="U251" s="1055"/>
      <c r="V251" s="1055"/>
      <c r="W251" s="1055"/>
      <c r="X251" s="1055"/>
      <c r="Y251" s="1055"/>
      <c r="Z251" s="1055"/>
      <c r="AA251" s="1055"/>
      <c r="AB251" s="1055"/>
      <c r="AC251" s="1055"/>
      <c r="AD251" s="1055"/>
      <c r="AE251" s="1055"/>
      <c r="AF251" s="1055"/>
      <c r="AG251" s="1055"/>
      <c r="AH251" s="1055"/>
      <c r="AI251" s="1055"/>
      <c r="AJ251" s="1055"/>
      <c r="AK251" s="1055"/>
      <c r="AL251" s="1055"/>
      <c r="AM251" s="1055"/>
      <c r="AN251" s="1055"/>
      <c r="AO251" s="1055"/>
      <c r="AP251" s="1055"/>
      <c r="AQ251" s="1055"/>
      <c r="AR251" s="1055"/>
      <c r="AS251" s="1055"/>
      <c r="AT251" s="1055"/>
      <c r="AU251" s="1055"/>
      <c r="AV251" s="1055"/>
      <c r="AW251" s="1055"/>
      <c r="AX251" s="1055"/>
      <c r="AY251" s="1055"/>
      <c r="AZ251" s="1055"/>
      <c r="BA251" s="1055"/>
      <c r="BB251" s="1055"/>
      <c r="BC251" s="1055"/>
      <c r="BD251" s="1055"/>
      <c r="BE251" s="1055"/>
      <c r="BF251" s="1055"/>
      <c r="BG251" s="1056"/>
    </row>
    <row r="252" spans="1:59" x14ac:dyDescent="0.15">
      <c r="A252" s="1050"/>
      <c r="B252" s="1064"/>
      <c r="C252" s="1055"/>
      <c r="D252" s="1055"/>
      <c r="E252" s="1055"/>
      <c r="F252" s="1055"/>
      <c r="G252" s="1055"/>
      <c r="H252" s="1055"/>
      <c r="I252" s="1055"/>
      <c r="J252" s="1055"/>
      <c r="K252" s="1055"/>
      <c r="L252" s="1055"/>
      <c r="M252" s="1055"/>
      <c r="N252" s="1055"/>
      <c r="O252" s="1055"/>
      <c r="P252" s="1055"/>
      <c r="Q252" s="1055"/>
      <c r="R252" s="1055"/>
      <c r="S252" s="1055"/>
      <c r="T252" s="1055"/>
      <c r="U252" s="1055"/>
      <c r="V252" s="1055"/>
      <c r="W252" s="1055"/>
      <c r="X252" s="1055"/>
      <c r="Y252" s="1055"/>
      <c r="Z252" s="1055"/>
      <c r="AA252" s="1055"/>
      <c r="AB252" s="1055"/>
      <c r="AC252" s="1055"/>
      <c r="AD252" s="1055"/>
      <c r="AE252" s="1055"/>
      <c r="AF252" s="1055"/>
      <c r="AG252" s="1055"/>
      <c r="AH252" s="1055"/>
      <c r="AI252" s="1055"/>
      <c r="AJ252" s="1055"/>
      <c r="AK252" s="1055"/>
      <c r="AL252" s="1055"/>
      <c r="AM252" s="1055"/>
      <c r="AN252" s="1055"/>
      <c r="AO252" s="1055"/>
      <c r="AP252" s="1055"/>
      <c r="AQ252" s="1055"/>
      <c r="AR252" s="1055"/>
      <c r="AS252" s="1055"/>
      <c r="AT252" s="1055"/>
      <c r="AU252" s="1055"/>
      <c r="AV252" s="1055"/>
      <c r="AW252" s="1055"/>
      <c r="AX252" s="1055"/>
      <c r="AY252" s="1055"/>
      <c r="AZ252" s="1055"/>
      <c r="BA252" s="1055"/>
      <c r="BB252" s="1055"/>
      <c r="BC252" s="1055"/>
      <c r="BD252" s="1055"/>
      <c r="BE252" s="1055"/>
      <c r="BF252" s="1055"/>
      <c r="BG252" s="1056"/>
    </row>
    <row r="253" spans="1:59" x14ac:dyDescent="0.15">
      <c r="A253" s="1050"/>
      <c r="B253" s="1064"/>
      <c r="C253" s="1055"/>
      <c r="D253" s="1055"/>
      <c r="E253" s="1055"/>
      <c r="F253" s="1055"/>
      <c r="G253" s="1055"/>
      <c r="H253" s="1055"/>
      <c r="I253" s="1055"/>
      <c r="J253" s="1747"/>
      <c r="K253" s="1747"/>
      <c r="L253" s="1747"/>
      <c r="M253" s="1747"/>
      <c r="N253" s="1747"/>
      <c r="O253" s="1747"/>
      <c r="P253" s="1747"/>
      <c r="Q253" s="1747"/>
      <c r="R253" s="1747"/>
      <c r="S253" s="1747"/>
      <c r="T253" s="1747"/>
      <c r="U253" s="1747"/>
      <c r="V253" s="1747"/>
      <c r="W253" s="1747"/>
      <c r="X253" s="1747"/>
      <c r="Y253" s="1747"/>
      <c r="Z253" s="1747"/>
      <c r="AA253" s="1747"/>
      <c r="AB253" s="1747"/>
      <c r="AC253" s="1055"/>
      <c r="AD253" s="1055"/>
      <c r="AE253" s="1055"/>
      <c r="AF253" s="1055"/>
      <c r="AG253" s="1055"/>
      <c r="AH253" s="1055"/>
      <c r="AI253" s="1055"/>
      <c r="AJ253" s="1747"/>
      <c r="AK253" s="1747"/>
      <c r="AL253" s="1747"/>
      <c r="AM253" s="1747"/>
      <c r="AN253" s="1747"/>
      <c r="AO253" s="1747"/>
      <c r="AP253" s="1747"/>
      <c r="AQ253" s="1747"/>
      <c r="AR253" s="1747"/>
      <c r="AS253" s="1747"/>
      <c r="AT253" s="1747"/>
      <c r="AU253" s="1747"/>
      <c r="AV253" s="1747"/>
      <c r="AW253" s="1747"/>
      <c r="AX253" s="1747"/>
      <c r="AY253" s="1747"/>
      <c r="AZ253" s="1747"/>
      <c r="BA253" s="1747"/>
      <c r="BB253" s="1747"/>
      <c r="BC253" s="1055"/>
      <c r="BD253" s="1055"/>
      <c r="BE253" s="1055"/>
      <c r="BF253" s="1055"/>
      <c r="BG253" s="1056"/>
    </row>
    <row r="254" spans="1:59" x14ac:dyDescent="0.15">
      <c r="A254" s="1050"/>
      <c r="B254" s="1064"/>
      <c r="C254" s="1055"/>
      <c r="D254" s="1055"/>
      <c r="E254" s="1055"/>
      <c r="F254" s="1055"/>
      <c r="G254" s="1055"/>
      <c r="H254" s="1055"/>
      <c r="I254" s="1055"/>
      <c r="J254" s="1055"/>
      <c r="K254" s="1055"/>
      <c r="L254" s="1055"/>
      <c r="M254" s="1055"/>
      <c r="N254" s="1746" t="s">
        <v>316</v>
      </c>
      <c r="O254" s="1746"/>
      <c r="P254" s="1746"/>
      <c r="Q254" s="1746"/>
      <c r="R254" s="1746"/>
      <c r="S254" s="1746"/>
      <c r="T254" s="1746"/>
      <c r="U254" s="1746"/>
      <c r="V254" s="1746"/>
      <c r="W254" s="1746"/>
      <c r="X254" s="1746"/>
      <c r="Y254" s="1055"/>
      <c r="Z254" s="1055"/>
      <c r="AA254" s="1055"/>
      <c r="AB254" s="1055"/>
      <c r="AC254" s="1055"/>
      <c r="AD254" s="1055"/>
      <c r="AE254" s="1055"/>
      <c r="AF254" s="1055"/>
      <c r="AG254" s="1055"/>
      <c r="AH254" s="1055"/>
      <c r="AI254" s="1055"/>
      <c r="AJ254" s="1055"/>
      <c r="AK254" s="1055"/>
      <c r="AL254" s="1055"/>
      <c r="AM254" s="1055"/>
      <c r="AN254" s="1746" t="s">
        <v>316</v>
      </c>
      <c r="AO254" s="1746"/>
      <c r="AP254" s="1746"/>
      <c r="AQ254" s="1746"/>
      <c r="AR254" s="1746"/>
      <c r="AS254" s="1746"/>
      <c r="AT254" s="1746"/>
      <c r="AU254" s="1746"/>
      <c r="AV254" s="1746"/>
      <c r="AW254" s="1746"/>
      <c r="AX254" s="1746"/>
      <c r="AY254" s="1055"/>
      <c r="AZ254" s="1055"/>
      <c r="BA254" s="1055"/>
      <c r="BB254" s="1055"/>
      <c r="BC254" s="1055"/>
      <c r="BD254" s="1055"/>
      <c r="BE254" s="1055"/>
      <c r="BF254" s="1055"/>
      <c r="BG254" s="1056"/>
    </row>
    <row r="255" spans="1:59" x14ac:dyDescent="0.15">
      <c r="A255" s="1050"/>
      <c r="B255" s="1064"/>
      <c r="C255" s="1055"/>
      <c r="D255" s="1055"/>
      <c r="E255" s="1055"/>
      <c r="F255" s="1055"/>
      <c r="G255" s="1055"/>
      <c r="H255" s="1055"/>
      <c r="I255" s="1055"/>
      <c r="J255" s="1055"/>
      <c r="K255" s="1055"/>
      <c r="L255" s="1055"/>
      <c r="M255" s="1055"/>
      <c r="N255" s="1055"/>
      <c r="O255" s="1055"/>
      <c r="P255" s="1055"/>
      <c r="Q255" s="1055"/>
      <c r="R255" s="1055"/>
      <c r="S255" s="1055"/>
      <c r="T255" s="1055"/>
      <c r="U255" s="1055"/>
      <c r="V255" s="1055"/>
      <c r="W255" s="1055"/>
      <c r="X255" s="1055"/>
      <c r="Y255" s="1055"/>
      <c r="Z255" s="1055"/>
      <c r="AA255" s="1055"/>
      <c r="AB255" s="1055"/>
      <c r="AC255" s="1055"/>
      <c r="AD255" s="1055"/>
      <c r="AE255" s="1055"/>
      <c r="AF255" s="1055"/>
      <c r="AG255" s="1055"/>
      <c r="AH255" s="1055"/>
      <c r="AI255" s="1055"/>
      <c r="AJ255" s="1055"/>
      <c r="AK255" s="1055"/>
      <c r="AL255" s="1055"/>
      <c r="AM255" s="1055"/>
      <c r="AN255" s="1055"/>
      <c r="AO255" s="1055"/>
      <c r="AP255" s="1055"/>
      <c r="AQ255" s="1055"/>
      <c r="AR255" s="1055"/>
      <c r="AS255" s="1055"/>
      <c r="AT255" s="1055"/>
      <c r="AU255" s="1055"/>
      <c r="AV255" s="1055"/>
      <c r="AW255" s="1055"/>
      <c r="AX255" s="1055"/>
      <c r="AY255" s="1055"/>
      <c r="AZ255" s="1055"/>
      <c r="BA255" s="1055"/>
      <c r="BB255" s="1055"/>
      <c r="BC255" s="1055"/>
      <c r="BD255" s="1055"/>
      <c r="BE255" s="1055"/>
      <c r="BF255" s="1055"/>
      <c r="BG255" s="1056"/>
    </row>
    <row r="256" spans="1:59" x14ac:dyDescent="0.15">
      <c r="A256" s="1050"/>
      <c r="B256" s="1064"/>
      <c r="C256" s="1055"/>
      <c r="D256" s="1055"/>
      <c r="E256" s="1055"/>
      <c r="F256" s="1055"/>
      <c r="G256" s="1055"/>
      <c r="H256" s="1055"/>
      <c r="I256" s="1055"/>
      <c r="J256" s="1055"/>
      <c r="K256" s="1055"/>
      <c r="L256" s="1055"/>
      <c r="M256" s="1055"/>
      <c r="N256" s="1055"/>
      <c r="O256" s="1055"/>
      <c r="P256" s="1055"/>
      <c r="Q256" s="1055"/>
      <c r="R256" s="1055"/>
      <c r="S256" s="1055"/>
      <c r="T256" s="1055"/>
      <c r="U256" s="1055"/>
      <c r="V256" s="1055"/>
      <c r="W256" s="1055"/>
      <c r="X256" s="1055"/>
      <c r="Y256" s="1055"/>
      <c r="Z256" s="1055"/>
      <c r="AA256" s="1055"/>
      <c r="AB256" s="1055"/>
      <c r="AC256" s="1055"/>
      <c r="AD256" s="1055"/>
      <c r="AE256" s="1055"/>
      <c r="AF256" s="1055"/>
      <c r="AG256" s="1055"/>
      <c r="AH256" s="1055"/>
      <c r="AI256" s="1055"/>
      <c r="AJ256" s="1055"/>
      <c r="AK256" s="1055"/>
      <c r="AL256" s="1055"/>
      <c r="AM256" s="1055"/>
      <c r="AN256" s="1055"/>
      <c r="AO256" s="1055"/>
      <c r="AP256" s="1055"/>
      <c r="AQ256" s="1055"/>
      <c r="AR256" s="1055"/>
      <c r="AS256" s="1055"/>
      <c r="AT256" s="1055"/>
      <c r="AU256" s="1055"/>
      <c r="AV256" s="1055"/>
      <c r="AW256" s="1055"/>
      <c r="AX256" s="1055"/>
      <c r="AY256" s="1055"/>
      <c r="AZ256" s="1055"/>
      <c r="BA256" s="1055"/>
      <c r="BB256" s="1055"/>
      <c r="BC256" s="1055"/>
      <c r="BD256" s="1055"/>
      <c r="BE256" s="1055"/>
      <c r="BF256" s="1055"/>
      <c r="BG256" s="1056"/>
    </row>
    <row r="257" spans="1:59" x14ac:dyDescent="0.15">
      <c r="A257" s="1050"/>
      <c r="B257" s="1064"/>
      <c r="C257" s="1055"/>
      <c r="D257" s="1055"/>
      <c r="E257" s="1055"/>
      <c r="F257" s="1055"/>
      <c r="G257" s="1055"/>
      <c r="H257" s="1055"/>
      <c r="I257" s="1055"/>
      <c r="J257" s="1747"/>
      <c r="K257" s="1747"/>
      <c r="L257" s="1747"/>
      <c r="M257" s="1747"/>
      <c r="N257" s="1747"/>
      <c r="O257" s="1747"/>
      <c r="P257" s="1747"/>
      <c r="Q257" s="1747"/>
      <c r="R257" s="1747"/>
      <c r="S257" s="1747"/>
      <c r="T257" s="1747"/>
      <c r="U257" s="1747"/>
      <c r="V257" s="1747"/>
      <c r="W257" s="1747"/>
      <c r="X257" s="1747"/>
      <c r="Y257" s="1747"/>
      <c r="Z257" s="1747"/>
      <c r="AA257" s="1747"/>
      <c r="AB257" s="1747"/>
      <c r="AC257" s="1055"/>
      <c r="AD257" s="1055"/>
      <c r="AE257" s="1055"/>
      <c r="AF257" s="1055"/>
      <c r="AG257" s="1055"/>
      <c r="AH257" s="1055"/>
      <c r="AI257" s="1055"/>
      <c r="AJ257" s="1747"/>
      <c r="AK257" s="1747"/>
      <c r="AL257" s="1747"/>
      <c r="AM257" s="1747"/>
      <c r="AN257" s="1747"/>
      <c r="AO257" s="1747"/>
      <c r="AP257" s="1747"/>
      <c r="AQ257" s="1747"/>
      <c r="AR257" s="1747"/>
      <c r="AS257" s="1747"/>
      <c r="AT257" s="1747"/>
      <c r="AU257" s="1747"/>
      <c r="AV257" s="1747"/>
      <c r="AW257" s="1747"/>
      <c r="AX257" s="1747"/>
      <c r="AY257" s="1747"/>
      <c r="AZ257" s="1747"/>
      <c r="BA257" s="1747"/>
      <c r="BB257" s="1747"/>
      <c r="BC257" s="1055"/>
      <c r="BD257" s="1055"/>
      <c r="BE257" s="1055"/>
      <c r="BF257" s="1055"/>
      <c r="BG257" s="1056"/>
    </row>
    <row r="258" spans="1:59" x14ac:dyDescent="0.15">
      <c r="A258" s="1050"/>
      <c r="B258" s="1064"/>
      <c r="C258" s="1055"/>
      <c r="D258" s="1055"/>
      <c r="E258" s="1055"/>
      <c r="F258" s="1055"/>
      <c r="G258" s="1055"/>
      <c r="H258" s="1055"/>
      <c r="I258" s="1055"/>
      <c r="J258" s="1055"/>
      <c r="K258" s="1055"/>
      <c r="L258" s="1055"/>
      <c r="M258" s="1055"/>
      <c r="N258" s="1746" t="s">
        <v>801</v>
      </c>
      <c r="O258" s="1746"/>
      <c r="P258" s="1746"/>
      <c r="Q258" s="1746"/>
      <c r="R258" s="1746"/>
      <c r="S258" s="1746"/>
      <c r="T258" s="1746"/>
      <c r="U258" s="1746"/>
      <c r="V258" s="1746"/>
      <c r="W258" s="1746"/>
      <c r="X258" s="1746"/>
      <c r="Y258" s="1055"/>
      <c r="Z258" s="1055"/>
      <c r="AA258" s="1055"/>
      <c r="AB258" s="1055"/>
      <c r="AC258" s="1055"/>
      <c r="AD258" s="1055"/>
      <c r="AE258" s="1055"/>
      <c r="AF258" s="1055"/>
      <c r="AG258" s="1055"/>
      <c r="AH258" s="1055"/>
      <c r="AI258" s="1055"/>
      <c r="AJ258" s="1055"/>
      <c r="AK258" s="1055"/>
      <c r="AL258" s="1055"/>
      <c r="AM258" s="1055"/>
      <c r="AN258" s="1746" t="s">
        <v>801</v>
      </c>
      <c r="AO258" s="1746"/>
      <c r="AP258" s="1746"/>
      <c r="AQ258" s="1746"/>
      <c r="AR258" s="1746"/>
      <c r="AS258" s="1746"/>
      <c r="AT258" s="1746"/>
      <c r="AU258" s="1746"/>
      <c r="AV258" s="1746"/>
      <c r="AW258" s="1746"/>
      <c r="AX258" s="1746"/>
      <c r="AY258" s="1055"/>
      <c r="AZ258" s="1055"/>
      <c r="BA258" s="1055"/>
      <c r="BB258" s="1055"/>
      <c r="BC258" s="1055"/>
      <c r="BD258" s="1055"/>
      <c r="BE258" s="1055"/>
      <c r="BF258" s="1055"/>
      <c r="BG258" s="1056"/>
    </row>
    <row r="259" spans="1:59" x14ac:dyDescent="0.15">
      <c r="A259" s="1050"/>
      <c r="B259" s="1064"/>
      <c r="C259" s="1055"/>
      <c r="D259" s="1055"/>
      <c r="E259" s="1055"/>
      <c r="F259" s="1055"/>
      <c r="G259" s="1055"/>
      <c r="H259" s="1055"/>
      <c r="I259" s="1055"/>
      <c r="J259" s="1055"/>
      <c r="K259" s="1055"/>
      <c r="L259" s="1055"/>
      <c r="M259" s="1055"/>
      <c r="N259" s="1055"/>
      <c r="O259" s="1055"/>
      <c r="P259" s="1055"/>
      <c r="Q259" s="1055"/>
      <c r="R259" s="1055"/>
      <c r="S259" s="1055"/>
      <c r="T259" s="1055"/>
      <c r="U259" s="1055"/>
      <c r="V259" s="1055"/>
      <c r="W259" s="1055"/>
      <c r="X259" s="1055"/>
      <c r="Y259" s="1055"/>
      <c r="Z259" s="1055"/>
      <c r="AA259" s="1055"/>
      <c r="AB259" s="1055"/>
      <c r="AC259" s="1055"/>
      <c r="AD259" s="1055"/>
      <c r="AE259" s="1055"/>
      <c r="AF259" s="1055"/>
      <c r="AG259" s="1055"/>
      <c r="AH259" s="1055"/>
      <c r="AI259" s="1055"/>
      <c r="AJ259" s="1055"/>
      <c r="AK259" s="1055"/>
      <c r="AL259" s="1055"/>
      <c r="AM259" s="1055"/>
      <c r="AN259" s="1055"/>
      <c r="AO259" s="1055"/>
      <c r="AP259" s="1055"/>
      <c r="AQ259" s="1055"/>
      <c r="AR259" s="1055"/>
      <c r="AS259" s="1055"/>
      <c r="AT259" s="1055"/>
      <c r="AU259" s="1055"/>
      <c r="AV259" s="1055"/>
      <c r="AW259" s="1055"/>
      <c r="AX259" s="1055"/>
      <c r="AY259" s="1055"/>
      <c r="AZ259" s="1055"/>
      <c r="BA259" s="1055"/>
      <c r="BB259" s="1055"/>
      <c r="BC259" s="1055"/>
      <c r="BD259" s="1055"/>
      <c r="BE259" s="1055"/>
      <c r="BF259" s="1055"/>
      <c r="BG259" s="1056"/>
    </row>
    <row r="260" spans="1:59" x14ac:dyDescent="0.15">
      <c r="A260" s="1050"/>
      <c r="B260" s="1064"/>
      <c r="C260" s="1055"/>
      <c r="D260" s="1055"/>
      <c r="E260" s="1055"/>
      <c r="F260" s="1055"/>
      <c r="G260" s="1055"/>
      <c r="H260" s="1055"/>
      <c r="I260" s="1055"/>
      <c r="J260" s="1055"/>
      <c r="K260" s="1055"/>
      <c r="L260" s="1055"/>
      <c r="M260" s="1055"/>
      <c r="N260" s="1055"/>
      <c r="O260" s="1055"/>
      <c r="P260" s="1055"/>
      <c r="Q260" s="1055"/>
      <c r="R260" s="1055"/>
      <c r="S260" s="1055"/>
      <c r="T260" s="1055"/>
      <c r="U260" s="1055"/>
      <c r="V260" s="1055"/>
      <c r="W260" s="1055"/>
      <c r="X260" s="1055"/>
      <c r="Y260" s="1055"/>
      <c r="Z260" s="1055"/>
      <c r="AA260" s="1055"/>
      <c r="AB260" s="1055"/>
      <c r="AC260" s="1055"/>
      <c r="AD260" s="1055"/>
      <c r="AE260" s="1055"/>
      <c r="AF260" s="1055"/>
      <c r="AG260" s="1055"/>
      <c r="AH260" s="1055"/>
      <c r="AI260" s="1055"/>
      <c r="AJ260" s="1055"/>
      <c r="AK260" s="1055"/>
      <c r="AL260" s="1055"/>
      <c r="AM260" s="1055"/>
      <c r="AN260" s="1055"/>
      <c r="AO260" s="1055"/>
      <c r="AP260" s="1055"/>
      <c r="AQ260" s="1055"/>
      <c r="AR260" s="1055"/>
      <c r="AS260" s="1055"/>
      <c r="AT260" s="1055"/>
      <c r="AU260" s="1055"/>
      <c r="AV260" s="1055"/>
      <c r="AW260" s="1055"/>
      <c r="AX260" s="1055"/>
      <c r="AY260" s="1055"/>
      <c r="AZ260" s="1055"/>
      <c r="BA260" s="1055"/>
      <c r="BB260" s="1055"/>
      <c r="BC260" s="1055"/>
      <c r="BD260" s="1055"/>
      <c r="BE260" s="1055"/>
      <c r="BF260" s="1055"/>
      <c r="BG260" s="1056"/>
    </row>
    <row r="261" spans="1:59" x14ac:dyDescent="0.15">
      <c r="A261" s="1050"/>
      <c r="B261" s="1064"/>
      <c r="C261" s="1055"/>
      <c r="D261" s="1055"/>
      <c r="E261" s="1055"/>
      <c r="F261" s="1055"/>
      <c r="G261" s="1055"/>
      <c r="H261" s="1055"/>
      <c r="I261" s="1055"/>
      <c r="J261" s="1747"/>
      <c r="K261" s="1747"/>
      <c r="L261" s="1747"/>
      <c r="M261" s="1747"/>
      <c r="N261" s="1747"/>
      <c r="O261" s="1747"/>
      <c r="P261" s="1747"/>
      <c r="Q261" s="1747"/>
      <c r="R261" s="1747"/>
      <c r="S261" s="1747"/>
      <c r="T261" s="1747"/>
      <c r="U261" s="1747"/>
      <c r="V261" s="1747"/>
      <c r="W261" s="1747"/>
      <c r="X261" s="1747"/>
      <c r="Y261" s="1747"/>
      <c r="Z261" s="1747"/>
      <c r="AA261" s="1747"/>
      <c r="AB261" s="1747"/>
      <c r="AC261" s="1055"/>
      <c r="AD261" s="1055"/>
      <c r="AE261" s="1055"/>
      <c r="AF261" s="1055"/>
      <c r="AG261" s="1055"/>
      <c r="AH261" s="1055"/>
      <c r="AI261" s="1055"/>
      <c r="AJ261" s="1747"/>
      <c r="AK261" s="1747"/>
      <c r="AL261" s="1747"/>
      <c r="AM261" s="1747"/>
      <c r="AN261" s="1747"/>
      <c r="AO261" s="1747"/>
      <c r="AP261" s="1747"/>
      <c r="AQ261" s="1747"/>
      <c r="AR261" s="1747"/>
      <c r="AS261" s="1747"/>
      <c r="AT261" s="1747"/>
      <c r="AU261" s="1747"/>
      <c r="AV261" s="1747"/>
      <c r="AW261" s="1747"/>
      <c r="AX261" s="1747"/>
      <c r="AY261" s="1747"/>
      <c r="AZ261" s="1747"/>
      <c r="BA261" s="1747"/>
      <c r="BB261" s="1747"/>
      <c r="BC261" s="1055"/>
      <c r="BD261" s="1055"/>
      <c r="BE261" s="1055"/>
      <c r="BF261" s="1055"/>
      <c r="BG261" s="1056"/>
    </row>
    <row r="262" spans="1:59" x14ac:dyDescent="0.15">
      <c r="A262" s="1050"/>
      <c r="B262" s="1064"/>
      <c r="C262" s="1055"/>
      <c r="D262" s="1055"/>
      <c r="E262" s="1055"/>
      <c r="F262" s="1055"/>
      <c r="G262" s="1055"/>
      <c r="H262" s="1055"/>
      <c r="I262" s="1055"/>
      <c r="J262" s="1055"/>
      <c r="K262" s="1055"/>
      <c r="L262" s="1055"/>
      <c r="M262" s="1055"/>
      <c r="N262" s="1746" t="s">
        <v>802</v>
      </c>
      <c r="O262" s="1746"/>
      <c r="P262" s="1746"/>
      <c r="Q262" s="1746"/>
      <c r="R262" s="1746"/>
      <c r="S262" s="1746"/>
      <c r="T262" s="1746"/>
      <c r="U262" s="1746"/>
      <c r="V262" s="1746"/>
      <c r="W262" s="1746"/>
      <c r="X262" s="1746"/>
      <c r="Y262" s="1055"/>
      <c r="Z262" s="1055"/>
      <c r="AA262" s="1055"/>
      <c r="AB262" s="1055"/>
      <c r="AC262" s="1055"/>
      <c r="AD262" s="1055"/>
      <c r="AE262" s="1055"/>
      <c r="AF262" s="1055"/>
      <c r="AG262" s="1055"/>
      <c r="AH262" s="1055"/>
      <c r="AI262" s="1055"/>
      <c r="AJ262" s="1055"/>
      <c r="AK262" s="1055"/>
      <c r="AL262" s="1055"/>
      <c r="AM262" s="1055"/>
      <c r="AN262" s="1746" t="s">
        <v>802</v>
      </c>
      <c r="AO262" s="1746"/>
      <c r="AP262" s="1746"/>
      <c r="AQ262" s="1746"/>
      <c r="AR262" s="1746"/>
      <c r="AS262" s="1746"/>
      <c r="AT262" s="1746"/>
      <c r="AU262" s="1746"/>
      <c r="AV262" s="1746"/>
      <c r="AW262" s="1746"/>
      <c r="AX262" s="1746"/>
      <c r="AY262" s="1055"/>
      <c r="AZ262" s="1055"/>
      <c r="BA262" s="1055"/>
      <c r="BB262" s="1055"/>
      <c r="BC262" s="1055"/>
      <c r="BD262" s="1055"/>
      <c r="BE262" s="1055"/>
      <c r="BF262" s="1055"/>
      <c r="BG262" s="1056"/>
    </row>
    <row r="263" spans="1:59" x14ac:dyDescent="0.15">
      <c r="A263" s="1050"/>
      <c r="B263" s="1064"/>
      <c r="C263" s="1760"/>
      <c r="D263" s="1760"/>
      <c r="E263" s="1760"/>
      <c r="F263" s="1760"/>
      <c r="G263" s="1760"/>
      <c r="H263" s="1760"/>
      <c r="I263" s="1760"/>
      <c r="J263" s="1760"/>
      <c r="K263" s="1760"/>
      <c r="L263" s="1760"/>
      <c r="M263" s="1760"/>
      <c r="N263" s="1760"/>
      <c r="O263" s="1760"/>
      <c r="P263" s="1760"/>
      <c r="Q263" s="1760"/>
      <c r="R263" s="1760"/>
      <c r="S263" s="1760"/>
      <c r="T263" s="1760"/>
      <c r="U263" s="1760"/>
      <c r="V263" s="1760"/>
      <c r="W263" s="1760"/>
      <c r="X263" s="1760"/>
      <c r="Y263" s="1760"/>
      <c r="Z263" s="1760"/>
      <c r="AA263" s="1760"/>
      <c r="AB263" s="1760"/>
      <c r="AC263" s="1760"/>
      <c r="AD263" s="1760"/>
      <c r="AE263" s="1760"/>
      <c r="AF263" s="1760"/>
      <c r="AG263" s="1760"/>
      <c r="AH263" s="1760"/>
      <c r="AI263" s="1760"/>
      <c r="AJ263" s="1760"/>
      <c r="AK263" s="1760"/>
      <c r="AL263" s="1760"/>
      <c r="AM263" s="1760"/>
      <c r="AN263" s="1760"/>
      <c r="AO263" s="1760"/>
      <c r="AP263" s="1760"/>
      <c r="AQ263" s="1760"/>
      <c r="AR263" s="1760"/>
      <c r="AS263" s="1760"/>
      <c r="AT263" s="1760"/>
      <c r="AU263" s="1760"/>
      <c r="AV263" s="1760"/>
      <c r="AW263" s="1760"/>
      <c r="AX263" s="1760"/>
      <c r="AY263" s="1760"/>
      <c r="AZ263" s="1760"/>
      <c r="BA263" s="1760"/>
      <c r="BB263" s="1760"/>
      <c r="BC263" s="1760"/>
      <c r="BD263" s="1760"/>
      <c r="BE263" s="1760"/>
      <c r="BF263" s="1760"/>
      <c r="BG263" s="1056"/>
    </row>
    <row r="264" spans="1:59" x14ac:dyDescent="0.15">
      <c r="A264" s="1050"/>
      <c r="B264" s="1065"/>
      <c r="C264" s="1747"/>
      <c r="D264" s="1747"/>
      <c r="E264" s="1747"/>
      <c r="F264" s="1747"/>
      <c r="G264" s="1747"/>
      <c r="H264" s="1747"/>
      <c r="I264" s="1747"/>
      <c r="J264" s="1747"/>
      <c r="K264" s="1747"/>
      <c r="L264" s="1747"/>
      <c r="M264" s="1747"/>
      <c r="N264" s="1747"/>
      <c r="O264" s="1747"/>
      <c r="P264" s="1747"/>
      <c r="Q264" s="1747"/>
      <c r="R264" s="1747"/>
      <c r="S264" s="1747"/>
      <c r="T264" s="1747"/>
      <c r="U264" s="1747"/>
      <c r="V264" s="1747"/>
      <c r="W264" s="1747"/>
      <c r="X264" s="1747"/>
      <c r="Y264" s="1747"/>
      <c r="Z264" s="1747"/>
      <c r="AA264" s="1747"/>
      <c r="AB264" s="1747"/>
      <c r="AC264" s="1747"/>
      <c r="AD264" s="1747"/>
      <c r="AE264" s="1747"/>
      <c r="AF264" s="1747"/>
      <c r="AG264" s="1747"/>
      <c r="AH264" s="1747"/>
      <c r="AI264" s="1747"/>
      <c r="AJ264" s="1747"/>
      <c r="AK264" s="1747"/>
      <c r="AL264" s="1747"/>
      <c r="AM264" s="1747"/>
      <c r="AN264" s="1747"/>
      <c r="AO264" s="1747"/>
      <c r="AP264" s="1747"/>
      <c r="AQ264" s="1747"/>
      <c r="AR264" s="1747"/>
      <c r="AS264" s="1747"/>
      <c r="AT264" s="1747"/>
      <c r="AU264" s="1747"/>
      <c r="AV264" s="1747"/>
      <c r="AW264" s="1747"/>
      <c r="AX264" s="1747"/>
      <c r="AY264" s="1747"/>
      <c r="AZ264" s="1747"/>
      <c r="BA264" s="1747"/>
      <c r="BB264" s="1747"/>
      <c r="BC264" s="1747"/>
      <c r="BD264" s="1747"/>
      <c r="BE264" s="1747"/>
      <c r="BF264" s="1747"/>
      <c r="BG264" s="1067"/>
    </row>
    <row r="265" spans="1:59" x14ac:dyDescent="0.15">
      <c r="A265" s="1050"/>
      <c r="B265" s="1050"/>
      <c r="C265" s="1050"/>
      <c r="D265" s="1050"/>
      <c r="E265" s="1050"/>
      <c r="F265" s="1050"/>
      <c r="G265" s="1050"/>
      <c r="H265" s="1050"/>
      <c r="I265" s="1050"/>
      <c r="J265" s="1050"/>
      <c r="K265" s="1050"/>
      <c r="L265" s="1050"/>
      <c r="M265" s="1050"/>
      <c r="N265" s="1050"/>
      <c r="O265" s="1050"/>
      <c r="P265" s="1050"/>
      <c r="Q265" s="1050"/>
      <c r="R265" s="1050"/>
      <c r="S265" s="1050"/>
      <c r="T265" s="1050"/>
      <c r="U265" s="1050"/>
      <c r="V265" s="1050"/>
      <c r="W265" s="1050"/>
      <c r="X265" s="1050"/>
      <c r="Y265" s="1050"/>
      <c r="Z265" s="1050"/>
      <c r="AA265" s="1050"/>
      <c r="AB265" s="1050"/>
      <c r="AC265" s="1050"/>
      <c r="AD265" s="1050"/>
      <c r="AE265" s="1050"/>
      <c r="AF265" s="1050"/>
      <c r="AG265" s="1050"/>
      <c r="AH265" s="1050"/>
      <c r="AI265" s="1050"/>
      <c r="AJ265" s="1050"/>
      <c r="AK265" s="1050"/>
      <c r="AL265" s="1050"/>
      <c r="AM265" s="1050"/>
      <c r="AN265" s="1050"/>
      <c r="AO265" s="1050"/>
      <c r="AP265" s="1050"/>
      <c r="AQ265" s="1050"/>
      <c r="AR265" s="1050"/>
      <c r="AS265" s="1050"/>
      <c r="AT265" s="1050"/>
      <c r="AU265" s="1050"/>
      <c r="AV265" s="1050"/>
      <c r="AW265" s="1050"/>
      <c r="AX265" s="1050"/>
      <c r="AY265" s="1050"/>
      <c r="AZ265" s="1050"/>
      <c r="BA265" s="1050"/>
      <c r="BB265" s="1050"/>
      <c r="BC265" s="1050"/>
      <c r="BD265" s="1050"/>
      <c r="BE265" s="1050"/>
      <c r="BF265" s="1050"/>
      <c r="BG265" s="1050"/>
    </row>
    <row r="266" spans="1:59" x14ac:dyDescent="0.15">
      <c r="A266" s="1050"/>
      <c r="B266" s="1762" t="str">
        <f>+IF(Hitelprog_Rovid="","",Hitelprog_Rovid)</f>
        <v/>
      </c>
      <c r="C266" s="1762"/>
      <c r="D266" s="1762"/>
      <c r="E266" s="1762"/>
      <c r="F266" s="1762"/>
      <c r="G266" s="1762"/>
      <c r="H266" s="1762"/>
      <c r="I266" s="1762"/>
      <c r="J266" s="1762"/>
      <c r="K266" s="1762"/>
      <c r="L266" s="1762"/>
      <c r="M266" s="1762"/>
      <c r="N266" s="1762"/>
      <c r="O266" s="1762"/>
      <c r="P266" s="1762"/>
      <c r="Q266" s="1762"/>
      <c r="R266" s="1762"/>
      <c r="S266" s="1762"/>
      <c r="T266" s="1762"/>
      <c r="U266" s="1762"/>
      <c r="V266" s="1762"/>
      <c r="W266" s="1762"/>
      <c r="X266" s="1762"/>
      <c r="Y266" s="1762"/>
      <c r="Z266" s="1762"/>
      <c r="AA266" s="1762"/>
      <c r="AB266" s="1762"/>
      <c r="AC266" s="1762"/>
      <c r="AD266" s="1762"/>
      <c r="AE266" s="1762"/>
      <c r="AF266" s="1762"/>
      <c r="AG266" s="1762"/>
      <c r="AH266" s="1762"/>
      <c r="AI266" s="1762"/>
      <c r="AJ266" s="1762"/>
      <c r="AK266" s="1762"/>
      <c r="AL266" s="1762"/>
      <c r="AM266" s="1762"/>
      <c r="AN266" s="1762"/>
      <c r="AO266" s="1762"/>
      <c r="AP266" s="1762"/>
      <c r="AQ266" s="1762"/>
      <c r="AR266" s="1762"/>
      <c r="AS266" s="1762"/>
      <c r="AT266" s="1762"/>
      <c r="AU266" s="1762"/>
      <c r="AV266" s="1762"/>
      <c r="AW266" s="1762"/>
      <c r="AX266" s="1762"/>
      <c r="AY266" s="1762"/>
      <c r="AZ266" s="1762"/>
      <c r="BA266" s="1762"/>
      <c r="BB266" s="1762"/>
      <c r="BC266" s="1762"/>
      <c r="BD266" s="1762"/>
      <c r="BE266" s="1762"/>
      <c r="BF266" s="1762"/>
      <c r="BG266" s="1762"/>
    </row>
    <row r="267" spans="1:59" x14ac:dyDescent="0.15">
      <c r="A267" s="1050"/>
      <c r="B267" s="1762"/>
      <c r="C267" s="1762"/>
      <c r="D267" s="1762"/>
      <c r="E267" s="1762"/>
      <c r="F267" s="1762"/>
      <c r="G267" s="1762"/>
      <c r="H267" s="1762"/>
      <c r="I267" s="1762"/>
      <c r="J267" s="1762"/>
      <c r="K267" s="1762"/>
      <c r="L267" s="1762"/>
      <c r="M267" s="1762"/>
      <c r="N267" s="1762"/>
      <c r="O267" s="1762"/>
      <c r="P267" s="1762"/>
      <c r="Q267" s="1762"/>
      <c r="R267" s="1762"/>
      <c r="S267" s="1762"/>
      <c r="T267" s="1762"/>
      <c r="U267" s="1762"/>
      <c r="V267" s="1762"/>
      <c r="W267" s="1762"/>
      <c r="X267" s="1762"/>
      <c r="Y267" s="1762"/>
      <c r="Z267" s="1762"/>
      <c r="AA267" s="1762"/>
      <c r="AB267" s="1762"/>
      <c r="AC267" s="1762"/>
      <c r="AD267" s="1762"/>
      <c r="AE267" s="1762"/>
      <c r="AF267" s="1762"/>
      <c r="AG267" s="1762"/>
      <c r="AH267" s="1762"/>
      <c r="AI267" s="1762"/>
      <c r="AJ267" s="1762"/>
      <c r="AK267" s="1762"/>
      <c r="AL267" s="1762"/>
      <c r="AM267" s="1762"/>
      <c r="AN267" s="1762"/>
      <c r="AO267" s="1762"/>
      <c r="AP267" s="1762"/>
      <c r="AQ267" s="1762"/>
      <c r="AR267" s="1762"/>
      <c r="AS267" s="1762"/>
      <c r="AT267" s="1762"/>
      <c r="AU267" s="1762"/>
      <c r="AV267" s="1762"/>
      <c r="AW267" s="1762"/>
      <c r="AX267" s="1762"/>
      <c r="AY267" s="1762"/>
      <c r="AZ267" s="1762"/>
      <c r="BA267" s="1762"/>
      <c r="BB267" s="1762"/>
      <c r="BC267" s="1762"/>
      <c r="BD267" s="1762"/>
      <c r="BE267" s="1762"/>
      <c r="BF267" s="1762"/>
      <c r="BG267" s="1762"/>
    </row>
    <row r="268" spans="1:59" x14ac:dyDescent="0.15">
      <c r="A268" s="1752"/>
      <c r="B268" s="1752"/>
      <c r="C268" s="1752"/>
      <c r="D268" s="1752"/>
      <c r="E268" s="1050"/>
      <c r="F268" s="1050"/>
      <c r="G268" s="1050"/>
      <c r="H268" s="1050"/>
      <c r="I268" s="1050"/>
      <c r="J268" s="1050"/>
      <c r="K268" s="1050"/>
      <c r="L268" s="1050"/>
      <c r="M268" s="1050"/>
      <c r="N268" s="1050"/>
      <c r="O268" s="1050"/>
      <c r="P268" s="1050"/>
      <c r="Q268" s="1050"/>
      <c r="R268" s="1050"/>
      <c r="S268" s="1050"/>
      <c r="T268" s="1050"/>
      <c r="U268" s="1050"/>
      <c r="V268" s="1050"/>
      <c r="W268" s="1050"/>
      <c r="X268" s="1050"/>
      <c r="Y268" s="1050"/>
      <c r="Z268" s="1050"/>
      <c r="AA268" s="1050"/>
      <c r="AB268" s="1050"/>
      <c r="AC268" s="1050"/>
      <c r="AD268" s="1050"/>
      <c r="AE268" s="1050"/>
      <c r="AF268" s="1050"/>
      <c r="AG268" s="1050"/>
      <c r="AH268" s="1050"/>
      <c r="AI268" s="1050"/>
      <c r="AJ268" s="1050"/>
      <c r="AK268" s="1050"/>
      <c r="AL268" s="1050"/>
      <c r="AM268" s="1050"/>
      <c r="AN268" s="1050"/>
      <c r="AO268" s="1050"/>
      <c r="AP268" s="1050"/>
      <c r="AQ268" s="1050"/>
      <c r="AR268" s="1050"/>
      <c r="AS268" s="1050"/>
      <c r="AT268" s="1050"/>
      <c r="AU268" s="1050"/>
      <c r="AV268" s="1050"/>
      <c r="AW268" s="1050"/>
      <c r="AX268" s="1050"/>
      <c r="AY268" s="1050"/>
      <c r="AZ268" s="1050"/>
      <c r="BA268" s="1050"/>
      <c r="BB268" s="1050"/>
      <c r="BC268" s="1050"/>
      <c r="BD268" s="1050"/>
      <c r="BE268" s="1050"/>
      <c r="BF268" s="1050"/>
      <c r="BG268" s="1050"/>
    </row>
    <row r="269" spans="1:59" ht="15" thickBot="1" x14ac:dyDescent="0.2">
      <c r="A269" s="1752"/>
      <c r="B269" s="1752"/>
      <c r="C269" s="1752"/>
      <c r="D269" s="1752"/>
      <c r="E269" s="1050"/>
      <c r="F269" s="1050"/>
      <c r="G269" s="1050"/>
      <c r="H269" s="1050"/>
      <c r="I269" s="1050"/>
      <c r="J269" s="1050"/>
      <c r="K269" s="1050"/>
      <c r="L269" s="1050"/>
      <c r="M269" s="1050"/>
      <c r="N269" s="1050"/>
      <c r="O269" s="1050"/>
      <c r="P269" s="1050"/>
      <c r="Q269" s="1050"/>
      <c r="R269" s="1050"/>
      <c r="S269" s="1050"/>
      <c r="T269" s="1050"/>
      <c r="U269" s="1050"/>
      <c r="V269" s="1050"/>
      <c r="W269" s="1050"/>
      <c r="X269" s="1050"/>
      <c r="Y269" s="1050"/>
      <c r="Z269" s="1050"/>
      <c r="AA269" s="1050"/>
      <c r="AB269" s="1050"/>
      <c r="AC269" s="1050"/>
      <c r="AD269" s="1050"/>
      <c r="AE269" s="1050"/>
      <c r="AF269" s="1050"/>
      <c r="AG269" s="1050"/>
      <c r="AH269" s="1050"/>
      <c r="AI269" s="1050"/>
      <c r="AJ269" s="1050"/>
      <c r="AK269" s="1050"/>
      <c r="AL269" s="1050"/>
      <c r="AM269" s="1050"/>
      <c r="AN269" s="1050"/>
      <c r="AO269" s="1050"/>
      <c r="AP269" s="1050"/>
      <c r="AQ269" s="1050"/>
      <c r="AR269" s="1050"/>
      <c r="AS269" s="1050"/>
      <c r="AT269" s="1050"/>
      <c r="AU269" s="1050"/>
      <c r="AV269" s="1050"/>
      <c r="AW269" s="1050"/>
      <c r="AX269" s="1050"/>
      <c r="AY269" s="1050"/>
      <c r="AZ269" s="1050"/>
      <c r="BA269" s="1050"/>
      <c r="BB269" s="1050"/>
      <c r="BC269" s="1050"/>
      <c r="BD269" s="1050"/>
      <c r="BE269" s="1050"/>
      <c r="BF269" s="1050"/>
      <c r="BG269" s="1050"/>
    </row>
    <row r="270" spans="1:59" ht="24" customHeight="1" thickBot="1" x14ac:dyDescent="0.2">
      <c r="A270" s="1752"/>
      <c r="B270" s="1752"/>
      <c r="C270" s="1752"/>
      <c r="D270" s="1752"/>
      <c r="E270" s="1050"/>
      <c r="F270" s="1050"/>
      <c r="G270" s="1050"/>
      <c r="H270" s="1050"/>
      <c r="I270" s="1050"/>
      <c r="J270" s="1050"/>
      <c r="K270" s="1050"/>
      <c r="L270" s="1050"/>
      <c r="M270" s="1050"/>
      <c r="N270" s="1050"/>
      <c r="O270" s="1050"/>
      <c r="P270" s="1050"/>
      <c r="Q270" s="1782" t="str">
        <f>+IF(B266="MFB NHP Fix Lízing Refinanszírozási Program","FINANSZÍROZÁSI KATEGÓRIA NYILATKOZAT","TÁMOGATÁSI KATEGÓRIA NYILATKOZAT")</f>
        <v>TÁMOGATÁSI KATEGÓRIA NYILATKOZAT</v>
      </c>
      <c r="R270" s="1783"/>
      <c r="S270" s="1783"/>
      <c r="T270" s="1783"/>
      <c r="U270" s="1783"/>
      <c r="V270" s="1783"/>
      <c r="W270" s="1783"/>
      <c r="X270" s="1783"/>
      <c r="Y270" s="1783"/>
      <c r="Z270" s="1783"/>
      <c r="AA270" s="1783"/>
      <c r="AB270" s="1783"/>
      <c r="AC270" s="1783"/>
      <c r="AD270" s="1783"/>
      <c r="AE270" s="1783"/>
      <c r="AF270" s="1783"/>
      <c r="AG270" s="1783"/>
      <c r="AH270" s="1783"/>
      <c r="AI270" s="1783"/>
      <c r="AJ270" s="1783"/>
      <c r="AK270" s="1783"/>
      <c r="AL270" s="1783"/>
      <c r="AM270" s="1783"/>
      <c r="AN270" s="1783"/>
      <c r="AO270" s="1783"/>
      <c r="AP270" s="1783"/>
      <c r="AQ270" s="1783"/>
      <c r="AR270" s="1783"/>
      <c r="AS270" s="1784"/>
      <c r="AT270" s="1050"/>
      <c r="AU270" s="1050"/>
      <c r="AV270" s="1050"/>
      <c r="AW270" s="1050"/>
      <c r="AX270" s="1050"/>
      <c r="AY270" s="1050"/>
      <c r="AZ270" s="1050"/>
      <c r="BA270" s="1050"/>
      <c r="BB270" s="1050"/>
      <c r="BC270" s="1050"/>
      <c r="BD270" s="1050"/>
      <c r="BE270" s="1050"/>
      <c r="BF270" s="1050"/>
      <c r="BG270" s="1050"/>
    </row>
    <row r="271" spans="1:59" x14ac:dyDescent="0.15">
      <c r="A271" s="1752"/>
      <c r="B271" s="1752"/>
      <c r="C271" s="1752"/>
      <c r="D271" s="1752"/>
      <c r="E271" s="1050"/>
      <c r="F271" s="1050"/>
      <c r="G271" s="1050"/>
      <c r="H271" s="1050"/>
      <c r="I271" s="1050"/>
      <c r="J271" s="1050"/>
      <c r="K271" s="1050"/>
      <c r="L271" s="1050"/>
      <c r="M271" s="1050"/>
      <c r="N271" s="1050"/>
      <c r="O271" s="1050"/>
      <c r="P271" s="1050"/>
      <c r="Q271" s="1050"/>
      <c r="R271" s="1050"/>
      <c r="S271" s="1050"/>
      <c r="T271" s="1050"/>
      <c r="U271" s="1050"/>
      <c r="V271" s="1050"/>
      <c r="W271" s="1050"/>
      <c r="X271" s="1050"/>
      <c r="Y271" s="1050"/>
      <c r="Z271" s="1050"/>
      <c r="AA271" s="1050"/>
      <c r="AB271" s="1050"/>
      <c r="AC271" s="1050"/>
      <c r="AD271" s="1050"/>
      <c r="AE271" s="1050"/>
      <c r="AF271" s="1050"/>
      <c r="AG271" s="1050"/>
      <c r="AH271" s="1050"/>
      <c r="AI271" s="1050"/>
      <c r="AJ271" s="1050"/>
      <c r="AK271" s="1050"/>
      <c r="AL271" s="1050"/>
      <c r="AM271" s="1050"/>
      <c r="AN271" s="1050"/>
      <c r="AO271" s="1050"/>
      <c r="AP271" s="1050"/>
      <c r="AQ271" s="1050"/>
      <c r="AR271" s="1050"/>
      <c r="AS271" s="1050"/>
      <c r="AT271" s="1050"/>
      <c r="AU271" s="1050"/>
      <c r="AV271" s="1050"/>
      <c r="AW271" s="1050"/>
      <c r="AX271" s="1050"/>
      <c r="AY271" s="1050"/>
      <c r="AZ271" s="1050"/>
      <c r="BA271" s="1050"/>
      <c r="BB271" s="1050"/>
      <c r="BC271" s="1050"/>
      <c r="BD271" s="1050"/>
      <c r="BE271" s="1050"/>
      <c r="BF271" s="1050"/>
      <c r="BG271" s="1050"/>
    </row>
    <row r="272" spans="1:59" x14ac:dyDescent="0.15">
      <c r="A272" s="1052"/>
      <c r="B272" s="1753" t="s">
        <v>841</v>
      </c>
      <c r="C272" s="1754"/>
      <c r="D272" s="1754"/>
      <c r="E272" s="1754"/>
      <c r="F272" s="1754"/>
      <c r="G272" s="1754"/>
      <c r="H272" s="1754"/>
      <c r="I272" s="1754"/>
      <c r="J272" s="1754"/>
      <c r="K272" s="1754"/>
      <c r="L272" s="1754"/>
      <c r="M272" s="1754"/>
      <c r="N272" s="1754"/>
      <c r="O272" s="1754"/>
      <c r="P272" s="1754"/>
      <c r="Q272" s="1754"/>
      <c r="R272" s="1754"/>
      <c r="S272" s="1754"/>
      <c r="T272" s="1754"/>
      <c r="U272" s="1754"/>
      <c r="V272" s="1754"/>
      <c r="W272" s="1754"/>
      <c r="X272" s="1754"/>
      <c r="Y272" s="1754"/>
      <c r="Z272" s="1754"/>
      <c r="AA272" s="1754"/>
      <c r="AB272" s="1754"/>
      <c r="AC272" s="1754"/>
      <c r="AD272" s="1754"/>
      <c r="AE272" s="1754"/>
      <c r="AF272" s="1754"/>
      <c r="AG272" s="1754"/>
      <c r="AH272" s="1754"/>
      <c r="AI272" s="1754"/>
      <c r="AJ272" s="1754"/>
      <c r="AK272" s="1754"/>
      <c r="AL272" s="1754"/>
      <c r="AM272" s="1754"/>
      <c r="AN272" s="1754"/>
      <c r="AO272" s="1754"/>
      <c r="AP272" s="1754"/>
      <c r="AQ272" s="1754"/>
      <c r="AR272" s="1754"/>
      <c r="AS272" s="1754"/>
      <c r="AT272" s="1754"/>
      <c r="AU272" s="1754"/>
      <c r="AV272" s="1754"/>
      <c r="AW272" s="1754"/>
      <c r="AX272" s="1754"/>
      <c r="AY272" s="1754"/>
      <c r="AZ272" s="1754"/>
      <c r="BA272" s="1754"/>
      <c r="BB272" s="1754"/>
      <c r="BC272" s="1754"/>
      <c r="BD272" s="1754"/>
      <c r="BE272" s="1754"/>
      <c r="BF272" s="1754"/>
      <c r="BG272" s="1755"/>
    </row>
    <row r="273" spans="1:59" ht="15" thickBot="1" x14ac:dyDescent="0.2">
      <c r="A273" s="1052"/>
      <c r="B273" s="1053"/>
      <c r="C273" s="1054"/>
      <c r="D273" s="1054"/>
      <c r="E273" s="1055"/>
      <c r="F273" s="1055"/>
      <c r="G273" s="1055"/>
      <c r="H273" s="1055"/>
      <c r="I273" s="1055"/>
      <c r="J273" s="1055"/>
      <c r="K273" s="1055"/>
      <c r="L273" s="1055"/>
      <c r="M273" s="1055"/>
      <c r="N273" s="1055"/>
      <c r="O273" s="1055"/>
      <c r="P273" s="1055"/>
      <c r="Q273" s="1055"/>
      <c r="R273" s="1055"/>
      <c r="S273" s="1055"/>
      <c r="T273" s="1055"/>
      <c r="U273" s="1055"/>
      <c r="V273" s="1055"/>
      <c r="W273" s="1055"/>
      <c r="X273" s="1055"/>
      <c r="Y273" s="1055"/>
      <c r="Z273" s="1055"/>
      <c r="AA273" s="1055"/>
      <c r="AB273" s="1055"/>
      <c r="AC273" s="1055"/>
      <c r="AD273" s="1055"/>
      <c r="AE273" s="1055"/>
      <c r="AF273" s="1055"/>
      <c r="AG273" s="1055"/>
      <c r="AH273" s="1055"/>
      <c r="AI273" s="1055"/>
      <c r="AJ273" s="1055"/>
      <c r="AK273" s="1055"/>
      <c r="AL273" s="1055"/>
      <c r="AM273" s="1055"/>
      <c r="AN273" s="1055"/>
      <c r="AO273" s="1055"/>
      <c r="AP273" s="1055"/>
      <c r="AQ273" s="1055"/>
      <c r="AR273" s="1055"/>
      <c r="AS273" s="1055"/>
      <c r="AT273" s="1055"/>
      <c r="AU273" s="1055"/>
      <c r="AV273" s="1055"/>
      <c r="AW273" s="1055"/>
      <c r="AX273" s="1055"/>
      <c r="AY273" s="1055"/>
      <c r="AZ273" s="1055"/>
      <c r="BA273" s="1055"/>
      <c r="BB273" s="1055"/>
      <c r="BC273" s="1055"/>
      <c r="BD273" s="1055"/>
      <c r="BE273" s="1055"/>
      <c r="BF273" s="1055"/>
      <c r="BG273" s="1056"/>
    </row>
    <row r="274" spans="1:59" ht="15" thickBot="1" x14ac:dyDescent="0.2">
      <c r="A274" s="1052"/>
      <c r="B274" s="1053"/>
      <c r="C274" s="1756" t="str">
        <f>+IF(Ugyfelnyil="","",Ugyfelnyil)</f>
        <v/>
      </c>
      <c r="D274" s="1757"/>
      <c r="E274" s="1757"/>
      <c r="F274" s="1757"/>
      <c r="G274" s="1757"/>
      <c r="H274" s="1757"/>
      <c r="I274" s="1757"/>
      <c r="J274" s="1757"/>
      <c r="K274" s="1757"/>
      <c r="L274" s="1757"/>
      <c r="M274" s="1757"/>
      <c r="N274" s="1757"/>
      <c r="O274" s="1757"/>
      <c r="P274" s="1757"/>
      <c r="Q274" s="1757"/>
      <c r="R274" s="1757"/>
      <c r="S274" s="1757"/>
      <c r="T274" s="1757"/>
      <c r="U274" s="1757"/>
      <c r="V274" s="1757"/>
      <c r="W274" s="1757"/>
      <c r="X274" s="1757"/>
      <c r="Y274" s="1757"/>
      <c r="Z274" s="1757"/>
      <c r="AA274" s="1757"/>
      <c r="AB274" s="1757"/>
      <c r="AC274" s="1757"/>
      <c r="AD274" s="1757"/>
      <c r="AE274" s="1757"/>
      <c r="AF274" s="1757"/>
      <c r="AG274" s="1757"/>
      <c r="AH274" s="1757"/>
      <c r="AI274" s="1757"/>
      <c r="AJ274" s="1757"/>
      <c r="AK274" s="1757"/>
      <c r="AL274" s="1757"/>
      <c r="AM274" s="1757"/>
      <c r="AN274" s="1757"/>
      <c r="AO274" s="1757"/>
      <c r="AP274" s="1757"/>
      <c r="AQ274" s="1757"/>
      <c r="AR274" s="1757"/>
      <c r="AS274" s="1757"/>
      <c r="AT274" s="1757"/>
      <c r="AU274" s="1757"/>
      <c r="AV274" s="1757"/>
      <c r="AW274" s="1757"/>
      <c r="AX274" s="1757"/>
      <c r="AY274" s="1757"/>
      <c r="AZ274" s="1757"/>
      <c r="BA274" s="1757"/>
      <c r="BB274" s="1757"/>
      <c r="BC274" s="1757"/>
      <c r="BD274" s="1757"/>
      <c r="BE274" s="1757"/>
      <c r="BF274" s="1758"/>
      <c r="BG274" s="1056"/>
    </row>
    <row r="275" spans="1:59" x14ac:dyDescent="0.15">
      <c r="A275" s="1052"/>
      <c r="B275" s="1053"/>
      <c r="C275" s="1054"/>
      <c r="D275" s="1057" t="s">
        <v>370</v>
      </c>
      <c r="E275" s="1055"/>
      <c r="F275" s="1055"/>
      <c r="G275" s="1055"/>
      <c r="H275" s="1055"/>
      <c r="I275" s="1055"/>
      <c r="J275" s="1055"/>
      <c r="K275" s="1055"/>
      <c r="L275" s="1055"/>
      <c r="M275" s="1055"/>
      <c r="N275" s="1055"/>
      <c r="O275" s="1055"/>
      <c r="P275" s="1055"/>
      <c r="Q275" s="1055"/>
      <c r="R275" s="1055"/>
      <c r="S275" s="1055"/>
      <c r="T275" s="1055"/>
      <c r="U275" s="1055"/>
      <c r="V275" s="1055"/>
      <c r="W275" s="1055"/>
      <c r="X275" s="1055"/>
      <c r="Y275" s="1055"/>
      <c r="Z275" s="1055"/>
      <c r="AA275" s="1055"/>
      <c r="AB275" s="1055"/>
      <c r="AC275" s="1055"/>
      <c r="AD275" s="1055"/>
      <c r="AE275" s="1055"/>
      <c r="AF275" s="1055"/>
      <c r="AG275" s="1055"/>
      <c r="AH275" s="1055"/>
      <c r="AI275" s="1055"/>
      <c r="AJ275" s="1055"/>
      <c r="AK275" s="1055"/>
      <c r="AL275" s="1055"/>
      <c r="AM275" s="1055"/>
      <c r="AN275" s="1055"/>
      <c r="AO275" s="1055"/>
      <c r="AP275" s="1055"/>
      <c r="AQ275" s="1055"/>
      <c r="AR275" s="1055"/>
      <c r="AS275" s="1055"/>
      <c r="AT275" s="1055"/>
      <c r="AU275" s="1055"/>
      <c r="AV275" s="1055"/>
      <c r="AW275" s="1055"/>
      <c r="AX275" s="1055"/>
      <c r="AY275" s="1055"/>
      <c r="AZ275" s="1055"/>
      <c r="BA275" s="1055"/>
      <c r="BB275" s="1055"/>
      <c r="BC275" s="1055"/>
      <c r="BD275" s="1055"/>
      <c r="BE275" s="1055"/>
      <c r="BF275" s="1055"/>
      <c r="BG275" s="1056"/>
    </row>
    <row r="276" spans="1:59" ht="15" thickBot="1" x14ac:dyDescent="0.2">
      <c r="A276" s="1052"/>
      <c r="B276" s="1053"/>
      <c r="C276" s="1054"/>
      <c r="D276" s="1054"/>
      <c r="E276" s="1055"/>
      <c r="F276" s="1055"/>
      <c r="G276" s="1055"/>
      <c r="H276" s="1055"/>
      <c r="I276" s="1055"/>
      <c r="J276" s="1055"/>
      <c r="K276" s="1055"/>
      <c r="L276" s="1055"/>
      <c r="M276" s="1055"/>
      <c r="N276" s="1055"/>
      <c r="O276" s="1055"/>
      <c r="P276" s="1055"/>
      <c r="Q276" s="1055"/>
      <c r="R276" s="1055"/>
      <c r="S276" s="1055"/>
      <c r="T276" s="1055"/>
      <c r="U276" s="1055"/>
      <c r="V276" s="1055"/>
      <c r="W276" s="1055"/>
      <c r="X276" s="1055"/>
      <c r="Y276" s="1055"/>
      <c r="Z276" s="1055"/>
      <c r="AA276" s="1055"/>
      <c r="AB276" s="1055"/>
      <c r="AC276" s="1055"/>
      <c r="AD276" s="1055"/>
      <c r="AE276" s="1055"/>
      <c r="AF276" s="1055"/>
      <c r="AG276" s="1055"/>
      <c r="AH276" s="1055"/>
      <c r="AI276" s="1055"/>
      <c r="AJ276" s="1055"/>
      <c r="AK276" s="1055"/>
      <c r="AL276" s="1055"/>
      <c r="AM276" s="1055"/>
      <c r="AN276" s="1055"/>
      <c r="AO276" s="1055"/>
      <c r="AP276" s="1055"/>
      <c r="AQ276" s="1055"/>
      <c r="AR276" s="1055"/>
      <c r="AS276" s="1055"/>
      <c r="AT276" s="1055"/>
      <c r="AU276" s="1055"/>
      <c r="AV276" s="1055"/>
      <c r="AW276" s="1055"/>
      <c r="AX276" s="1055"/>
      <c r="AY276" s="1055"/>
      <c r="AZ276" s="1055"/>
      <c r="BA276" s="1055"/>
      <c r="BB276" s="1055"/>
      <c r="BC276" s="1055"/>
      <c r="BD276" s="1055"/>
      <c r="BE276" s="1055"/>
      <c r="BF276" s="1055"/>
      <c r="BG276" s="1056"/>
    </row>
    <row r="277" spans="1:59" ht="15" thickBot="1" x14ac:dyDescent="0.2">
      <c r="A277" s="1052"/>
      <c r="B277" s="1053"/>
      <c r="C277" s="1763" t="str">
        <f>+IF(anyanyil="","",anyanyil)</f>
        <v/>
      </c>
      <c r="D277" s="1764"/>
      <c r="E277" s="1764"/>
      <c r="F277" s="1764"/>
      <c r="G277" s="1764"/>
      <c r="H277" s="1764"/>
      <c r="I277" s="1764"/>
      <c r="J277" s="1764"/>
      <c r="K277" s="1764"/>
      <c r="L277" s="1764"/>
      <c r="M277" s="1764"/>
      <c r="N277" s="1764"/>
      <c r="O277" s="1764"/>
      <c r="P277" s="1764"/>
      <c r="Q277" s="1764"/>
      <c r="R277" s="1764"/>
      <c r="S277" s="1764"/>
      <c r="T277" s="1765"/>
      <c r="U277" s="1055"/>
      <c r="V277" s="1055"/>
      <c r="W277" s="1055"/>
      <c r="X277" s="1763" t="str">
        <f>+IF(szülnyil="","",szülnyil)</f>
        <v/>
      </c>
      <c r="Y277" s="1764"/>
      <c r="Z277" s="1764"/>
      <c r="AA277" s="1764"/>
      <c r="AB277" s="1764"/>
      <c r="AC277" s="1764"/>
      <c r="AD277" s="1764"/>
      <c r="AE277" s="1764"/>
      <c r="AF277" s="1764"/>
      <c r="AG277" s="1764"/>
      <c r="AH277" s="1764"/>
      <c r="AI277" s="1764"/>
      <c r="AJ277" s="1764"/>
      <c r="AK277" s="1764"/>
      <c r="AL277" s="1764"/>
      <c r="AM277" s="1764"/>
      <c r="AN277" s="1765"/>
      <c r="AO277" s="1054"/>
      <c r="AP277" s="1054"/>
      <c r="AQ277" s="1055"/>
      <c r="AR277" s="1763" t="str">
        <f>+IF(szülidonyil="","",szülidonyil)</f>
        <v/>
      </c>
      <c r="AS277" s="1764"/>
      <c r="AT277" s="1764"/>
      <c r="AU277" s="1764"/>
      <c r="AV277" s="1764"/>
      <c r="AW277" s="1764"/>
      <c r="AX277" s="1764"/>
      <c r="AY277" s="1764"/>
      <c r="AZ277" s="1764"/>
      <c r="BA277" s="1764"/>
      <c r="BB277" s="1764"/>
      <c r="BC277" s="1764"/>
      <c r="BD277" s="1765"/>
      <c r="BE277" s="1055"/>
      <c r="BF277" s="1055"/>
      <c r="BG277" s="1056"/>
    </row>
    <row r="278" spans="1:59" x14ac:dyDescent="0.15">
      <c r="A278" s="1052"/>
      <c r="B278" s="1053"/>
      <c r="C278" s="1054" t="s">
        <v>581</v>
      </c>
      <c r="D278" s="1054"/>
      <c r="E278" s="1055"/>
      <c r="F278" s="1055"/>
      <c r="G278" s="1055"/>
      <c r="H278" s="1055"/>
      <c r="I278" s="1055"/>
      <c r="J278" s="1055"/>
      <c r="K278" s="1055"/>
      <c r="L278" s="1055"/>
      <c r="M278" s="1055"/>
      <c r="N278" s="1055"/>
      <c r="O278" s="1055"/>
      <c r="P278" s="1055"/>
      <c r="Q278" s="1055"/>
      <c r="R278" s="1055"/>
      <c r="S278" s="1055"/>
      <c r="T278" s="1055"/>
      <c r="U278" s="1055"/>
      <c r="V278" s="1055"/>
      <c r="W278" s="1055"/>
      <c r="X278" s="1055" t="s">
        <v>582</v>
      </c>
      <c r="Y278" s="1055"/>
      <c r="Z278" s="1055"/>
      <c r="AA278" s="1055"/>
      <c r="AB278" s="1055"/>
      <c r="AC278" s="1055"/>
      <c r="AD278" s="1055"/>
      <c r="AE278" s="1055"/>
      <c r="AF278" s="1055"/>
      <c r="AG278" s="1055"/>
      <c r="AH278" s="1055"/>
      <c r="AI278" s="1055"/>
      <c r="AJ278" s="1055"/>
      <c r="AK278" s="1055"/>
      <c r="AL278" s="1055"/>
      <c r="AM278" s="1055"/>
      <c r="AN278" s="1055"/>
      <c r="AO278" s="1055"/>
      <c r="AP278" s="1055"/>
      <c r="AQ278" s="1055"/>
      <c r="AR278" s="1055" t="s">
        <v>583</v>
      </c>
      <c r="AS278" s="1055"/>
      <c r="AT278" s="1055"/>
      <c r="AU278" s="1055"/>
      <c r="AV278" s="1055"/>
      <c r="AW278" s="1055"/>
      <c r="AX278" s="1055"/>
      <c r="AY278" s="1055"/>
      <c r="AZ278" s="1055"/>
      <c r="BA278" s="1055"/>
      <c r="BB278" s="1055"/>
      <c r="BC278" s="1055"/>
      <c r="BD278" s="1055"/>
      <c r="BE278" s="1055"/>
      <c r="BF278" s="1055"/>
      <c r="BG278" s="1056"/>
    </row>
    <row r="279" spans="1:59" ht="15" thickBot="1" x14ac:dyDescent="0.2">
      <c r="A279" s="1052"/>
      <c r="B279" s="1053"/>
      <c r="C279" s="1054"/>
      <c r="D279" s="1054"/>
      <c r="E279" s="1055"/>
      <c r="F279" s="1055"/>
      <c r="G279" s="1055"/>
      <c r="H279" s="1055"/>
      <c r="I279" s="1055"/>
      <c r="J279" s="1055"/>
      <c r="K279" s="1055"/>
      <c r="L279" s="1055"/>
      <c r="M279" s="1055"/>
      <c r="N279" s="1055"/>
      <c r="O279" s="1055"/>
      <c r="P279" s="1055"/>
      <c r="Q279" s="1055"/>
      <c r="R279" s="1055"/>
      <c r="S279" s="1055"/>
      <c r="T279" s="1055"/>
      <c r="U279" s="1055"/>
      <c r="V279" s="1055"/>
      <c r="W279" s="1055"/>
      <c r="X279" s="1055"/>
      <c r="Y279" s="1055"/>
      <c r="Z279" s="1055"/>
      <c r="AA279" s="1055"/>
      <c r="AB279" s="1055"/>
      <c r="AC279" s="1055"/>
      <c r="AD279" s="1055"/>
      <c r="AE279" s="1055"/>
      <c r="AF279" s="1055"/>
      <c r="AG279" s="1055"/>
      <c r="AH279" s="1055"/>
      <c r="AI279" s="1055"/>
      <c r="AJ279" s="1055"/>
      <c r="AK279" s="1055"/>
      <c r="AL279" s="1055"/>
      <c r="AM279" s="1055"/>
      <c r="AN279" s="1055"/>
      <c r="AO279" s="1055"/>
      <c r="AP279" s="1055"/>
      <c r="AQ279" s="1055"/>
      <c r="AR279" s="1055"/>
      <c r="AS279" s="1055"/>
      <c r="AT279" s="1055"/>
      <c r="AU279" s="1055"/>
      <c r="AV279" s="1055"/>
      <c r="AW279" s="1055"/>
      <c r="AX279" s="1055"/>
      <c r="AY279" s="1055"/>
      <c r="AZ279" s="1055"/>
      <c r="BA279" s="1055"/>
      <c r="BB279" s="1055"/>
      <c r="BC279" s="1055"/>
      <c r="BD279" s="1055"/>
      <c r="BE279" s="1055"/>
      <c r="BF279" s="1055"/>
      <c r="BG279" s="1056"/>
    </row>
    <row r="280" spans="1:59" ht="15" thickBot="1" x14ac:dyDescent="0.2">
      <c r="A280" s="1052"/>
      <c r="B280" s="1053"/>
      <c r="C280" s="1054"/>
      <c r="D280" s="1054"/>
      <c r="E280" s="1055"/>
      <c r="F280" s="1055"/>
      <c r="G280" s="1055"/>
      <c r="H280" s="1055"/>
      <c r="I280" s="1055"/>
      <c r="J280" s="1055"/>
      <c r="K280" s="1055"/>
      <c r="L280" s="1055"/>
      <c r="M280" s="1055"/>
      <c r="N280" s="1055"/>
      <c r="O280" s="1055"/>
      <c r="P280" s="1763" t="str">
        <f>+IF(orszagnyil="","",orszagnyil)</f>
        <v>HU</v>
      </c>
      <c r="Q280" s="1764"/>
      <c r="R280" s="1764"/>
      <c r="S280" s="1765"/>
      <c r="T280" s="1055"/>
      <c r="U280" s="1055"/>
      <c r="V280" s="1055"/>
      <c r="W280" s="1055"/>
      <c r="X280" s="1055"/>
      <c r="Y280" s="1055"/>
      <c r="Z280" s="1055"/>
      <c r="AA280" s="1055"/>
      <c r="AB280" s="1055"/>
      <c r="AC280" s="1055"/>
      <c r="AD280" s="1055"/>
      <c r="AE280" s="1055"/>
      <c r="AF280" s="1055"/>
      <c r="AG280" s="1055"/>
      <c r="AH280" s="1055"/>
      <c r="AI280" s="1055"/>
      <c r="AJ280" s="1055"/>
      <c r="AK280" s="1055"/>
      <c r="AL280" s="1055"/>
      <c r="AM280" s="1055"/>
      <c r="AN280" s="1055"/>
      <c r="AO280" s="1055"/>
      <c r="AP280" s="1055"/>
      <c r="AQ280" s="1055"/>
      <c r="AR280" s="1055"/>
      <c r="AS280" s="1055"/>
      <c r="AT280" s="1055"/>
      <c r="AU280" s="1055"/>
      <c r="AV280" s="1055"/>
      <c r="AW280" s="1055"/>
      <c r="AX280" s="1055"/>
      <c r="AY280" s="1055"/>
      <c r="AZ280" s="1055"/>
      <c r="BA280" s="1055"/>
      <c r="BB280" s="1055"/>
      <c r="BC280" s="1055"/>
      <c r="BD280" s="1055"/>
      <c r="BE280" s="1055"/>
      <c r="BF280" s="1055"/>
      <c r="BG280" s="1056"/>
    </row>
    <row r="281" spans="1:59" ht="15" thickBot="1" x14ac:dyDescent="0.2">
      <c r="A281" s="1052"/>
      <c r="B281" s="1053"/>
      <c r="C281" s="1054"/>
      <c r="D281" s="1769" t="s">
        <v>584</v>
      </c>
      <c r="E281" s="1769"/>
      <c r="F281" s="1769"/>
      <c r="G281" s="1769"/>
      <c r="H281" s="1769"/>
      <c r="I281" s="1769"/>
      <c r="J281" s="1769"/>
      <c r="K281" s="1769"/>
      <c r="L281" s="1769"/>
      <c r="M281" s="1769"/>
      <c r="N281" s="1769"/>
      <c r="O281" s="1058"/>
      <c r="P281" s="1058" t="s">
        <v>297</v>
      </c>
      <c r="Q281" s="1058"/>
      <c r="R281" s="1058"/>
      <c r="S281" s="1057"/>
      <c r="T281" s="1058"/>
      <c r="U281" s="1058"/>
      <c r="V281" s="1057"/>
      <c r="W281" s="1057"/>
      <c r="X281" s="1057"/>
      <c r="Y281" s="1057"/>
      <c r="Z281" s="1057"/>
      <c r="AA281" s="1057"/>
      <c r="AB281" s="1057"/>
      <c r="AC281" s="1057"/>
      <c r="AD281" s="1057"/>
      <c r="AE281" s="1057"/>
      <c r="AF281" s="1057"/>
      <c r="AG281" s="1057"/>
      <c r="AH281" s="1057"/>
      <c r="AI281" s="1057"/>
      <c r="AJ281" s="1057"/>
      <c r="AK281" s="1057"/>
      <c r="AL281" s="1057"/>
      <c r="AM281" s="1057"/>
      <c r="AN281" s="1057"/>
      <c r="AO281" s="1057"/>
      <c r="AP281" s="1057"/>
      <c r="AQ281" s="1057"/>
      <c r="AR281" s="1057"/>
      <c r="AS281" s="1057"/>
      <c r="AT281" s="1057"/>
      <c r="AU281" s="1057"/>
      <c r="AV281" s="1057"/>
      <c r="AW281" s="1057"/>
      <c r="AX281" s="1057"/>
      <c r="AY281" s="1057"/>
      <c r="AZ281" s="1057"/>
      <c r="BA281" s="1057"/>
      <c r="BB281" s="1057"/>
      <c r="BC281" s="1057"/>
      <c r="BD281" s="1057"/>
      <c r="BE281" s="1057"/>
      <c r="BF281" s="1057"/>
      <c r="BG281" s="1056"/>
    </row>
    <row r="282" spans="1:59" ht="15" thickBot="1" x14ac:dyDescent="0.2">
      <c r="A282" s="1052"/>
      <c r="B282" s="1053"/>
      <c r="C282" s="1054"/>
      <c r="D282" s="1769"/>
      <c r="E282" s="1769"/>
      <c r="F282" s="1769"/>
      <c r="G282" s="1769"/>
      <c r="H282" s="1769"/>
      <c r="I282" s="1769"/>
      <c r="J282" s="1769"/>
      <c r="K282" s="1769"/>
      <c r="L282" s="1769"/>
      <c r="M282" s="1769"/>
      <c r="N282" s="1769"/>
      <c r="O282" s="1059"/>
      <c r="P282" s="1770" t="str">
        <f>+IF(irszamnyil="","",irszamnyil)</f>
        <v/>
      </c>
      <c r="Q282" s="1771"/>
      <c r="R282" s="1771"/>
      <c r="S282" s="1772"/>
      <c r="T282" s="1057"/>
      <c r="U282" s="1773" t="str">
        <f>+IF(helysegnyil="","",helysegnyil)</f>
        <v/>
      </c>
      <c r="V282" s="1774"/>
      <c r="W282" s="1774"/>
      <c r="X282" s="1774"/>
      <c r="Y282" s="1774"/>
      <c r="Z282" s="1774"/>
      <c r="AA282" s="1774"/>
      <c r="AB282" s="1774"/>
      <c r="AC282" s="1774"/>
      <c r="AD282" s="1774"/>
      <c r="AE282" s="1774"/>
      <c r="AF282" s="1774"/>
      <c r="AG282" s="1774"/>
      <c r="AH282" s="1774"/>
      <c r="AI282" s="1774"/>
      <c r="AJ282" s="1774"/>
      <c r="AK282" s="1774"/>
      <c r="AL282" s="1774"/>
      <c r="AM282" s="1774"/>
      <c r="AN282" s="1774"/>
      <c r="AO282" s="1774"/>
      <c r="AP282" s="1774"/>
      <c r="AQ282" s="1774"/>
      <c r="AR282" s="1774"/>
      <c r="AS282" s="1774"/>
      <c r="AT282" s="1774"/>
      <c r="AU282" s="1774"/>
      <c r="AV282" s="1774"/>
      <c r="AW282" s="1774"/>
      <c r="AX282" s="1774"/>
      <c r="AY282" s="1775"/>
      <c r="AZ282" s="1057"/>
      <c r="BA282" s="1770" t="str">
        <f>+IF(postafioknyil="","",postafioknyil)</f>
        <v/>
      </c>
      <c r="BB282" s="1771"/>
      <c r="BC282" s="1771"/>
      <c r="BD282" s="1771"/>
      <c r="BE282" s="1771"/>
      <c r="BF282" s="1772"/>
      <c r="BG282" s="1056"/>
    </row>
    <row r="283" spans="1:59" x14ac:dyDescent="0.15">
      <c r="A283" s="1052"/>
      <c r="B283" s="1053"/>
      <c r="C283" s="1054"/>
      <c r="D283" s="1769"/>
      <c r="E283" s="1769"/>
      <c r="F283" s="1769"/>
      <c r="G283" s="1769"/>
      <c r="H283" s="1769"/>
      <c r="I283" s="1769"/>
      <c r="J283" s="1769"/>
      <c r="K283" s="1769"/>
      <c r="L283" s="1769"/>
      <c r="M283" s="1769"/>
      <c r="N283" s="1769"/>
      <c r="O283" s="1057"/>
      <c r="P283" s="1057" t="s">
        <v>146</v>
      </c>
      <c r="Q283" s="1057"/>
      <c r="R283" s="1057"/>
      <c r="S283" s="1057"/>
      <c r="T283" s="1057"/>
      <c r="U283" s="1057" t="s">
        <v>147</v>
      </c>
      <c r="V283" s="1057"/>
      <c r="W283" s="1057"/>
      <c r="X283" s="1057"/>
      <c r="Y283" s="1057"/>
      <c r="Z283" s="1057"/>
      <c r="AA283" s="1057"/>
      <c r="AB283" s="1057"/>
      <c r="AC283" s="1057"/>
      <c r="AD283" s="1057"/>
      <c r="AE283" s="1057"/>
      <c r="AF283" s="1057"/>
      <c r="AG283" s="1057"/>
      <c r="AH283" s="1057"/>
      <c r="AI283" s="1057"/>
      <c r="AJ283" s="1057"/>
      <c r="AK283" s="1057"/>
      <c r="AL283" s="1057"/>
      <c r="AM283" s="1057"/>
      <c r="AN283" s="1057"/>
      <c r="AO283" s="1057"/>
      <c r="AP283" s="1057"/>
      <c r="AQ283" s="1057"/>
      <c r="AR283" s="1057"/>
      <c r="AS283" s="1057"/>
      <c r="AT283" s="1057"/>
      <c r="AU283" s="1057"/>
      <c r="AV283" s="1057"/>
      <c r="AW283" s="1057"/>
      <c r="AX283" s="1057"/>
      <c r="AY283" s="1057"/>
      <c r="AZ283" s="1057"/>
      <c r="BA283" s="1057" t="s">
        <v>148</v>
      </c>
      <c r="BB283" s="1057"/>
      <c r="BC283" s="1057"/>
      <c r="BD283" s="1057"/>
      <c r="BE283" s="1057"/>
      <c r="BF283" s="1057"/>
      <c r="BG283" s="1056"/>
    </row>
    <row r="284" spans="1:59" ht="15" thickBot="1" x14ac:dyDescent="0.2">
      <c r="A284" s="1052"/>
      <c r="B284" s="1053"/>
      <c r="C284" s="1054"/>
      <c r="D284" s="1060"/>
      <c r="E284" s="1060"/>
      <c r="F284" s="1060"/>
      <c r="G284" s="1060"/>
      <c r="H284" s="1060"/>
      <c r="I284" s="1060"/>
      <c r="J284" s="1060"/>
      <c r="K284" s="1060"/>
      <c r="L284" s="1060"/>
      <c r="M284" s="1060"/>
      <c r="N284" s="1060"/>
      <c r="O284" s="1061"/>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AU284" s="1057"/>
      <c r="AV284" s="1057"/>
      <c r="AW284" s="1057"/>
      <c r="AX284" s="1057"/>
      <c r="AY284" s="1057"/>
      <c r="AZ284" s="1057"/>
      <c r="BA284" s="1057"/>
      <c r="BB284" s="1057"/>
      <c r="BC284" s="1057"/>
      <c r="BD284" s="1057"/>
      <c r="BE284" s="1057"/>
      <c r="BF284" s="1057"/>
      <c r="BG284" s="1056"/>
    </row>
    <row r="285" spans="1:59" ht="15" thickBot="1" x14ac:dyDescent="0.2">
      <c r="A285" s="1052"/>
      <c r="B285" s="1053"/>
      <c r="C285" s="1054"/>
      <c r="D285" s="1770" t="str">
        <f>+IF(kozternevenyil="","",kozternevenyil)</f>
        <v/>
      </c>
      <c r="E285" s="1771"/>
      <c r="F285" s="1771"/>
      <c r="G285" s="1771"/>
      <c r="H285" s="1771"/>
      <c r="I285" s="1771"/>
      <c r="J285" s="1771"/>
      <c r="K285" s="1771"/>
      <c r="L285" s="1771"/>
      <c r="M285" s="1771"/>
      <c r="N285" s="1771"/>
      <c r="O285" s="1771"/>
      <c r="P285" s="1771"/>
      <c r="Q285" s="1771"/>
      <c r="R285" s="1771"/>
      <c r="S285" s="1771"/>
      <c r="T285" s="1771"/>
      <c r="U285" s="1771"/>
      <c r="V285" s="1771"/>
      <c r="W285" s="1771"/>
      <c r="X285" s="1771"/>
      <c r="Y285" s="1771"/>
      <c r="Z285" s="1771"/>
      <c r="AA285" s="1771"/>
      <c r="AB285" s="1771"/>
      <c r="AC285" s="1772"/>
      <c r="AD285" s="1062"/>
      <c r="AE285" s="1063"/>
      <c r="AF285" s="1770" t="str">
        <f>+IF(jellegnyil="","",jellegnyil)</f>
        <v>legördülő cella</v>
      </c>
      <c r="AG285" s="1771"/>
      <c r="AH285" s="1771"/>
      <c r="AI285" s="1771"/>
      <c r="AJ285" s="1771"/>
      <c r="AK285" s="1771"/>
      <c r="AL285" s="1771"/>
      <c r="AM285" s="1771"/>
      <c r="AN285" s="1771"/>
      <c r="AO285" s="1771"/>
      <c r="AP285" s="1772"/>
      <c r="AQ285" s="1062"/>
      <c r="AR285" s="1059"/>
      <c r="AS285" s="1059"/>
      <c r="AT285" s="1059"/>
      <c r="AU285" s="1059"/>
      <c r="AV285" s="1059"/>
      <c r="AW285" s="1059"/>
      <c r="AX285" s="1776" t="str">
        <f>+IF(ajtonyil="","",ajtonyil)</f>
        <v/>
      </c>
      <c r="AY285" s="1777"/>
      <c r="AZ285" s="1777"/>
      <c r="BA285" s="1777"/>
      <c r="BB285" s="1777"/>
      <c r="BC285" s="1777"/>
      <c r="BD285" s="1777"/>
      <c r="BE285" s="1777"/>
      <c r="BF285" s="1778"/>
      <c r="BG285" s="1056"/>
    </row>
    <row r="286" spans="1:59" x14ac:dyDescent="0.15">
      <c r="A286" s="1052"/>
      <c r="B286" s="1053"/>
      <c r="C286" s="1054"/>
      <c r="D286" s="1057" t="s">
        <v>149</v>
      </c>
      <c r="E286" s="1057"/>
      <c r="F286" s="1057"/>
      <c r="G286" s="1057"/>
      <c r="H286" s="1057"/>
      <c r="I286" s="1057"/>
      <c r="J286" s="1057"/>
      <c r="K286" s="1057"/>
      <c r="L286" s="1057"/>
      <c r="M286" s="1057"/>
      <c r="N286" s="1057"/>
      <c r="O286" s="1057"/>
      <c r="P286" s="1057"/>
      <c r="Q286" s="1057"/>
      <c r="R286" s="1057"/>
      <c r="S286" s="1057"/>
      <c r="T286" s="1057"/>
      <c r="U286" s="1057"/>
      <c r="V286" s="1057"/>
      <c r="W286" s="1057"/>
      <c r="X286" s="1057"/>
      <c r="Y286" s="1057"/>
      <c r="Z286" s="1057"/>
      <c r="AA286" s="1057"/>
      <c r="AB286" s="1057"/>
      <c r="AC286" s="1057"/>
      <c r="AD286" s="1057"/>
      <c r="AE286" s="1057"/>
      <c r="AF286" s="1057" t="s">
        <v>150</v>
      </c>
      <c r="AG286" s="1057"/>
      <c r="AH286" s="1057"/>
      <c r="AI286" s="1057"/>
      <c r="AJ286" s="1063"/>
      <c r="AK286" s="1057"/>
      <c r="AL286" s="1057"/>
      <c r="AM286" s="1057"/>
      <c r="AN286" s="1057"/>
      <c r="AO286" s="1057"/>
      <c r="AP286" s="1057"/>
      <c r="AQ286" s="1063"/>
      <c r="AR286" s="1057"/>
      <c r="AS286" s="1057"/>
      <c r="AT286" s="1057"/>
      <c r="AU286" s="1057"/>
      <c r="AV286" s="1057"/>
      <c r="AW286" s="1057"/>
      <c r="AX286" s="1058" t="s">
        <v>151</v>
      </c>
      <c r="AY286" s="1058"/>
      <c r="AZ286" s="1058"/>
      <c r="BA286" s="1058"/>
      <c r="BB286" s="1058"/>
      <c r="BC286" s="1058"/>
      <c r="BD286" s="1058"/>
      <c r="BE286" s="1058"/>
      <c r="BF286" s="1058"/>
      <c r="BG286" s="1056"/>
    </row>
    <row r="287" spans="1:59" x14ac:dyDescent="0.15">
      <c r="A287" s="1050"/>
      <c r="B287" s="1064"/>
      <c r="C287" s="1055"/>
      <c r="D287" s="1060"/>
      <c r="E287" s="1060"/>
      <c r="F287" s="1060"/>
      <c r="G287" s="1060"/>
      <c r="H287" s="1060"/>
      <c r="I287" s="1060"/>
      <c r="J287" s="1060"/>
      <c r="K287" s="1060"/>
      <c r="L287" s="1060"/>
      <c r="M287" s="1060"/>
      <c r="N287" s="1060"/>
      <c r="O287" s="1061"/>
      <c r="P287" s="1057"/>
      <c r="Q287" s="1057"/>
      <c r="R287" s="1057"/>
      <c r="S287" s="1057"/>
      <c r="T287" s="1057"/>
      <c r="U287" s="1057"/>
      <c r="V287" s="1057"/>
      <c r="W287" s="1057"/>
      <c r="X287" s="1057"/>
      <c r="Y287" s="1057"/>
      <c r="Z287" s="1057"/>
      <c r="AA287" s="1057"/>
      <c r="AB287" s="1057"/>
      <c r="AC287" s="1057"/>
      <c r="AD287" s="1057"/>
      <c r="AE287" s="1057"/>
      <c r="AF287" s="1057"/>
      <c r="AG287" s="1057"/>
      <c r="AH287" s="1057"/>
      <c r="AI287" s="1057"/>
      <c r="AJ287" s="1057"/>
      <c r="AK287" s="1057"/>
      <c r="AL287" s="1057"/>
      <c r="AM287" s="1057"/>
      <c r="AN287" s="1057"/>
      <c r="AO287" s="1057"/>
      <c r="AP287" s="1057"/>
      <c r="AQ287" s="1057"/>
      <c r="AR287" s="1057"/>
      <c r="AS287" s="1057"/>
      <c r="AT287" s="1057"/>
      <c r="AU287" s="1057"/>
      <c r="AV287" s="1057"/>
      <c r="AW287" s="1057"/>
      <c r="AX287" s="1057"/>
      <c r="AY287" s="1057"/>
      <c r="AZ287" s="1057"/>
      <c r="BA287" s="1057"/>
      <c r="BB287" s="1057"/>
      <c r="BC287" s="1057"/>
      <c r="BD287" s="1057"/>
      <c r="BE287" s="1057"/>
      <c r="BF287" s="1057"/>
      <c r="BG287" s="1056"/>
    </row>
    <row r="288" spans="1:59" ht="15" thickBot="1" x14ac:dyDescent="0.2">
      <c r="A288" s="1050"/>
      <c r="B288" s="1064"/>
      <c r="C288" s="1055"/>
      <c r="D288" s="1055"/>
      <c r="E288" s="1055"/>
      <c r="F288" s="1055"/>
      <c r="G288" s="1055"/>
      <c r="H288" s="1055"/>
      <c r="I288" s="1055"/>
      <c r="J288" s="1055"/>
      <c r="K288" s="1055"/>
      <c r="L288" s="1055"/>
      <c r="M288" s="1055"/>
      <c r="N288" s="1055"/>
      <c r="O288" s="1055"/>
      <c r="P288" s="1055"/>
      <c r="Q288" s="1055"/>
      <c r="R288" s="1055"/>
      <c r="S288" s="1055"/>
      <c r="T288" s="1055"/>
      <c r="U288" s="1055"/>
      <c r="V288" s="1055"/>
      <c r="W288" s="1055"/>
      <c r="X288" s="1055"/>
      <c r="Y288" s="1055"/>
      <c r="Z288" s="1055"/>
      <c r="AA288" s="1055"/>
      <c r="AB288" s="1055"/>
      <c r="AC288" s="1055"/>
      <c r="AD288" s="1055"/>
      <c r="AE288" s="1055"/>
      <c r="AF288" s="1055"/>
      <c r="AG288" s="1055"/>
      <c r="AH288" s="1055"/>
      <c r="AI288" s="1055"/>
      <c r="AJ288" s="1055"/>
      <c r="AK288" s="1055"/>
      <c r="AL288" s="1055"/>
      <c r="AM288" s="1055"/>
      <c r="AN288" s="1055"/>
      <c r="AO288" s="1055"/>
      <c r="AP288" s="1055"/>
      <c r="AQ288" s="1055"/>
      <c r="AR288" s="1055"/>
      <c r="AS288" s="1055"/>
      <c r="AT288" s="1055"/>
      <c r="AU288" s="1055"/>
      <c r="AV288" s="1055"/>
      <c r="AW288" s="1055"/>
      <c r="AX288" s="1055"/>
      <c r="AY288" s="1055"/>
      <c r="AZ288" s="1055"/>
      <c r="BA288" s="1055"/>
      <c r="BB288" s="1055"/>
      <c r="BC288" s="1055"/>
      <c r="BD288" s="1055"/>
      <c r="BE288" s="1055"/>
      <c r="BF288" s="1055"/>
      <c r="BG288" s="1056"/>
    </row>
    <row r="289" spans="1:59" ht="15" thickBot="1" x14ac:dyDescent="0.2">
      <c r="A289" s="1050"/>
      <c r="B289" s="1064"/>
      <c r="C289" s="1763" t="str">
        <f>+IF(adoszamnyil="","",adoszamnyil)</f>
        <v/>
      </c>
      <c r="D289" s="1764"/>
      <c r="E289" s="1764"/>
      <c r="F289" s="1764"/>
      <c r="G289" s="1764"/>
      <c r="H289" s="1764"/>
      <c r="I289" s="1764"/>
      <c r="J289" s="1764"/>
      <c r="K289" s="1764"/>
      <c r="L289" s="1764"/>
      <c r="M289" s="1764"/>
      <c r="N289" s="1764"/>
      <c r="O289" s="1764"/>
      <c r="P289" s="1764"/>
      <c r="Q289" s="1764"/>
      <c r="R289" s="1764"/>
      <c r="S289" s="1764"/>
      <c r="T289" s="1765"/>
      <c r="U289" s="1055"/>
      <c r="V289" s="1055"/>
      <c r="W289" s="1055"/>
      <c r="X289" s="1763" t="str">
        <f>+IF(evnyil="","",evnyil)</f>
        <v/>
      </c>
      <c r="Y289" s="1764"/>
      <c r="Z289" s="1764"/>
      <c r="AA289" s="1764"/>
      <c r="AB289" s="1764"/>
      <c r="AC289" s="1764"/>
      <c r="AD289" s="1764"/>
      <c r="AE289" s="1764"/>
      <c r="AF289" s="1764"/>
      <c r="AG289" s="1764"/>
      <c r="AH289" s="1764"/>
      <c r="AI289" s="1764"/>
      <c r="AJ289" s="1764"/>
      <c r="AK289" s="1764"/>
      <c r="AL289" s="1765"/>
      <c r="AM289" s="1055"/>
      <c r="AN289" s="1055"/>
      <c r="AO289" s="1763" t="str">
        <f>+IF(evszamnyil="","",evszamnyil)</f>
        <v/>
      </c>
      <c r="AP289" s="1764"/>
      <c r="AQ289" s="1764"/>
      <c r="AR289" s="1764"/>
      <c r="AS289" s="1764"/>
      <c r="AT289" s="1764"/>
      <c r="AU289" s="1764"/>
      <c r="AV289" s="1764"/>
      <c r="AW289" s="1764"/>
      <c r="AX289" s="1764"/>
      <c r="AY289" s="1764"/>
      <c r="AZ289" s="1764"/>
      <c r="BA289" s="1764"/>
      <c r="BB289" s="1764"/>
      <c r="BC289" s="1764"/>
      <c r="BD289" s="1764"/>
      <c r="BE289" s="1764"/>
      <c r="BF289" s="1765"/>
      <c r="BG289" s="1056"/>
    </row>
    <row r="290" spans="1:59" x14ac:dyDescent="0.15">
      <c r="A290" s="1050"/>
      <c r="B290" s="1064"/>
      <c r="C290" s="1055" t="s">
        <v>590</v>
      </c>
      <c r="D290" s="1055"/>
      <c r="E290" s="1055"/>
      <c r="F290" s="1055"/>
      <c r="G290" s="1055"/>
      <c r="H290" s="1055"/>
      <c r="I290" s="1055"/>
      <c r="J290" s="1055"/>
      <c r="K290" s="1055"/>
      <c r="L290" s="1055"/>
      <c r="M290" s="1055"/>
      <c r="N290" s="1055"/>
      <c r="O290" s="1055"/>
      <c r="P290" s="1055"/>
      <c r="Q290" s="1055"/>
      <c r="R290" s="1055"/>
      <c r="S290" s="1055"/>
      <c r="T290" s="1055"/>
      <c r="U290" s="1055"/>
      <c r="V290" s="1055"/>
      <c r="W290" s="1055"/>
      <c r="X290" s="1055" t="s">
        <v>591</v>
      </c>
      <c r="Y290" s="1055"/>
      <c r="Z290" s="1055"/>
      <c r="AA290" s="1055"/>
      <c r="AB290" s="1055"/>
      <c r="AC290" s="1055"/>
      <c r="AD290" s="1055"/>
      <c r="AE290" s="1055"/>
      <c r="AF290" s="1055"/>
      <c r="AG290" s="1055"/>
      <c r="AH290" s="1055"/>
      <c r="AI290" s="1055"/>
      <c r="AJ290" s="1055"/>
      <c r="AK290" s="1055"/>
      <c r="AL290" s="1055"/>
      <c r="AM290" s="1055"/>
      <c r="AN290" s="1055"/>
      <c r="AO290" s="1055" t="s">
        <v>592</v>
      </c>
      <c r="AP290" s="1055"/>
      <c r="AQ290" s="1055"/>
      <c r="AR290" s="1055"/>
      <c r="AS290" s="1055"/>
      <c r="AT290" s="1055"/>
      <c r="AU290" s="1055"/>
      <c r="AV290" s="1055"/>
      <c r="AW290" s="1055"/>
      <c r="AX290" s="1055"/>
      <c r="AY290" s="1055"/>
      <c r="AZ290" s="1055"/>
      <c r="BA290" s="1055"/>
      <c r="BB290" s="1055"/>
      <c r="BC290" s="1055"/>
      <c r="BD290" s="1055"/>
      <c r="BE290" s="1055"/>
      <c r="BF290" s="1055"/>
      <c r="BG290" s="1056"/>
    </row>
    <row r="291" spans="1:59" ht="15" thickBot="1" x14ac:dyDescent="0.2">
      <c r="A291" s="1050"/>
      <c r="B291" s="1064"/>
      <c r="C291" s="1055"/>
      <c r="D291" s="1055"/>
      <c r="E291" s="1055"/>
      <c r="F291" s="1055"/>
      <c r="G291" s="1055"/>
      <c r="H291" s="1055"/>
      <c r="I291" s="1055"/>
      <c r="J291" s="1055"/>
      <c r="K291" s="1055"/>
      <c r="L291" s="1055"/>
      <c r="M291" s="1055"/>
      <c r="N291" s="1055"/>
      <c r="O291" s="1055"/>
      <c r="P291" s="1055"/>
      <c r="Q291" s="1055"/>
      <c r="R291" s="1055"/>
      <c r="S291" s="1055"/>
      <c r="T291" s="1055"/>
      <c r="U291" s="1055"/>
      <c r="V291" s="1055"/>
      <c r="W291" s="1055"/>
      <c r="X291" s="1055"/>
      <c r="Y291" s="1055"/>
      <c r="Z291" s="1055"/>
      <c r="AA291" s="1055"/>
      <c r="AB291" s="1055"/>
      <c r="AC291" s="1055"/>
      <c r="AD291" s="1055"/>
      <c r="AE291" s="1055"/>
      <c r="AF291" s="1055"/>
      <c r="AG291" s="1055"/>
      <c r="AH291" s="1055"/>
      <c r="AI291" s="1055"/>
      <c r="AJ291" s="1055"/>
      <c r="AK291" s="1055"/>
      <c r="AL291" s="1055"/>
      <c r="AM291" s="1055"/>
      <c r="AN291" s="1055"/>
      <c r="AO291" s="1055"/>
      <c r="AP291" s="1055"/>
      <c r="AQ291" s="1055"/>
      <c r="AR291" s="1055"/>
      <c r="AS291" s="1055"/>
      <c r="AT291" s="1055"/>
      <c r="AU291" s="1055"/>
      <c r="AV291" s="1055"/>
      <c r="AW291" s="1055"/>
      <c r="AX291" s="1055"/>
      <c r="AY291" s="1055"/>
      <c r="AZ291" s="1055"/>
      <c r="BA291" s="1055"/>
      <c r="BB291" s="1055"/>
      <c r="BC291" s="1055"/>
      <c r="BD291" s="1055"/>
      <c r="BE291" s="1055"/>
      <c r="BF291" s="1055"/>
      <c r="BG291" s="1056"/>
    </row>
    <row r="292" spans="1:59" ht="15" thickBot="1" x14ac:dyDescent="0.2">
      <c r="A292" s="1050"/>
      <c r="B292" s="1064"/>
      <c r="C292" s="1763" t="str">
        <f>+IF(KKVnyil="","",KKVnyil)</f>
        <v>legördülő cella</v>
      </c>
      <c r="D292" s="1764"/>
      <c r="E292" s="1764"/>
      <c r="F292" s="1764"/>
      <c r="G292" s="1764"/>
      <c r="H292" s="1764"/>
      <c r="I292" s="1764"/>
      <c r="J292" s="1764"/>
      <c r="K292" s="1764"/>
      <c r="L292" s="1764"/>
      <c r="M292" s="1764"/>
      <c r="N292" s="1764"/>
      <c r="O292" s="1764"/>
      <c r="P292" s="1764"/>
      <c r="Q292" s="1764"/>
      <c r="R292" s="1764"/>
      <c r="S292" s="1764"/>
      <c r="T292" s="1765"/>
      <c r="U292" s="1055"/>
      <c r="V292" s="1055"/>
      <c r="W292" s="1055"/>
      <c r="X292" s="1763" t="str">
        <f>+IF(gazformnyil="","",gazformnyil)</f>
        <v>legördülő cella</v>
      </c>
      <c r="Y292" s="1764"/>
      <c r="Z292" s="1764"/>
      <c r="AA292" s="1764"/>
      <c r="AB292" s="1764"/>
      <c r="AC292" s="1764"/>
      <c r="AD292" s="1764"/>
      <c r="AE292" s="1764"/>
      <c r="AF292" s="1764"/>
      <c r="AG292" s="1764"/>
      <c r="AH292" s="1764"/>
      <c r="AI292" s="1764"/>
      <c r="AJ292" s="1764"/>
      <c r="AK292" s="1764"/>
      <c r="AL292" s="1765"/>
      <c r="AM292" s="1055"/>
      <c r="AN292" s="1055"/>
      <c r="AO292" s="1055"/>
      <c r="AP292" s="1055"/>
      <c r="AQ292" s="1055"/>
      <c r="AR292" s="1055"/>
      <c r="AS292" s="1055"/>
      <c r="AT292" s="1055"/>
      <c r="AU292" s="1055"/>
      <c r="AV292" s="1055"/>
      <c r="AW292" s="1055"/>
      <c r="AX292" s="1055"/>
      <c r="AY292" s="1055"/>
      <c r="AZ292" s="1055"/>
      <c r="BA292" s="1055"/>
      <c r="BB292" s="1055"/>
      <c r="BC292" s="1055"/>
      <c r="BD292" s="1055"/>
      <c r="BE292" s="1055"/>
      <c r="BF292" s="1055"/>
      <c r="BG292" s="1056"/>
    </row>
    <row r="293" spans="1:59" x14ac:dyDescent="0.15">
      <c r="A293" s="1050"/>
      <c r="B293" s="1064"/>
      <c r="C293" s="1055" t="s">
        <v>593</v>
      </c>
      <c r="D293" s="1055"/>
      <c r="E293" s="1055"/>
      <c r="F293" s="1055"/>
      <c r="G293" s="1055"/>
      <c r="H293" s="1055"/>
      <c r="I293" s="1055"/>
      <c r="J293" s="1055"/>
      <c r="K293" s="1055"/>
      <c r="L293" s="1055"/>
      <c r="M293" s="1055"/>
      <c r="N293" s="1055"/>
      <c r="O293" s="1055"/>
      <c r="P293" s="1055"/>
      <c r="Q293" s="1055"/>
      <c r="R293" s="1055"/>
      <c r="S293" s="1055"/>
      <c r="T293" s="1055"/>
      <c r="U293" s="1055"/>
      <c r="V293" s="1055"/>
      <c r="W293" s="1055"/>
      <c r="X293" s="1055" t="s">
        <v>594</v>
      </c>
      <c r="Y293" s="1055"/>
      <c r="Z293" s="1055"/>
      <c r="AA293" s="1055"/>
      <c r="AB293" s="1055"/>
      <c r="AC293" s="1055"/>
      <c r="AD293" s="1055"/>
      <c r="AE293" s="1055"/>
      <c r="AF293" s="1055"/>
      <c r="AG293" s="1055"/>
      <c r="AH293" s="1055"/>
      <c r="AI293" s="1055"/>
      <c r="AJ293" s="1055"/>
      <c r="AK293" s="1055"/>
      <c r="AL293" s="1055"/>
      <c r="AM293" s="1055"/>
      <c r="AN293" s="1055"/>
      <c r="AO293" s="1055"/>
      <c r="AP293" s="1055"/>
      <c r="AQ293" s="1055"/>
      <c r="AR293" s="1055"/>
      <c r="AS293" s="1055"/>
      <c r="AT293" s="1055"/>
      <c r="AU293" s="1055"/>
      <c r="AV293" s="1055"/>
      <c r="AW293" s="1055"/>
      <c r="AX293" s="1055"/>
      <c r="AY293" s="1055"/>
      <c r="AZ293" s="1055"/>
      <c r="BA293" s="1055"/>
      <c r="BB293" s="1055"/>
      <c r="BC293" s="1055"/>
      <c r="BD293" s="1055"/>
      <c r="BE293" s="1055"/>
      <c r="BF293" s="1055"/>
      <c r="BG293" s="1056"/>
    </row>
    <row r="294" spans="1:59" ht="15" thickBot="1" x14ac:dyDescent="0.2">
      <c r="A294" s="1050"/>
      <c r="B294" s="1064"/>
      <c r="C294" s="1055"/>
      <c r="D294" s="1055"/>
      <c r="E294" s="1055"/>
      <c r="F294" s="1055"/>
      <c r="G294" s="1055"/>
      <c r="H294" s="1055"/>
      <c r="I294" s="1055"/>
      <c r="J294" s="1055"/>
      <c r="K294" s="1055"/>
      <c r="L294" s="1055"/>
      <c r="M294" s="1055"/>
      <c r="N294" s="1055"/>
      <c r="O294" s="1055"/>
      <c r="P294" s="1055"/>
      <c r="Q294" s="1055"/>
      <c r="R294" s="1055"/>
      <c r="S294" s="1055"/>
      <c r="T294" s="1055"/>
      <c r="U294" s="1055"/>
      <c r="V294" s="1055"/>
      <c r="W294" s="1055"/>
      <c r="X294" s="1055"/>
      <c r="Y294" s="1055"/>
      <c r="Z294" s="1055"/>
      <c r="AA294" s="1055"/>
      <c r="AB294" s="1055"/>
      <c r="AC294" s="1055"/>
      <c r="AD294" s="1055"/>
      <c r="AE294" s="1055"/>
      <c r="AF294" s="1055"/>
      <c r="AG294" s="1055"/>
      <c r="AH294" s="1055"/>
      <c r="AI294" s="1055"/>
      <c r="AJ294" s="1055"/>
      <c r="AK294" s="1055"/>
      <c r="AL294" s="1055"/>
      <c r="AM294" s="1055"/>
      <c r="AN294" s="1055"/>
      <c r="AO294" s="1055"/>
      <c r="AP294" s="1055"/>
      <c r="AQ294" s="1055"/>
      <c r="AR294" s="1055"/>
      <c r="AS294" s="1055"/>
      <c r="AT294" s="1055"/>
      <c r="AU294" s="1055"/>
      <c r="AV294" s="1055"/>
      <c r="AW294" s="1055"/>
      <c r="AX294" s="1055"/>
      <c r="AY294" s="1055"/>
      <c r="AZ294" s="1055"/>
      <c r="BA294" s="1055"/>
      <c r="BB294" s="1055"/>
      <c r="BC294" s="1055"/>
      <c r="BD294" s="1055"/>
      <c r="BE294" s="1055"/>
      <c r="BF294" s="1055"/>
      <c r="BG294" s="1056"/>
    </row>
    <row r="295" spans="1:59" ht="15" thickBot="1" x14ac:dyDescent="0.2">
      <c r="A295" s="1050"/>
      <c r="B295" s="1064"/>
      <c r="C295" s="1763" t="str">
        <f>+IF(kapcsnyil="","",kapcsnyil)</f>
        <v/>
      </c>
      <c r="D295" s="1764"/>
      <c r="E295" s="1764"/>
      <c r="F295" s="1764"/>
      <c r="G295" s="1764"/>
      <c r="H295" s="1764"/>
      <c r="I295" s="1764"/>
      <c r="J295" s="1764"/>
      <c r="K295" s="1764"/>
      <c r="L295" s="1764"/>
      <c r="M295" s="1764"/>
      <c r="N295" s="1764"/>
      <c r="O295" s="1764"/>
      <c r="P295" s="1764"/>
      <c r="Q295" s="1764"/>
      <c r="R295" s="1764"/>
      <c r="S295" s="1764"/>
      <c r="T295" s="1765"/>
      <c r="U295" s="1055"/>
      <c r="V295" s="1055"/>
      <c r="W295" s="1055"/>
      <c r="X295" s="1763" t="str">
        <f>+IF(kapcstelnyil="","",kapcstelnyil)</f>
        <v/>
      </c>
      <c r="Y295" s="1764"/>
      <c r="Z295" s="1764"/>
      <c r="AA295" s="1764"/>
      <c r="AB295" s="1764"/>
      <c r="AC295" s="1764"/>
      <c r="AD295" s="1764"/>
      <c r="AE295" s="1764"/>
      <c r="AF295" s="1764"/>
      <c r="AG295" s="1764"/>
      <c r="AH295" s="1764"/>
      <c r="AI295" s="1764"/>
      <c r="AJ295" s="1764"/>
      <c r="AK295" s="1764"/>
      <c r="AL295" s="1765"/>
      <c r="AM295" s="1055"/>
      <c r="AN295" s="1055"/>
      <c r="AO295" s="1763" t="str">
        <f>+IF(kapcsemailnyil="","",kapcsemailnyil)</f>
        <v/>
      </c>
      <c r="AP295" s="1764"/>
      <c r="AQ295" s="1764"/>
      <c r="AR295" s="1764"/>
      <c r="AS295" s="1764"/>
      <c r="AT295" s="1764"/>
      <c r="AU295" s="1764"/>
      <c r="AV295" s="1764"/>
      <c r="AW295" s="1764"/>
      <c r="AX295" s="1764"/>
      <c r="AY295" s="1764"/>
      <c r="AZ295" s="1764"/>
      <c r="BA295" s="1764"/>
      <c r="BB295" s="1764"/>
      <c r="BC295" s="1764"/>
      <c r="BD295" s="1764"/>
      <c r="BE295" s="1764"/>
      <c r="BF295" s="1765"/>
      <c r="BG295" s="1056"/>
    </row>
    <row r="296" spans="1:59" x14ac:dyDescent="0.15">
      <c r="A296" s="1050"/>
      <c r="B296" s="1064"/>
      <c r="C296" s="1055" t="s">
        <v>587</v>
      </c>
      <c r="D296" s="1055"/>
      <c r="E296" s="1055"/>
      <c r="F296" s="1055"/>
      <c r="G296" s="1055"/>
      <c r="H296" s="1055"/>
      <c r="I296" s="1055"/>
      <c r="J296" s="1055"/>
      <c r="K296" s="1055"/>
      <c r="L296" s="1055"/>
      <c r="M296" s="1055"/>
      <c r="N296" s="1055"/>
      <c r="O296" s="1055"/>
      <c r="P296" s="1055"/>
      <c r="Q296" s="1055"/>
      <c r="R296" s="1055"/>
      <c r="S296" s="1055"/>
      <c r="T296" s="1055"/>
      <c r="U296" s="1055"/>
      <c r="V296" s="1055"/>
      <c r="W296" s="1055"/>
      <c r="X296" s="1055" t="s">
        <v>586</v>
      </c>
      <c r="Y296" s="1055"/>
      <c r="Z296" s="1055"/>
      <c r="AA296" s="1055"/>
      <c r="AB296" s="1055"/>
      <c r="AC296" s="1055"/>
      <c r="AD296" s="1055"/>
      <c r="AE296" s="1055"/>
      <c r="AF296" s="1055"/>
      <c r="AG296" s="1055"/>
      <c r="AH296" s="1055"/>
      <c r="AI296" s="1055"/>
      <c r="AJ296" s="1055"/>
      <c r="AK296" s="1055"/>
      <c r="AL296" s="1055"/>
      <c r="AM296" s="1055"/>
      <c r="AN296" s="1055"/>
      <c r="AO296" s="1055" t="s">
        <v>585</v>
      </c>
      <c r="AP296" s="1055"/>
      <c r="AQ296" s="1055"/>
      <c r="AR296" s="1055"/>
      <c r="AS296" s="1055"/>
      <c r="AT296" s="1055"/>
      <c r="AU296" s="1055"/>
      <c r="AV296" s="1055"/>
      <c r="AW296" s="1055"/>
      <c r="AX296" s="1055"/>
      <c r="AY296" s="1055"/>
      <c r="AZ296" s="1055"/>
      <c r="BA296" s="1055"/>
      <c r="BB296" s="1055"/>
      <c r="BC296" s="1055"/>
      <c r="BD296" s="1055"/>
      <c r="BE296" s="1055"/>
      <c r="BF296" s="1055"/>
      <c r="BG296" s="1056"/>
    </row>
    <row r="297" spans="1:59" ht="15" thickBot="1" x14ac:dyDescent="0.2">
      <c r="A297" s="1050"/>
      <c r="B297" s="1064"/>
      <c r="C297" s="1055"/>
      <c r="D297" s="1055"/>
      <c r="E297" s="1055"/>
      <c r="F297" s="1055"/>
      <c r="G297" s="1055"/>
      <c r="H297" s="1055"/>
      <c r="I297" s="1055"/>
      <c r="J297" s="1055"/>
      <c r="K297" s="1055"/>
      <c r="L297" s="1055"/>
      <c r="M297" s="1055"/>
      <c r="N297" s="1055"/>
      <c r="O297" s="1055"/>
      <c r="P297" s="1055"/>
      <c r="Q297" s="1055"/>
      <c r="R297" s="1055"/>
      <c r="S297" s="1055"/>
      <c r="T297" s="1055"/>
      <c r="U297" s="1055"/>
      <c r="V297" s="1055"/>
      <c r="W297" s="1055"/>
      <c r="X297" s="1055"/>
      <c r="Y297" s="1055"/>
      <c r="Z297" s="1055"/>
      <c r="AA297" s="1055"/>
      <c r="AB297" s="1055"/>
      <c r="AC297" s="1055"/>
      <c r="AD297" s="1055"/>
      <c r="AE297" s="1055"/>
      <c r="AF297" s="1055"/>
      <c r="AG297" s="1055"/>
      <c r="AH297" s="1055"/>
      <c r="AI297" s="1055"/>
      <c r="AJ297" s="1055"/>
      <c r="AK297" s="1055"/>
      <c r="AL297" s="1055"/>
      <c r="AM297" s="1055"/>
      <c r="AN297" s="1055"/>
      <c r="AO297" s="1055"/>
      <c r="AP297" s="1055"/>
      <c r="AQ297" s="1055"/>
      <c r="AR297" s="1055"/>
      <c r="AS297" s="1055"/>
      <c r="AT297" s="1055"/>
      <c r="AU297" s="1055"/>
      <c r="AV297" s="1055"/>
      <c r="AW297" s="1055"/>
      <c r="AX297" s="1055"/>
      <c r="AY297" s="1055"/>
      <c r="AZ297" s="1055"/>
      <c r="BA297" s="1055"/>
      <c r="BB297" s="1055"/>
      <c r="BC297" s="1055"/>
      <c r="BD297" s="1055"/>
      <c r="BE297" s="1055"/>
      <c r="BF297" s="1055"/>
      <c r="BG297" s="1056"/>
    </row>
    <row r="298" spans="1:59" ht="15" thickBot="1" x14ac:dyDescent="0.2">
      <c r="A298" s="1050"/>
      <c r="B298" s="1064"/>
      <c r="C298" s="1763" t="str">
        <f>+IF(vállemailnyil="","",vállemailnyil)</f>
        <v/>
      </c>
      <c r="D298" s="1764"/>
      <c r="E298" s="1764"/>
      <c r="F298" s="1764"/>
      <c r="G298" s="1764"/>
      <c r="H298" s="1764"/>
      <c r="I298" s="1764"/>
      <c r="J298" s="1764"/>
      <c r="K298" s="1764"/>
      <c r="L298" s="1764"/>
      <c r="M298" s="1764"/>
      <c r="N298" s="1764"/>
      <c r="O298" s="1764"/>
      <c r="P298" s="1764"/>
      <c r="Q298" s="1764"/>
      <c r="R298" s="1764"/>
      <c r="S298" s="1764"/>
      <c r="T298" s="1765"/>
      <c r="U298" s="1055"/>
      <c r="V298" s="1055"/>
      <c r="W298" s="1055"/>
      <c r="X298" s="1763" t="str">
        <f>+IF(válltelnyil="","",válltelnyil)</f>
        <v/>
      </c>
      <c r="Y298" s="1764"/>
      <c r="Z298" s="1764"/>
      <c r="AA298" s="1764"/>
      <c r="AB298" s="1764"/>
      <c r="AC298" s="1764"/>
      <c r="AD298" s="1764"/>
      <c r="AE298" s="1764"/>
      <c r="AF298" s="1764"/>
      <c r="AG298" s="1764"/>
      <c r="AH298" s="1764"/>
      <c r="AI298" s="1764"/>
      <c r="AJ298" s="1764"/>
      <c r="AK298" s="1764"/>
      <c r="AL298" s="1765"/>
      <c r="AM298" s="1055"/>
      <c r="AN298" s="1055"/>
      <c r="AO298" s="1055"/>
      <c r="AP298" s="1055"/>
      <c r="AQ298" s="1055"/>
      <c r="AR298" s="1055"/>
      <c r="AS298" s="1055"/>
      <c r="AT298" s="1055"/>
      <c r="AU298" s="1055"/>
      <c r="AV298" s="1055"/>
      <c r="AW298" s="1055"/>
      <c r="AX298" s="1055"/>
      <c r="AY298" s="1055"/>
      <c r="AZ298" s="1055"/>
      <c r="BA298" s="1055"/>
      <c r="BB298" s="1055"/>
      <c r="BC298" s="1055"/>
      <c r="BD298" s="1055"/>
      <c r="BE298" s="1055"/>
      <c r="BF298" s="1055"/>
      <c r="BG298" s="1056"/>
    </row>
    <row r="299" spans="1:59" x14ac:dyDescent="0.15">
      <c r="A299" s="1050"/>
      <c r="B299" s="1064"/>
      <c r="C299" s="1055" t="s">
        <v>588</v>
      </c>
      <c r="D299" s="1055"/>
      <c r="E299" s="1055"/>
      <c r="F299" s="1055"/>
      <c r="G299" s="1055"/>
      <c r="H299" s="1055"/>
      <c r="I299" s="1055"/>
      <c r="J299" s="1055"/>
      <c r="K299" s="1055"/>
      <c r="L299" s="1055"/>
      <c r="M299" s="1055"/>
      <c r="N299" s="1055"/>
      <c r="O299" s="1055"/>
      <c r="P299" s="1055"/>
      <c r="Q299" s="1055"/>
      <c r="R299" s="1055"/>
      <c r="S299" s="1055"/>
      <c r="T299" s="1055"/>
      <c r="U299" s="1055"/>
      <c r="V299" s="1055"/>
      <c r="W299" s="1055"/>
      <c r="X299" s="1055" t="s">
        <v>589</v>
      </c>
      <c r="Y299" s="1055"/>
      <c r="Z299" s="1055"/>
      <c r="AA299" s="1055"/>
      <c r="AB299" s="1055"/>
      <c r="AC299" s="1055"/>
      <c r="AD299" s="1055"/>
      <c r="AE299" s="1055"/>
      <c r="AF299" s="1055"/>
      <c r="AG299" s="1055"/>
      <c r="AH299" s="1055"/>
      <c r="AI299" s="1055"/>
      <c r="AJ299" s="1055"/>
      <c r="AK299" s="1055"/>
      <c r="AL299" s="1055"/>
      <c r="AM299" s="1055"/>
      <c r="AN299" s="1055"/>
      <c r="AO299" s="1055"/>
      <c r="AP299" s="1055"/>
      <c r="AQ299" s="1055"/>
      <c r="AR299" s="1055"/>
      <c r="AS299" s="1055"/>
      <c r="AT299" s="1055"/>
      <c r="AU299" s="1055"/>
      <c r="AV299" s="1055"/>
      <c r="AW299" s="1055"/>
      <c r="AX299" s="1055"/>
      <c r="AY299" s="1055"/>
      <c r="AZ299" s="1055"/>
      <c r="BA299" s="1055"/>
      <c r="BB299" s="1055"/>
      <c r="BC299" s="1055"/>
      <c r="BD299" s="1055"/>
      <c r="BE299" s="1055"/>
      <c r="BF299" s="1055"/>
      <c r="BG299" s="1056"/>
    </row>
    <row r="300" spans="1:59" x14ac:dyDescent="0.15">
      <c r="A300" s="1050"/>
      <c r="B300" s="1065"/>
      <c r="C300" s="1066"/>
      <c r="D300" s="1066"/>
      <c r="E300" s="1066"/>
      <c r="F300" s="1066"/>
      <c r="G300" s="1066"/>
      <c r="H300" s="1066"/>
      <c r="I300" s="1066"/>
      <c r="J300" s="1066"/>
      <c r="K300" s="1066"/>
      <c r="L300" s="1066"/>
      <c r="M300" s="1066"/>
      <c r="N300" s="1066"/>
      <c r="O300" s="1066"/>
      <c r="P300" s="1066"/>
      <c r="Q300" s="1066"/>
      <c r="R300" s="1066"/>
      <c r="S300" s="1066"/>
      <c r="T300" s="1066"/>
      <c r="U300" s="1066"/>
      <c r="V300" s="1066"/>
      <c r="W300" s="1066"/>
      <c r="X300" s="1066"/>
      <c r="Y300" s="1066"/>
      <c r="Z300" s="1066"/>
      <c r="AA300" s="1066"/>
      <c r="AB300" s="1066"/>
      <c r="AC300" s="1066"/>
      <c r="AD300" s="1066"/>
      <c r="AE300" s="1066"/>
      <c r="AF300" s="1066"/>
      <c r="AG300" s="1066"/>
      <c r="AH300" s="1066"/>
      <c r="AI300" s="1066"/>
      <c r="AJ300" s="1066"/>
      <c r="AK300" s="1066"/>
      <c r="AL300" s="1066"/>
      <c r="AM300" s="1066"/>
      <c r="AN300" s="1066"/>
      <c r="AO300" s="1066"/>
      <c r="AP300" s="1066"/>
      <c r="AQ300" s="1066"/>
      <c r="AR300" s="1066"/>
      <c r="AS300" s="1066"/>
      <c r="AT300" s="1066"/>
      <c r="AU300" s="1066"/>
      <c r="AV300" s="1066"/>
      <c r="AW300" s="1066"/>
      <c r="AX300" s="1066"/>
      <c r="AY300" s="1066"/>
      <c r="AZ300" s="1066"/>
      <c r="BA300" s="1066"/>
      <c r="BB300" s="1066"/>
      <c r="BC300" s="1066"/>
      <c r="BD300" s="1066"/>
      <c r="BE300" s="1066"/>
      <c r="BF300" s="1066"/>
      <c r="BG300" s="1067"/>
    </row>
    <row r="301" spans="1:59" x14ac:dyDescent="0.15">
      <c r="A301" s="1050"/>
      <c r="B301" s="1753" t="s">
        <v>846</v>
      </c>
      <c r="C301" s="1754"/>
      <c r="D301" s="1754"/>
      <c r="E301" s="1754"/>
      <c r="F301" s="1754"/>
      <c r="G301" s="1754"/>
      <c r="H301" s="1754"/>
      <c r="I301" s="1754"/>
      <c r="J301" s="1754"/>
      <c r="K301" s="1754"/>
      <c r="L301" s="1754"/>
      <c r="M301" s="1754"/>
      <c r="N301" s="1754"/>
      <c r="O301" s="1754"/>
      <c r="P301" s="1754"/>
      <c r="Q301" s="1754"/>
      <c r="R301" s="1754"/>
      <c r="S301" s="1754"/>
      <c r="T301" s="1754"/>
      <c r="U301" s="1754"/>
      <c r="V301" s="1754"/>
      <c r="W301" s="1754"/>
      <c r="X301" s="1754"/>
      <c r="Y301" s="1754"/>
      <c r="Z301" s="1754"/>
      <c r="AA301" s="1754"/>
      <c r="AB301" s="1754"/>
      <c r="AC301" s="1754"/>
      <c r="AD301" s="1754"/>
      <c r="AE301" s="1754"/>
      <c r="AF301" s="1754"/>
      <c r="AG301" s="1754"/>
      <c r="AH301" s="1754"/>
      <c r="AI301" s="1754"/>
      <c r="AJ301" s="1754"/>
      <c r="AK301" s="1754"/>
      <c r="AL301" s="1754"/>
      <c r="AM301" s="1754"/>
      <c r="AN301" s="1754"/>
      <c r="AO301" s="1754"/>
      <c r="AP301" s="1754"/>
      <c r="AQ301" s="1754"/>
      <c r="AR301" s="1754"/>
      <c r="AS301" s="1754"/>
      <c r="AT301" s="1754"/>
      <c r="AU301" s="1754"/>
      <c r="AV301" s="1754"/>
      <c r="AW301" s="1754"/>
      <c r="AX301" s="1754"/>
      <c r="AY301" s="1754"/>
      <c r="AZ301" s="1754"/>
      <c r="BA301" s="1754"/>
      <c r="BB301" s="1754"/>
      <c r="BC301" s="1754"/>
      <c r="BD301" s="1754"/>
      <c r="BE301" s="1754"/>
      <c r="BF301" s="1754"/>
      <c r="BG301" s="1755"/>
    </row>
    <row r="302" spans="1:59" x14ac:dyDescent="0.15">
      <c r="A302" s="1050"/>
      <c r="B302" s="1068"/>
      <c r="C302" s="1751" t="s">
        <v>777</v>
      </c>
      <c r="D302" s="1751"/>
      <c r="E302" s="1751"/>
      <c r="F302" s="1751"/>
      <c r="G302" s="1751"/>
      <c r="H302" s="1751"/>
      <c r="I302" s="1751"/>
      <c r="J302" s="1751"/>
      <c r="K302" s="1751"/>
      <c r="L302" s="1751"/>
      <c r="M302" s="1751"/>
      <c r="N302" s="1751"/>
      <c r="O302" s="1751"/>
      <c r="P302" s="1751"/>
      <c r="Q302" s="1751"/>
      <c r="R302" s="1751"/>
      <c r="S302" s="1751"/>
      <c r="T302" s="1751"/>
      <c r="U302" s="1751"/>
      <c r="V302" s="1751"/>
      <c r="W302" s="1751"/>
      <c r="X302" s="1751"/>
      <c r="Y302" s="1751"/>
      <c r="Z302" s="1751"/>
      <c r="AA302" s="1751"/>
      <c r="AB302" s="1751"/>
      <c r="AC302" s="1751"/>
      <c r="AD302" s="1751"/>
      <c r="AE302" s="1751"/>
      <c r="AF302" s="1751"/>
      <c r="AG302" s="1751"/>
      <c r="AH302" s="1751"/>
      <c r="AI302" s="1751"/>
      <c r="AJ302" s="1751"/>
      <c r="AK302" s="1751"/>
      <c r="AL302" s="1751"/>
      <c r="AM302" s="1751"/>
      <c r="AN302" s="1751"/>
      <c r="AO302" s="1751"/>
      <c r="AP302" s="1751"/>
      <c r="AQ302" s="1751"/>
      <c r="AR302" s="1751"/>
      <c r="AS302" s="1751"/>
      <c r="AT302" s="1751"/>
      <c r="AU302" s="1751"/>
      <c r="AV302" s="1751"/>
      <c r="AW302" s="1751"/>
      <c r="AX302" s="1751"/>
      <c r="AY302" s="1751"/>
      <c r="AZ302" s="1751"/>
      <c r="BA302" s="1751"/>
      <c r="BB302" s="1751"/>
      <c r="BC302" s="1751"/>
      <c r="BD302" s="1751"/>
      <c r="BE302" s="1751"/>
      <c r="BF302" s="1751"/>
      <c r="BG302" s="1069"/>
    </row>
    <row r="303" spans="1:59" ht="15" thickBot="1" x14ac:dyDescent="0.2">
      <c r="A303" s="1050"/>
      <c r="B303" s="1064"/>
      <c r="C303" s="1761" t="s">
        <v>914</v>
      </c>
      <c r="D303" s="1761"/>
      <c r="E303" s="1761"/>
      <c r="F303" s="1761"/>
      <c r="G303" s="1761"/>
      <c r="H303" s="1761"/>
      <c r="I303" s="1761"/>
      <c r="J303" s="1761"/>
      <c r="K303" s="1761"/>
      <c r="L303" s="1761"/>
      <c r="M303" s="1761"/>
      <c r="N303" s="1761"/>
      <c r="O303" s="1761"/>
      <c r="P303" s="1761"/>
      <c r="Q303" s="1761"/>
      <c r="R303" s="1761"/>
      <c r="S303" s="1761"/>
      <c r="T303" s="1761"/>
      <c r="U303" s="1761"/>
      <c r="V303" s="1761"/>
      <c r="W303" s="1761"/>
      <c r="X303" s="1761"/>
      <c r="Y303" s="1761"/>
      <c r="Z303" s="1761"/>
      <c r="AA303" s="1761"/>
      <c r="AB303" s="1761"/>
      <c r="AC303" s="1761"/>
      <c r="AD303" s="1761"/>
      <c r="AE303" s="1761"/>
      <c r="AF303" s="1761"/>
      <c r="AG303" s="1761"/>
      <c r="AH303" s="1761"/>
      <c r="AI303" s="1761"/>
      <c r="AJ303" s="1761"/>
      <c r="AK303" s="1761"/>
      <c r="AL303" s="1761"/>
      <c r="AM303" s="1761"/>
      <c r="AN303" s="1761"/>
      <c r="AO303" s="1761"/>
      <c r="AP303" s="1761"/>
      <c r="AQ303" s="1761"/>
      <c r="AR303" s="1761"/>
      <c r="AS303" s="1761"/>
      <c r="AT303" s="1761"/>
      <c r="AU303" s="1761"/>
      <c r="AV303" s="1761"/>
      <c r="AW303" s="1761"/>
      <c r="AX303" s="1761"/>
      <c r="AY303" s="1761"/>
      <c r="AZ303" s="1761"/>
      <c r="BA303" s="1761"/>
      <c r="BB303" s="1761"/>
      <c r="BC303" s="1761"/>
      <c r="BD303" s="1761"/>
      <c r="BE303" s="1761"/>
      <c r="BF303" s="1761"/>
      <c r="BG303" s="1056"/>
    </row>
    <row r="304" spans="1:59" ht="15" thickBot="1" x14ac:dyDescent="0.2">
      <c r="A304" s="1050"/>
      <c r="B304" s="1064"/>
      <c r="C304" s="1748" t="str">
        <f>+Nyilatkozatok!CX113</f>
        <v>helyi infrastruktúrára irányuló támogatás</v>
      </c>
      <c r="D304" s="1749"/>
      <c r="E304" s="1749"/>
      <c r="F304" s="1749"/>
      <c r="G304" s="1749"/>
      <c r="H304" s="1749"/>
      <c r="I304" s="1749"/>
      <c r="J304" s="1749"/>
      <c r="K304" s="1749"/>
      <c r="L304" s="1749"/>
      <c r="M304" s="1749"/>
      <c r="N304" s="1749"/>
      <c r="O304" s="1749"/>
      <c r="P304" s="1749"/>
      <c r="Q304" s="1749"/>
      <c r="R304" s="1749"/>
      <c r="S304" s="1749"/>
      <c r="T304" s="1749"/>
      <c r="U304" s="1749"/>
      <c r="V304" s="1749"/>
      <c r="W304" s="1749"/>
      <c r="X304" s="1749"/>
      <c r="Y304" s="1749"/>
      <c r="Z304" s="1749"/>
      <c r="AA304" s="1749"/>
      <c r="AB304" s="1749"/>
      <c r="AC304" s="1749"/>
      <c r="AD304" s="1749"/>
      <c r="AE304" s="1749"/>
      <c r="AF304" s="1749"/>
      <c r="AG304" s="1749"/>
      <c r="AH304" s="1750"/>
      <c r="AI304" s="1070"/>
      <c r="AJ304" s="1070"/>
      <c r="AK304" s="1070"/>
      <c r="AL304" s="1070"/>
      <c r="AM304" s="1070"/>
      <c r="AN304" s="1070"/>
      <c r="AO304" s="1070"/>
      <c r="AP304" s="1070"/>
      <c r="AQ304" s="1070"/>
      <c r="AR304" s="1070"/>
      <c r="AS304" s="1070"/>
      <c r="AT304" s="1070"/>
      <c r="AU304" s="1070"/>
      <c r="AV304" s="1070"/>
      <c r="AW304" s="1070"/>
      <c r="AX304" s="1070"/>
      <c r="AY304" s="1070"/>
      <c r="AZ304" s="1070"/>
      <c r="BA304" s="1070"/>
      <c r="BB304" s="1070"/>
      <c r="BC304" s="1070"/>
      <c r="BD304" s="1070"/>
      <c r="BE304" s="1070"/>
      <c r="BF304" s="1070"/>
      <c r="BG304" s="1056"/>
    </row>
    <row r="305" spans="1:59" x14ac:dyDescent="0.15">
      <c r="A305" s="1050"/>
      <c r="B305" s="1064"/>
      <c r="C305" s="1761" t="s">
        <v>856</v>
      </c>
      <c r="D305" s="1761"/>
      <c r="E305" s="1761"/>
      <c r="F305" s="1761"/>
      <c r="G305" s="1761"/>
      <c r="H305" s="1761"/>
      <c r="I305" s="1761"/>
      <c r="J305" s="1761"/>
      <c r="K305" s="1761"/>
      <c r="L305" s="1761"/>
      <c r="M305" s="1761"/>
      <c r="N305" s="1761"/>
      <c r="O305" s="1761"/>
      <c r="P305" s="1761"/>
      <c r="Q305" s="1761"/>
      <c r="R305" s="1761"/>
      <c r="S305" s="1761"/>
      <c r="T305" s="1761"/>
      <c r="U305" s="1761"/>
      <c r="V305" s="1761"/>
      <c r="W305" s="1761"/>
      <c r="X305" s="1761"/>
      <c r="Y305" s="1761"/>
      <c r="Z305" s="1761"/>
      <c r="AA305" s="1761"/>
      <c r="AB305" s="1761"/>
      <c r="AC305" s="1761"/>
      <c r="AD305" s="1761"/>
      <c r="AE305" s="1761"/>
      <c r="AF305" s="1761"/>
      <c r="AG305" s="1761"/>
      <c r="AH305" s="1761"/>
      <c r="AI305" s="1761"/>
      <c r="AJ305" s="1761"/>
      <c r="AK305" s="1761"/>
      <c r="AL305" s="1761"/>
      <c r="AM305" s="1761"/>
      <c r="AN305" s="1761"/>
      <c r="AO305" s="1761"/>
      <c r="AP305" s="1761"/>
      <c r="AQ305" s="1761"/>
      <c r="AR305" s="1761"/>
      <c r="AS305" s="1761"/>
      <c r="AT305" s="1761"/>
      <c r="AU305" s="1761"/>
      <c r="AV305" s="1761"/>
      <c r="AW305" s="1761"/>
      <c r="AX305" s="1761"/>
      <c r="AY305" s="1761"/>
      <c r="AZ305" s="1761"/>
      <c r="BA305" s="1761"/>
      <c r="BB305" s="1761"/>
      <c r="BC305" s="1761"/>
      <c r="BD305" s="1761"/>
      <c r="BE305" s="1761"/>
      <c r="BF305" s="1761"/>
      <c r="BG305" s="1056"/>
    </row>
    <row r="306" spans="1:59" x14ac:dyDescent="0.15">
      <c r="A306" s="1050"/>
      <c r="B306" s="1064"/>
      <c r="C306" s="1759" t="str">
        <f>+Nyilatkozatok!CX114</f>
        <v xml:space="preserve">– visszaigényelhető általános forgalmi adó (ÁFA), vám, illeték finanszírozására használom fel, kivéve, ha ÁFA visszaigénylésére nem vagyok jogosult; </v>
      </c>
      <c r="D306" s="1759"/>
      <c r="E306" s="1759"/>
      <c r="F306" s="1759"/>
      <c r="G306" s="1759"/>
      <c r="H306" s="1759"/>
      <c r="I306" s="1759"/>
      <c r="J306" s="1759"/>
      <c r="K306" s="1759"/>
      <c r="L306" s="1759"/>
      <c r="M306" s="1759"/>
      <c r="N306" s="1759"/>
      <c r="O306" s="1759"/>
      <c r="P306" s="1759"/>
      <c r="Q306" s="1759"/>
      <c r="R306" s="1759"/>
      <c r="S306" s="1759"/>
      <c r="T306" s="1759"/>
      <c r="U306" s="1759"/>
      <c r="V306" s="1759"/>
      <c r="W306" s="1759"/>
      <c r="X306" s="1759"/>
      <c r="Y306" s="1759"/>
      <c r="Z306" s="1759"/>
      <c r="AA306" s="1759"/>
      <c r="AB306" s="1759"/>
      <c r="AC306" s="1759"/>
      <c r="AD306" s="1759"/>
      <c r="AE306" s="1759"/>
      <c r="AF306" s="1759"/>
      <c r="AG306" s="1759"/>
      <c r="AH306" s="1759"/>
      <c r="AI306" s="1759"/>
      <c r="AJ306" s="1759"/>
      <c r="AK306" s="1759"/>
      <c r="AL306" s="1759"/>
      <c r="AM306" s="1759"/>
      <c r="AN306" s="1759"/>
      <c r="AO306" s="1759"/>
      <c r="AP306" s="1759"/>
      <c r="AQ306" s="1759"/>
      <c r="AR306" s="1759"/>
      <c r="AS306" s="1759"/>
      <c r="AT306" s="1759"/>
      <c r="AU306" s="1759"/>
      <c r="AV306" s="1759"/>
      <c r="AW306" s="1759"/>
      <c r="AX306" s="1759"/>
      <c r="AY306" s="1759"/>
      <c r="AZ306" s="1759"/>
      <c r="BA306" s="1759"/>
      <c r="BB306" s="1759"/>
      <c r="BC306" s="1759"/>
      <c r="BD306" s="1759"/>
      <c r="BE306" s="1759"/>
      <c r="BF306" s="1759"/>
      <c r="BG306" s="1056"/>
    </row>
    <row r="307" spans="1:59" x14ac:dyDescent="0.15">
      <c r="A307" s="1050"/>
      <c r="B307" s="1064"/>
      <c r="C307" s="1759" t="str">
        <f>+Nyilatkozatok!CX115</f>
        <v xml:space="preserve">– más hitel, lízing kiváltására, üzletrész, részvény, illetve más társasági részesedés vásárlására használom fel; </v>
      </c>
      <c r="D307" s="1759"/>
      <c r="E307" s="1759"/>
      <c r="F307" s="1759"/>
      <c r="G307" s="1759"/>
      <c r="H307" s="1759"/>
      <c r="I307" s="1759"/>
      <c r="J307" s="1759"/>
      <c r="K307" s="1759"/>
      <c r="L307" s="1759"/>
      <c r="M307" s="1759"/>
      <c r="N307" s="1759"/>
      <c r="O307" s="1759"/>
      <c r="P307" s="1759"/>
      <c r="Q307" s="1759"/>
      <c r="R307" s="1759"/>
      <c r="S307" s="1759"/>
      <c r="T307" s="1759"/>
      <c r="U307" s="1759"/>
      <c r="V307" s="1759"/>
      <c r="W307" s="1759"/>
      <c r="X307" s="1759"/>
      <c r="Y307" s="1759"/>
      <c r="Z307" s="1759"/>
      <c r="AA307" s="1759"/>
      <c r="AB307" s="1759"/>
      <c r="AC307" s="1759"/>
      <c r="AD307" s="1759"/>
      <c r="AE307" s="1759"/>
      <c r="AF307" s="1759"/>
      <c r="AG307" s="1759"/>
      <c r="AH307" s="1759"/>
      <c r="AI307" s="1759"/>
      <c r="AJ307" s="1759"/>
      <c r="AK307" s="1759"/>
      <c r="AL307" s="1759"/>
      <c r="AM307" s="1759"/>
      <c r="AN307" s="1759"/>
      <c r="AO307" s="1759"/>
      <c r="AP307" s="1759"/>
      <c r="AQ307" s="1759"/>
      <c r="AR307" s="1759"/>
      <c r="AS307" s="1759"/>
      <c r="AT307" s="1759"/>
      <c r="AU307" s="1759"/>
      <c r="AV307" s="1759"/>
      <c r="AW307" s="1759"/>
      <c r="AX307" s="1759"/>
      <c r="AY307" s="1759"/>
      <c r="AZ307" s="1759"/>
      <c r="BA307" s="1759"/>
      <c r="BB307" s="1759"/>
      <c r="BC307" s="1759"/>
      <c r="BD307" s="1759"/>
      <c r="BE307" s="1759"/>
      <c r="BF307" s="1759"/>
      <c r="BG307" s="1056"/>
    </row>
    <row r="308" spans="1:59" x14ac:dyDescent="0.15">
      <c r="A308" s="1050"/>
      <c r="B308" s="1064"/>
      <c r="C308" s="1759" t="str">
        <f>+Nyilatkozatok!CX116</f>
        <v xml:space="preserve">– a hiteldöntés napján fizikailag már lezárt (befejezett) vagy teljes mértékben (fizikailag és pénzügyileg is) végrehajtott beruházás finanszírozására használom fel; </v>
      </c>
      <c r="D308" s="1759"/>
      <c r="E308" s="1759"/>
      <c r="F308" s="1759"/>
      <c r="G308" s="1759"/>
      <c r="H308" s="1759"/>
      <c r="I308" s="1759"/>
      <c r="J308" s="1759"/>
      <c r="K308" s="1759"/>
      <c r="L308" s="1759"/>
      <c r="M308" s="1759"/>
      <c r="N308" s="1759"/>
      <c r="O308" s="1759"/>
      <c r="P308" s="1759"/>
      <c r="Q308" s="1759"/>
      <c r="R308" s="1759"/>
      <c r="S308" s="1759"/>
      <c r="T308" s="1759"/>
      <c r="U308" s="1759"/>
      <c r="V308" s="1759"/>
      <c r="W308" s="1759"/>
      <c r="X308" s="1759"/>
      <c r="Y308" s="1759"/>
      <c r="Z308" s="1759"/>
      <c r="AA308" s="1759"/>
      <c r="AB308" s="1759"/>
      <c r="AC308" s="1759"/>
      <c r="AD308" s="1759"/>
      <c r="AE308" s="1759"/>
      <c r="AF308" s="1759"/>
      <c r="AG308" s="1759"/>
      <c r="AH308" s="1759"/>
      <c r="AI308" s="1759"/>
      <c r="AJ308" s="1759"/>
      <c r="AK308" s="1759"/>
      <c r="AL308" s="1759"/>
      <c r="AM308" s="1759"/>
      <c r="AN308" s="1759"/>
      <c r="AO308" s="1759"/>
      <c r="AP308" s="1759"/>
      <c r="AQ308" s="1759"/>
      <c r="AR308" s="1759"/>
      <c r="AS308" s="1759"/>
      <c r="AT308" s="1759"/>
      <c r="AU308" s="1759"/>
      <c r="AV308" s="1759"/>
      <c r="AW308" s="1759"/>
      <c r="AX308" s="1759"/>
      <c r="AY308" s="1759"/>
      <c r="AZ308" s="1759"/>
      <c r="BA308" s="1759"/>
      <c r="BB308" s="1759"/>
      <c r="BC308" s="1759"/>
      <c r="BD308" s="1759"/>
      <c r="BE308" s="1759"/>
      <c r="BF308" s="1759"/>
      <c r="BG308" s="1056"/>
    </row>
    <row r="309" spans="1:59" x14ac:dyDescent="0.15">
      <c r="A309" s="1050"/>
      <c r="B309" s="1064"/>
      <c r="C309" s="1759" t="str">
        <f>+Nyilatkozatok!CX117</f>
        <v>–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használom fel,</v>
      </c>
      <c r="D309" s="1759"/>
      <c r="E309" s="1759"/>
      <c r="F309" s="1759"/>
      <c r="G309" s="1759"/>
      <c r="H309" s="1759"/>
      <c r="I309" s="1759"/>
      <c r="J309" s="1759"/>
      <c r="K309" s="1759"/>
      <c r="L309" s="1759"/>
      <c r="M309" s="1759"/>
      <c r="N309" s="1759"/>
      <c r="O309" s="1759"/>
      <c r="P309" s="1759"/>
      <c r="Q309" s="1759"/>
      <c r="R309" s="1759"/>
      <c r="S309" s="1759"/>
      <c r="T309" s="1759"/>
      <c r="U309" s="1759"/>
      <c r="V309" s="1759"/>
      <c r="W309" s="1759"/>
      <c r="X309" s="1759"/>
      <c r="Y309" s="1759"/>
      <c r="Z309" s="1759"/>
      <c r="AA309" s="1759"/>
      <c r="AB309" s="1759"/>
      <c r="AC309" s="1759"/>
      <c r="AD309" s="1759"/>
      <c r="AE309" s="1759"/>
      <c r="AF309" s="1759"/>
      <c r="AG309" s="1759"/>
      <c r="AH309" s="1759"/>
      <c r="AI309" s="1759"/>
      <c r="AJ309" s="1759"/>
      <c r="AK309" s="1759"/>
      <c r="AL309" s="1759"/>
      <c r="AM309" s="1759"/>
      <c r="AN309" s="1759"/>
      <c r="AO309" s="1759"/>
      <c r="AP309" s="1759"/>
      <c r="AQ309" s="1759"/>
      <c r="AR309" s="1759"/>
      <c r="AS309" s="1759"/>
      <c r="AT309" s="1759"/>
      <c r="AU309" s="1759"/>
      <c r="AV309" s="1759"/>
      <c r="AW309" s="1759"/>
      <c r="AX309" s="1759"/>
      <c r="AY309" s="1759"/>
      <c r="AZ309" s="1759"/>
      <c r="BA309" s="1759"/>
      <c r="BB309" s="1759"/>
      <c r="BC309" s="1759"/>
      <c r="BD309" s="1759"/>
      <c r="BE309" s="1759"/>
      <c r="BF309" s="1759"/>
      <c r="BG309" s="1056"/>
    </row>
    <row r="310" spans="1:59" x14ac:dyDescent="0.15">
      <c r="A310" s="1050"/>
      <c r="B310" s="1064"/>
      <c r="C310" s="1759" t="str">
        <f>+Nyilatkozatok!CX118</f>
        <v>– olyan feltétellel használom fel, amely az európai uniós jog megsértését eredményezi,</v>
      </c>
      <c r="D310" s="1759"/>
      <c r="E310" s="1759"/>
      <c r="F310" s="1759"/>
      <c r="G310" s="1759"/>
      <c r="H310" s="1759"/>
      <c r="I310" s="1759"/>
      <c r="J310" s="1759"/>
      <c r="K310" s="1759"/>
      <c r="L310" s="1759"/>
      <c r="M310" s="1759"/>
      <c r="N310" s="1759"/>
      <c r="O310" s="1759"/>
      <c r="P310" s="1759"/>
      <c r="Q310" s="1759"/>
      <c r="R310" s="1759"/>
      <c r="S310" s="1759"/>
      <c r="T310" s="1759"/>
      <c r="U310" s="1759"/>
      <c r="V310" s="1759"/>
      <c r="W310" s="1759"/>
      <c r="X310" s="1759"/>
      <c r="Y310" s="1759"/>
      <c r="Z310" s="1759"/>
      <c r="AA310" s="1759"/>
      <c r="AB310" s="1759"/>
      <c r="AC310" s="1759"/>
      <c r="AD310" s="1759"/>
      <c r="AE310" s="1759"/>
      <c r="AF310" s="1759"/>
      <c r="AG310" s="1759"/>
      <c r="AH310" s="1759"/>
      <c r="AI310" s="1759"/>
      <c r="AJ310" s="1759"/>
      <c r="AK310" s="1759"/>
      <c r="AL310" s="1759"/>
      <c r="AM310" s="1759"/>
      <c r="AN310" s="1759"/>
      <c r="AO310" s="1759"/>
      <c r="AP310" s="1759"/>
      <c r="AQ310" s="1759"/>
      <c r="AR310" s="1759"/>
      <c r="AS310" s="1759"/>
      <c r="AT310" s="1759"/>
      <c r="AU310" s="1759"/>
      <c r="AV310" s="1759"/>
      <c r="AW310" s="1759"/>
      <c r="AX310" s="1759"/>
      <c r="AY310" s="1759"/>
      <c r="AZ310" s="1759"/>
      <c r="BA310" s="1759"/>
      <c r="BB310" s="1759"/>
      <c r="BC310" s="1759"/>
      <c r="BD310" s="1759"/>
      <c r="BE310" s="1759"/>
      <c r="BF310" s="1759"/>
      <c r="BG310" s="1056"/>
    </row>
    <row r="311" spans="1:59" x14ac:dyDescent="0.15">
      <c r="A311" s="1050"/>
      <c r="B311" s="1064"/>
      <c r="C311" s="1759" t="str">
        <f>+Nyilatkozatok!CX119</f>
        <v>Kijelentem, hogy:</v>
      </c>
      <c r="D311" s="1759"/>
      <c r="E311" s="1759"/>
      <c r="F311" s="1759"/>
      <c r="G311" s="1759"/>
      <c r="H311" s="1759"/>
      <c r="I311" s="1759"/>
      <c r="J311" s="1759"/>
      <c r="K311" s="1759"/>
      <c r="L311" s="1759"/>
      <c r="M311" s="1759"/>
      <c r="N311" s="1759"/>
      <c r="O311" s="1759"/>
      <c r="P311" s="1759"/>
      <c r="Q311" s="1759"/>
      <c r="R311" s="1759"/>
      <c r="S311" s="1759"/>
      <c r="T311" s="1759"/>
      <c r="U311" s="1759"/>
      <c r="V311" s="1759"/>
      <c r="W311" s="1759"/>
      <c r="X311" s="1759"/>
      <c r="Y311" s="1759"/>
      <c r="Z311" s="1759"/>
      <c r="AA311" s="1759"/>
      <c r="AB311" s="1759"/>
      <c r="AC311" s="1759"/>
      <c r="AD311" s="1759"/>
      <c r="AE311" s="1759"/>
      <c r="AF311" s="1759"/>
      <c r="AG311" s="1759"/>
      <c r="AH311" s="1759"/>
      <c r="AI311" s="1759"/>
      <c r="AJ311" s="1759"/>
      <c r="AK311" s="1759"/>
      <c r="AL311" s="1759"/>
      <c r="AM311" s="1759"/>
      <c r="AN311" s="1759"/>
      <c r="AO311" s="1759"/>
      <c r="AP311" s="1759"/>
      <c r="AQ311" s="1759"/>
      <c r="AR311" s="1759"/>
      <c r="AS311" s="1759"/>
      <c r="AT311" s="1759"/>
      <c r="AU311" s="1759"/>
      <c r="AV311" s="1759"/>
      <c r="AW311" s="1759"/>
      <c r="AX311" s="1759"/>
      <c r="AY311" s="1759"/>
      <c r="AZ311" s="1759"/>
      <c r="BA311" s="1759"/>
      <c r="BB311" s="1759"/>
      <c r="BC311" s="1759"/>
      <c r="BD311" s="1759"/>
      <c r="BE311" s="1759"/>
      <c r="BF311" s="1759"/>
      <c r="BG311" s="1056"/>
    </row>
    <row r="312" spans="1:59" x14ac:dyDescent="0.15">
      <c r="A312" s="1050"/>
      <c r="B312" s="1064"/>
      <c r="C312" s="1759" t="str">
        <f>+Nyilatkozatok!CX120</f>
        <v>– a finanszírozást kizárólag új létesítmény létrehozására fordítom</v>
      </c>
      <c r="D312" s="1759"/>
      <c r="E312" s="1759"/>
      <c r="F312" s="1759"/>
      <c r="G312" s="1759"/>
      <c r="H312" s="1759"/>
      <c r="I312" s="1759"/>
      <c r="J312" s="1759"/>
      <c r="K312" s="1759"/>
      <c r="L312" s="1759"/>
      <c r="M312" s="1759"/>
      <c r="N312" s="1759"/>
      <c r="O312" s="1759"/>
      <c r="P312" s="1759"/>
      <c r="Q312" s="1759"/>
      <c r="R312" s="1759"/>
      <c r="S312" s="1759"/>
      <c r="T312" s="1759"/>
      <c r="U312" s="1759"/>
      <c r="V312" s="1759"/>
      <c r="W312" s="1759"/>
      <c r="X312" s="1759"/>
      <c r="Y312" s="1759"/>
      <c r="Z312" s="1759"/>
      <c r="AA312" s="1759"/>
      <c r="AB312" s="1759"/>
      <c r="AC312" s="1759"/>
      <c r="AD312" s="1759"/>
      <c r="AE312" s="1759"/>
      <c r="AF312" s="1759"/>
      <c r="AG312" s="1759"/>
      <c r="AH312" s="1759"/>
      <c r="AI312" s="1759"/>
      <c r="AJ312" s="1759"/>
      <c r="AK312" s="1759"/>
      <c r="AL312" s="1759"/>
      <c r="AM312" s="1759"/>
      <c r="AN312" s="1759"/>
      <c r="AO312" s="1759"/>
      <c r="AP312" s="1759"/>
      <c r="AQ312" s="1759"/>
      <c r="AR312" s="1759"/>
      <c r="AS312" s="1759"/>
      <c r="AT312" s="1759"/>
      <c r="AU312" s="1759"/>
      <c r="AV312" s="1759"/>
      <c r="AW312" s="1759"/>
      <c r="AX312" s="1759"/>
      <c r="AY312" s="1759"/>
      <c r="AZ312" s="1759"/>
      <c r="BA312" s="1759"/>
      <c r="BB312" s="1759"/>
      <c r="BC312" s="1759"/>
      <c r="BD312" s="1759"/>
      <c r="BE312" s="1759"/>
      <c r="BF312" s="1759"/>
      <c r="BG312" s="1056"/>
    </row>
    <row r="313" spans="1:59" x14ac:dyDescent="0.15">
      <c r="A313" s="1050"/>
      <c r="B313" s="1064"/>
      <c r="C313" s="1759" t="str">
        <f>+Nyilatkozatok!CX121</f>
        <v>– a termékleírásban meghatározott mértékű saját erővel rendelkezem</v>
      </c>
      <c r="D313" s="1759"/>
      <c r="E313" s="1759"/>
      <c r="F313" s="1759"/>
      <c r="G313" s="1759"/>
      <c r="H313" s="1759"/>
      <c r="I313" s="1759"/>
      <c r="J313" s="1759"/>
      <c r="K313" s="1759"/>
      <c r="L313" s="1759"/>
      <c r="M313" s="1759"/>
      <c r="N313" s="1759"/>
      <c r="O313" s="1759"/>
      <c r="P313" s="1759"/>
      <c r="Q313" s="1759"/>
      <c r="R313" s="1759"/>
      <c r="S313" s="1759"/>
      <c r="T313" s="1759"/>
      <c r="U313" s="1759"/>
      <c r="V313" s="1759"/>
      <c r="W313" s="1759"/>
      <c r="X313" s="1759"/>
      <c r="Y313" s="1759"/>
      <c r="Z313" s="1759"/>
      <c r="AA313" s="1759"/>
      <c r="AB313" s="1759"/>
      <c r="AC313" s="1759"/>
      <c r="AD313" s="1759"/>
      <c r="AE313" s="1759"/>
      <c r="AF313" s="1759"/>
      <c r="AG313" s="1759"/>
      <c r="AH313" s="1759"/>
      <c r="AI313" s="1759"/>
      <c r="AJ313" s="1759"/>
      <c r="AK313" s="1759"/>
      <c r="AL313" s="1759"/>
      <c r="AM313" s="1759"/>
      <c r="AN313" s="1759"/>
      <c r="AO313" s="1759"/>
      <c r="AP313" s="1759"/>
      <c r="AQ313" s="1759"/>
      <c r="AR313" s="1759"/>
      <c r="AS313" s="1759"/>
      <c r="AT313" s="1759"/>
      <c r="AU313" s="1759"/>
      <c r="AV313" s="1759"/>
      <c r="AW313" s="1759"/>
      <c r="AX313" s="1759"/>
      <c r="AY313" s="1759"/>
      <c r="AZ313" s="1759"/>
      <c r="BA313" s="1759"/>
      <c r="BB313" s="1759"/>
      <c r="BC313" s="1759"/>
      <c r="BD313" s="1759"/>
      <c r="BE313" s="1759"/>
      <c r="BF313" s="1759"/>
      <c r="BG313" s="1056"/>
    </row>
    <row r="314" spans="1:59" x14ac:dyDescent="0.15">
      <c r="A314" s="1050"/>
      <c r="B314" s="1064"/>
      <c r="C314" s="1759" t="str">
        <f>+Nyilatkozatok!CX122</f>
        <v>Tudomásul veszem, hogy:</v>
      </c>
      <c r="D314" s="1759"/>
      <c r="E314" s="1759"/>
      <c r="F314" s="1759"/>
      <c r="G314" s="1759"/>
      <c r="H314" s="1759"/>
      <c r="I314" s="1759"/>
      <c r="J314" s="1759"/>
      <c r="K314" s="1759"/>
      <c r="L314" s="1759"/>
      <c r="M314" s="1759"/>
      <c r="N314" s="1759"/>
      <c r="O314" s="1759"/>
      <c r="P314" s="1759"/>
      <c r="Q314" s="1759"/>
      <c r="R314" s="1759"/>
      <c r="S314" s="1759"/>
      <c r="T314" s="1759"/>
      <c r="U314" s="1759"/>
      <c r="V314" s="1759"/>
      <c r="W314" s="1759"/>
      <c r="X314" s="1759"/>
      <c r="Y314" s="1759"/>
      <c r="Z314" s="1759"/>
      <c r="AA314" s="1759"/>
      <c r="AB314" s="1759"/>
      <c r="AC314" s="1759"/>
      <c r="AD314" s="1759"/>
      <c r="AE314" s="1759"/>
      <c r="AF314" s="1759"/>
      <c r="AG314" s="1759"/>
      <c r="AH314" s="1759"/>
      <c r="AI314" s="1759"/>
      <c r="AJ314" s="1759"/>
      <c r="AK314" s="1759"/>
      <c r="AL314" s="1759"/>
      <c r="AM314" s="1759"/>
      <c r="AN314" s="1759"/>
      <c r="AO314" s="1759"/>
      <c r="AP314" s="1759"/>
      <c r="AQ314" s="1759"/>
      <c r="AR314" s="1759"/>
      <c r="AS314" s="1759"/>
      <c r="AT314" s="1759"/>
      <c r="AU314" s="1759"/>
      <c r="AV314" s="1759"/>
      <c r="AW314" s="1759"/>
      <c r="AX314" s="1759"/>
      <c r="AY314" s="1759"/>
      <c r="AZ314" s="1759"/>
      <c r="BA314" s="1759"/>
      <c r="BB314" s="1759"/>
      <c r="BC314" s="1759"/>
      <c r="BD314" s="1759"/>
      <c r="BE314" s="1759"/>
      <c r="BF314" s="1759"/>
      <c r="BG314" s="1056"/>
    </row>
    <row r="315" spans="1:59" x14ac:dyDescent="0.15">
      <c r="A315" s="1050"/>
      <c r="B315" s="1064"/>
      <c r="C315" s="1759" t="str">
        <f>+Nyilatkozatok!CX123</f>
        <v>– a finanszírozást csak olyan infrastruktúra kiépítéshez vagy korszerűsítéshez használhatom fel, amely helyi szinten hozzájárul a gazdasági és fogyasztói környezet javításához, valamint az ipari bázis korszerűsítéséhez és fejlesztéséhez, az Európai Unió működéséről szóló szerződés 107. cikkének (3) bekezdése szerint összeegyeztethető a belső piaccal, és mentesül az Európai Unió működéséről szóló szerződés 108. cikkének (3) bekezdésében foglalt bejelentési kötelezettség alól, feltéve, hogy teljesülnek a 651/2014/EU bizottsági rendelet I. fejezetében és az 56. cikkében foglaltak</v>
      </c>
      <c r="D315" s="1759"/>
      <c r="E315" s="1759"/>
      <c r="F315" s="1759"/>
      <c r="G315" s="1759"/>
      <c r="H315" s="1759"/>
      <c r="I315" s="1759"/>
      <c r="J315" s="1759"/>
      <c r="K315" s="1759"/>
      <c r="L315" s="1759"/>
      <c r="M315" s="1759"/>
      <c r="N315" s="1759"/>
      <c r="O315" s="1759"/>
      <c r="P315" s="1759"/>
      <c r="Q315" s="1759"/>
      <c r="R315" s="1759"/>
      <c r="S315" s="1759"/>
      <c r="T315" s="1759"/>
      <c r="U315" s="1759"/>
      <c r="V315" s="1759"/>
      <c r="W315" s="1759"/>
      <c r="X315" s="1759"/>
      <c r="Y315" s="1759"/>
      <c r="Z315" s="1759"/>
      <c r="AA315" s="1759"/>
      <c r="AB315" s="1759"/>
      <c r="AC315" s="1759"/>
      <c r="AD315" s="1759"/>
      <c r="AE315" s="1759"/>
      <c r="AF315" s="1759"/>
      <c r="AG315" s="1759"/>
      <c r="AH315" s="1759"/>
      <c r="AI315" s="1759"/>
      <c r="AJ315" s="1759"/>
      <c r="AK315" s="1759"/>
      <c r="AL315" s="1759"/>
      <c r="AM315" s="1759"/>
      <c r="AN315" s="1759"/>
      <c r="AO315" s="1759"/>
      <c r="AP315" s="1759"/>
      <c r="AQ315" s="1759"/>
      <c r="AR315" s="1759"/>
      <c r="AS315" s="1759"/>
      <c r="AT315" s="1759"/>
      <c r="AU315" s="1759"/>
      <c r="AV315" s="1759"/>
      <c r="AW315" s="1759"/>
      <c r="AX315" s="1759"/>
      <c r="AY315" s="1759"/>
      <c r="AZ315" s="1759"/>
      <c r="BA315" s="1759"/>
      <c r="BB315" s="1759"/>
      <c r="BC315" s="1759"/>
      <c r="BD315" s="1759"/>
      <c r="BE315" s="1759"/>
      <c r="BF315" s="1759"/>
      <c r="BG315" s="1056"/>
    </row>
    <row r="316" spans="1:59" x14ac:dyDescent="0.15">
      <c r="A316" s="1050"/>
      <c r="B316" s="1064"/>
      <c r="C316" s="1759" t="str">
        <f>+Nyilatkozatok!CX124</f>
        <v>– a hitelt nem használhatom fel a 37/2011. (III. 22.) Korm. rendelet (a továbbiakban: Atr.) 25-32. § alapján regionális beruházások finanszírozására, valamint repülőtéri és kikötői infrastruktúra kiépítésére és korszerűsítésére</v>
      </c>
      <c r="D316" s="1759"/>
      <c r="E316" s="1759"/>
      <c r="F316" s="1759"/>
      <c r="G316" s="1759"/>
      <c r="H316" s="1759"/>
      <c r="I316" s="1759"/>
      <c r="J316" s="1759"/>
      <c r="K316" s="1759"/>
      <c r="L316" s="1759"/>
      <c r="M316" s="1759"/>
      <c r="N316" s="1759"/>
      <c r="O316" s="1759"/>
      <c r="P316" s="1759"/>
      <c r="Q316" s="1759"/>
      <c r="R316" s="1759"/>
      <c r="S316" s="1759"/>
      <c r="T316" s="1759"/>
      <c r="U316" s="1759"/>
      <c r="V316" s="1759"/>
      <c r="W316" s="1759"/>
      <c r="X316" s="1759"/>
      <c r="Y316" s="1759"/>
      <c r="Z316" s="1759"/>
      <c r="AA316" s="1759"/>
      <c r="AB316" s="1759"/>
      <c r="AC316" s="1759"/>
      <c r="AD316" s="1759"/>
      <c r="AE316" s="1759"/>
      <c r="AF316" s="1759"/>
      <c r="AG316" s="1759"/>
      <c r="AH316" s="1759"/>
      <c r="AI316" s="1759"/>
      <c r="AJ316" s="1759"/>
      <c r="AK316" s="1759"/>
      <c r="AL316" s="1759"/>
      <c r="AM316" s="1759"/>
      <c r="AN316" s="1759"/>
      <c r="AO316" s="1759"/>
      <c r="AP316" s="1759"/>
      <c r="AQ316" s="1759"/>
      <c r="AR316" s="1759"/>
      <c r="AS316" s="1759"/>
      <c r="AT316" s="1759"/>
      <c r="AU316" s="1759"/>
      <c r="AV316" s="1759"/>
      <c r="AW316" s="1759"/>
      <c r="AX316" s="1759"/>
      <c r="AY316" s="1759"/>
      <c r="AZ316" s="1759"/>
      <c r="BA316" s="1759"/>
      <c r="BB316" s="1759"/>
      <c r="BC316" s="1759"/>
      <c r="BD316" s="1759"/>
      <c r="BE316" s="1759"/>
      <c r="BF316" s="1759"/>
      <c r="BG316" s="1056"/>
    </row>
    <row r="317" spans="1:59" x14ac:dyDescent="0.15">
      <c r="A317" s="1050"/>
      <c r="B317" s="1064"/>
      <c r="C317" s="1759" t="str">
        <f>+Nyilatkozatok!CX125</f>
        <v>– az infrastruktúrához való hozzáférést az érdekelt felhasználók számára nyílt, átlátható és megkülönböztetésmentes módon kell biztosítani, valamint az infrastruktúra használatáért vagy eladásáért a piaci árnak megfelelő árat kell felszámítani</v>
      </c>
      <c r="D317" s="1759"/>
      <c r="E317" s="1759"/>
      <c r="F317" s="1759"/>
      <c r="G317" s="1759"/>
      <c r="H317" s="1759"/>
      <c r="I317" s="1759"/>
      <c r="J317" s="1759"/>
      <c r="K317" s="1759"/>
      <c r="L317" s="1759"/>
      <c r="M317" s="1759"/>
      <c r="N317" s="1759"/>
      <c r="O317" s="1759"/>
      <c r="P317" s="1759"/>
      <c r="Q317" s="1759"/>
      <c r="R317" s="1759"/>
      <c r="S317" s="1759"/>
      <c r="T317" s="1759"/>
      <c r="U317" s="1759"/>
      <c r="V317" s="1759"/>
      <c r="W317" s="1759"/>
      <c r="X317" s="1759"/>
      <c r="Y317" s="1759"/>
      <c r="Z317" s="1759"/>
      <c r="AA317" s="1759"/>
      <c r="AB317" s="1759"/>
      <c r="AC317" s="1759"/>
      <c r="AD317" s="1759"/>
      <c r="AE317" s="1759"/>
      <c r="AF317" s="1759"/>
      <c r="AG317" s="1759"/>
      <c r="AH317" s="1759"/>
      <c r="AI317" s="1759"/>
      <c r="AJ317" s="1759"/>
      <c r="AK317" s="1759"/>
      <c r="AL317" s="1759"/>
      <c r="AM317" s="1759"/>
      <c r="AN317" s="1759"/>
      <c r="AO317" s="1759"/>
      <c r="AP317" s="1759"/>
      <c r="AQ317" s="1759"/>
      <c r="AR317" s="1759"/>
      <c r="AS317" s="1759"/>
      <c r="AT317" s="1759"/>
      <c r="AU317" s="1759"/>
      <c r="AV317" s="1759"/>
      <c r="AW317" s="1759"/>
      <c r="AX317" s="1759"/>
      <c r="AY317" s="1759"/>
      <c r="AZ317" s="1759"/>
      <c r="BA317" s="1759"/>
      <c r="BB317" s="1759"/>
      <c r="BC317" s="1759"/>
      <c r="BD317" s="1759"/>
      <c r="BE317" s="1759"/>
      <c r="BF317" s="1759"/>
      <c r="BG317" s="1056"/>
    </row>
    <row r="318" spans="1:59" x14ac:dyDescent="0.15">
      <c r="A318" s="1050"/>
      <c r="B318" s="1064"/>
      <c r="C318" s="1759" t="str">
        <f>+Nyilatkozatok!CX126</f>
        <v>–  az infrastruktúra működtetésének koncesszióba adását vagy egyéb módon harmadik félre bízását nyílt, átlátható és megkülönböztetésmentes módon kell végezni, a vonatkozó közbeszerzési szabályok kellő figyelembevételével</v>
      </c>
      <c r="D318" s="1759"/>
      <c r="E318" s="1759"/>
      <c r="F318" s="1759"/>
      <c r="G318" s="1759"/>
      <c r="H318" s="1759"/>
      <c r="I318" s="1759"/>
      <c r="J318" s="1759"/>
      <c r="K318" s="1759"/>
      <c r="L318" s="1759"/>
      <c r="M318" s="1759"/>
      <c r="N318" s="1759"/>
      <c r="O318" s="1759"/>
      <c r="P318" s="1759"/>
      <c r="Q318" s="1759"/>
      <c r="R318" s="1759"/>
      <c r="S318" s="1759"/>
      <c r="T318" s="1759"/>
      <c r="U318" s="1759"/>
      <c r="V318" s="1759"/>
      <c r="W318" s="1759"/>
      <c r="X318" s="1759"/>
      <c r="Y318" s="1759"/>
      <c r="Z318" s="1759"/>
      <c r="AA318" s="1759"/>
      <c r="AB318" s="1759"/>
      <c r="AC318" s="1759"/>
      <c r="AD318" s="1759"/>
      <c r="AE318" s="1759"/>
      <c r="AF318" s="1759"/>
      <c r="AG318" s="1759"/>
      <c r="AH318" s="1759"/>
      <c r="AI318" s="1759"/>
      <c r="AJ318" s="1759"/>
      <c r="AK318" s="1759"/>
      <c r="AL318" s="1759"/>
      <c r="AM318" s="1759"/>
      <c r="AN318" s="1759"/>
      <c r="AO318" s="1759"/>
      <c r="AP318" s="1759"/>
      <c r="AQ318" s="1759"/>
      <c r="AR318" s="1759"/>
      <c r="AS318" s="1759"/>
      <c r="AT318" s="1759"/>
      <c r="AU318" s="1759"/>
      <c r="AV318" s="1759"/>
      <c r="AW318" s="1759"/>
      <c r="AX318" s="1759"/>
      <c r="AY318" s="1759"/>
      <c r="AZ318" s="1759"/>
      <c r="BA318" s="1759"/>
      <c r="BB318" s="1759"/>
      <c r="BC318" s="1759"/>
      <c r="BD318" s="1759"/>
      <c r="BE318" s="1759"/>
      <c r="BF318" s="1759"/>
      <c r="BG318" s="1056"/>
    </row>
    <row r="319" spans="1:59" x14ac:dyDescent="0.15">
      <c r="A319" s="1050"/>
      <c r="B319" s="1064"/>
      <c r="C319" s="1759" t="str">
        <f>+Nyilatkozatok!CX127</f>
        <v>– a finanszírozást csak tárgyi eszközökre, illetve immateriális javakra fordíthatom</v>
      </c>
      <c r="D319" s="1759"/>
      <c r="E319" s="1759"/>
      <c r="F319" s="1759"/>
      <c r="G319" s="1759"/>
      <c r="H319" s="1759"/>
      <c r="I319" s="1759"/>
      <c r="J319" s="1759"/>
      <c r="K319" s="1759"/>
      <c r="L319" s="1759"/>
      <c r="M319" s="1759"/>
      <c r="N319" s="1759"/>
      <c r="O319" s="1759"/>
      <c r="P319" s="1759"/>
      <c r="Q319" s="1759"/>
      <c r="R319" s="1759"/>
      <c r="S319" s="1759"/>
      <c r="T319" s="1759"/>
      <c r="U319" s="1759"/>
      <c r="V319" s="1759"/>
      <c r="W319" s="1759"/>
      <c r="X319" s="1759"/>
      <c r="Y319" s="1759"/>
      <c r="Z319" s="1759"/>
      <c r="AA319" s="1759"/>
      <c r="AB319" s="1759"/>
      <c r="AC319" s="1759"/>
      <c r="AD319" s="1759"/>
      <c r="AE319" s="1759"/>
      <c r="AF319" s="1759"/>
      <c r="AG319" s="1759"/>
      <c r="AH319" s="1759"/>
      <c r="AI319" s="1759"/>
      <c r="AJ319" s="1759"/>
      <c r="AK319" s="1759"/>
      <c r="AL319" s="1759"/>
      <c r="AM319" s="1759"/>
      <c r="AN319" s="1759"/>
      <c r="AO319" s="1759"/>
      <c r="AP319" s="1759"/>
      <c r="AQ319" s="1759"/>
      <c r="AR319" s="1759"/>
      <c r="AS319" s="1759"/>
      <c r="AT319" s="1759"/>
      <c r="AU319" s="1759"/>
      <c r="AV319" s="1759"/>
      <c r="AW319" s="1759"/>
      <c r="AX319" s="1759"/>
      <c r="AY319" s="1759"/>
      <c r="AZ319" s="1759"/>
      <c r="BA319" s="1759"/>
      <c r="BB319" s="1759"/>
      <c r="BC319" s="1759"/>
      <c r="BD319" s="1759"/>
      <c r="BE319" s="1759"/>
      <c r="BF319" s="1759"/>
      <c r="BG319" s="1056"/>
    </row>
    <row r="320" spans="1:59" x14ac:dyDescent="0.15">
      <c r="A320" s="1050"/>
      <c r="B320" s="1064"/>
      <c r="C320" s="1759" t="str">
        <f>+Nyilatkozatok!CX128</f>
        <v>– az előzetesen azonosítható vállalkozás(ok) számára épített és az ő igényei(k)hez szabott infrastruktúra a 651/2014/EU bizottsági rendelet értelmében speciális célú infrastruktúrának minősül, ilyen esetben bejelentési kötelezettség áll fenn az Európai Bizottság felé.</v>
      </c>
      <c r="D320" s="1759"/>
      <c r="E320" s="1759"/>
      <c r="F320" s="1759"/>
      <c r="G320" s="1759"/>
      <c r="H320" s="1759"/>
      <c r="I320" s="1759"/>
      <c r="J320" s="1759"/>
      <c r="K320" s="1759"/>
      <c r="L320" s="1759"/>
      <c r="M320" s="1759"/>
      <c r="N320" s="1759"/>
      <c r="O320" s="1759"/>
      <c r="P320" s="1759"/>
      <c r="Q320" s="1759"/>
      <c r="R320" s="1759"/>
      <c r="S320" s="1759"/>
      <c r="T320" s="1759"/>
      <c r="U320" s="1759"/>
      <c r="V320" s="1759"/>
      <c r="W320" s="1759"/>
      <c r="X320" s="1759"/>
      <c r="Y320" s="1759"/>
      <c r="Z320" s="1759"/>
      <c r="AA320" s="1759"/>
      <c r="AB320" s="1759"/>
      <c r="AC320" s="1759"/>
      <c r="AD320" s="1759"/>
      <c r="AE320" s="1759"/>
      <c r="AF320" s="1759"/>
      <c r="AG320" s="1759"/>
      <c r="AH320" s="1759"/>
      <c r="AI320" s="1759"/>
      <c r="AJ320" s="1759"/>
      <c r="AK320" s="1759"/>
      <c r="AL320" s="1759"/>
      <c r="AM320" s="1759"/>
      <c r="AN320" s="1759"/>
      <c r="AO320" s="1759"/>
      <c r="AP320" s="1759"/>
      <c r="AQ320" s="1759"/>
      <c r="AR320" s="1759"/>
      <c r="AS320" s="1759"/>
      <c r="AT320" s="1759"/>
      <c r="AU320" s="1759"/>
      <c r="AV320" s="1759"/>
      <c r="AW320" s="1759"/>
      <c r="AX320" s="1759"/>
      <c r="AY320" s="1759"/>
      <c r="AZ320" s="1759"/>
      <c r="BA320" s="1759"/>
      <c r="BB320" s="1759"/>
      <c r="BC320" s="1759"/>
      <c r="BD320" s="1759"/>
      <c r="BE320" s="1759"/>
      <c r="BF320" s="1759"/>
      <c r="BG320" s="1056"/>
    </row>
    <row r="321" spans="1:59" x14ac:dyDescent="0.15">
      <c r="A321" s="1050"/>
      <c r="B321" s="1064"/>
      <c r="C321" s="1759" t="str">
        <f>+Nyilatkozatok!CX129</f>
        <v/>
      </c>
      <c r="D321" s="1759"/>
      <c r="E321" s="1759"/>
      <c r="F321" s="1759"/>
      <c r="G321" s="1759"/>
      <c r="H321" s="1759"/>
      <c r="I321" s="1759"/>
      <c r="J321" s="1759"/>
      <c r="K321" s="1759"/>
      <c r="L321" s="1759"/>
      <c r="M321" s="1759"/>
      <c r="N321" s="1759"/>
      <c r="O321" s="1759"/>
      <c r="P321" s="1759"/>
      <c r="Q321" s="1759"/>
      <c r="R321" s="1759"/>
      <c r="S321" s="1759"/>
      <c r="T321" s="1759"/>
      <c r="U321" s="1759"/>
      <c r="V321" s="1759"/>
      <c r="W321" s="1759"/>
      <c r="X321" s="1759"/>
      <c r="Y321" s="1759"/>
      <c r="Z321" s="1759"/>
      <c r="AA321" s="1759"/>
      <c r="AB321" s="1759"/>
      <c r="AC321" s="1759"/>
      <c r="AD321" s="1759"/>
      <c r="AE321" s="1759"/>
      <c r="AF321" s="1759"/>
      <c r="AG321" s="1759"/>
      <c r="AH321" s="1759"/>
      <c r="AI321" s="1759"/>
      <c r="AJ321" s="1759"/>
      <c r="AK321" s="1759"/>
      <c r="AL321" s="1759"/>
      <c r="AM321" s="1759"/>
      <c r="AN321" s="1759"/>
      <c r="AO321" s="1759"/>
      <c r="AP321" s="1759"/>
      <c r="AQ321" s="1759"/>
      <c r="AR321" s="1759"/>
      <c r="AS321" s="1759"/>
      <c r="AT321" s="1759"/>
      <c r="AU321" s="1759"/>
      <c r="AV321" s="1759"/>
      <c r="AW321" s="1759"/>
      <c r="AX321" s="1759"/>
      <c r="AY321" s="1759"/>
      <c r="AZ321" s="1759"/>
      <c r="BA321" s="1759"/>
      <c r="BB321" s="1759"/>
      <c r="BC321" s="1759"/>
      <c r="BD321" s="1759"/>
      <c r="BE321" s="1759"/>
      <c r="BF321" s="1759"/>
      <c r="BG321" s="1056"/>
    </row>
    <row r="322" spans="1:59" x14ac:dyDescent="0.15">
      <c r="A322" s="1050"/>
      <c r="B322" s="1064"/>
      <c r="C322" s="1759" t="str">
        <f>+Nyilatkozatok!CX130</f>
        <v/>
      </c>
      <c r="D322" s="1759"/>
      <c r="E322" s="1759"/>
      <c r="F322" s="1759"/>
      <c r="G322" s="1759"/>
      <c r="H322" s="1759"/>
      <c r="I322" s="1759"/>
      <c r="J322" s="1759"/>
      <c r="K322" s="1759"/>
      <c r="L322" s="1759"/>
      <c r="M322" s="1759"/>
      <c r="N322" s="1759"/>
      <c r="O322" s="1759"/>
      <c r="P322" s="1759"/>
      <c r="Q322" s="1759"/>
      <c r="R322" s="1759"/>
      <c r="S322" s="1759"/>
      <c r="T322" s="1759"/>
      <c r="U322" s="1759"/>
      <c r="V322" s="1759"/>
      <c r="W322" s="1759"/>
      <c r="X322" s="1759"/>
      <c r="Y322" s="1759"/>
      <c r="Z322" s="1759"/>
      <c r="AA322" s="1759"/>
      <c r="AB322" s="1759"/>
      <c r="AC322" s="1759"/>
      <c r="AD322" s="1759"/>
      <c r="AE322" s="1759"/>
      <c r="AF322" s="1759"/>
      <c r="AG322" s="1759"/>
      <c r="AH322" s="1759"/>
      <c r="AI322" s="1759"/>
      <c r="AJ322" s="1759"/>
      <c r="AK322" s="1759"/>
      <c r="AL322" s="1759"/>
      <c r="AM322" s="1759"/>
      <c r="AN322" s="1759"/>
      <c r="AO322" s="1759"/>
      <c r="AP322" s="1759"/>
      <c r="AQ322" s="1759"/>
      <c r="AR322" s="1759"/>
      <c r="AS322" s="1759"/>
      <c r="AT322" s="1759"/>
      <c r="AU322" s="1759"/>
      <c r="AV322" s="1759"/>
      <c r="AW322" s="1759"/>
      <c r="AX322" s="1759"/>
      <c r="AY322" s="1759"/>
      <c r="AZ322" s="1759"/>
      <c r="BA322" s="1759"/>
      <c r="BB322" s="1759"/>
      <c r="BC322" s="1759"/>
      <c r="BD322" s="1759"/>
      <c r="BE322" s="1759"/>
      <c r="BF322" s="1759"/>
      <c r="BG322" s="1056"/>
    </row>
    <row r="323" spans="1:59" x14ac:dyDescent="0.15">
      <c r="A323" s="1050"/>
      <c r="B323" s="1064"/>
      <c r="C323" s="1759" t="str">
        <f>+Nyilatkozatok!CX131</f>
        <v/>
      </c>
      <c r="D323" s="1759"/>
      <c r="E323" s="1759"/>
      <c r="F323" s="1759"/>
      <c r="G323" s="1759"/>
      <c r="H323" s="1759"/>
      <c r="I323" s="1759"/>
      <c r="J323" s="1759"/>
      <c r="K323" s="1759"/>
      <c r="L323" s="1759"/>
      <c r="M323" s="1759"/>
      <c r="N323" s="1759"/>
      <c r="O323" s="1759"/>
      <c r="P323" s="1759"/>
      <c r="Q323" s="1759"/>
      <c r="R323" s="1759"/>
      <c r="S323" s="1759"/>
      <c r="T323" s="1759"/>
      <c r="U323" s="1759"/>
      <c r="V323" s="1759"/>
      <c r="W323" s="1759"/>
      <c r="X323" s="1759"/>
      <c r="Y323" s="1759"/>
      <c r="Z323" s="1759"/>
      <c r="AA323" s="1759"/>
      <c r="AB323" s="1759"/>
      <c r="AC323" s="1759"/>
      <c r="AD323" s="1759"/>
      <c r="AE323" s="1759"/>
      <c r="AF323" s="1759"/>
      <c r="AG323" s="1759"/>
      <c r="AH323" s="1759"/>
      <c r="AI323" s="1759"/>
      <c r="AJ323" s="1759"/>
      <c r="AK323" s="1759"/>
      <c r="AL323" s="1759"/>
      <c r="AM323" s="1759"/>
      <c r="AN323" s="1759"/>
      <c r="AO323" s="1759"/>
      <c r="AP323" s="1759"/>
      <c r="AQ323" s="1759"/>
      <c r="AR323" s="1759"/>
      <c r="AS323" s="1759"/>
      <c r="AT323" s="1759"/>
      <c r="AU323" s="1759"/>
      <c r="AV323" s="1759"/>
      <c r="AW323" s="1759"/>
      <c r="AX323" s="1759"/>
      <c r="AY323" s="1759"/>
      <c r="AZ323" s="1759"/>
      <c r="BA323" s="1759"/>
      <c r="BB323" s="1759"/>
      <c r="BC323" s="1759"/>
      <c r="BD323" s="1759"/>
      <c r="BE323" s="1759"/>
      <c r="BF323" s="1759"/>
      <c r="BG323" s="1056"/>
    </row>
    <row r="324" spans="1:59" x14ac:dyDescent="0.15">
      <c r="A324" s="1050"/>
      <c r="B324" s="1064"/>
      <c r="C324" s="1759" t="str">
        <f>+Nyilatkozatok!CX132</f>
        <v/>
      </c>
      <c r="D324" s="1759"/>
      <c r="E324" s="1759"/>
      <c r="F324" s="1759"/>
      <c r="G324" s="1759"/>
      <c r="H324" s="1759"/>
      <c r="I324" s="1759"/>
      <c r="J324" s="1759"/>
      <c r="K324" s="1759"/>
      <c r="L324" s="1759"/>
      <c r="M324" s="1759"/>
      <c r="N324" s="1759"/>
      <c r="O324" s="1759"/>
      <c r="P324" s="1759"/>
      <c r="Q324" s="1759"/>
      <c r="R324" s="1759"/>
      <c r="S324" s="1759"/>
      <c r="T324" s="1759"/>
      <c r="U324" s="1759"/>
      <c r="V324" s="1759"/>
      <c r="W324" s="1759"/>
      <c r="X324" s="1759"/>
      <c r="Y324" s="1759"/>
      <c r="Z324" s="1759"/>
      <c r="AA324" s="1759"/>
      <c r="AB324" s="1759"/>
      <c r="AC324" s="1759"/>
      <c r="AD324" s="1759"/>
      <c r="AE324" s="1759"/>
      <c r="AF324" s="1759"/>
      <c r="AG324" s="1759"/>
      <c r="AH324" s="1759"/>
      <c r="AI324" s="1759"/>
      <c r="AJ324" s="1759"/>
      <c r="AK324" s="1759"/>
      <c r="AL324" s="1759"/>
      <c r="AM324" s="1759"/>
      <c r="AN324" s="1759"/>
      <c r="AO324" s="1759"/>
      <c r="AP324" s="1759"/>
      <c r="AQ324" s="1759"/>
      <c r="AR324" s="1759"/>
      <c r="AS324" s="1759"/>
      <c r="AT324" s="1759"/>
      <c r="AU324" s="1759"/>
      <c r="AV324" s="1759"/>
      <c r="AW324" s="1759"/>
      <c r="AX324" s="1759"/>
      <c r="AY324" s="1759"/>
      <c r="AZ324" s="1759"/>
      <c r="BA324" s="1759"/>
      <c r="BB324" s="1759"/>
      <c r="BC324" s="1759"/>
      <c r="BD324" s="1759"/>
      <c r="BE324" s="1759"/>
      <c r="BF324" s="1759"/>
      <c r="BG324" s="1056"/>
    </row>
    <row r="325" spans="1:59" x14ac:dyDescent="0.15">
      <c r="A325" s="1050"/>
      <c r="B325" s="1064"/>
      <c r="C325" s="1759" t="str">
        <f>+Nyilatkozatok!CX133</f>
        <v/>
      </c>
      <c r="D325" s="1759"/>
      <c r="E325" s="1759"/>
      <c r="F325" s="1759"/>
      <c r="G325" s="1759"/>
      <c r="H325" s="1759"/>
      <c r="I325" s="1759"/>
      <c r="J325" s="1759"/>
      <c r="K325" s="1759"/>
      <c r="L325" s="1759"/>
      <c r="M325" s="1759"/>
      <c r="N325" s="1759"/>
      <c r="O325" s="1759"/>
      <c r="P325" s="1759"/>
      <c r="Q325" s="1759"/>
      <c r="R325" s="1759"/>
      <c r="S325" s="1759"/>
      <c r="T325" s="1759"/>
      <c r="U325" s="1759"/>
      <c r="V325" s="1759"/>
      <c r="W325" s="1759"/>
      <c r="X325" s="1759"/>
      <c r="Y325" s="1759"/>
      <c r="Z325" s="1759"/>
      <c r="AA325" s="1759"/>
      <c r="AB325" s="1759"/>
      <c r="AC325" s="1759"/>
      <c r="AD325" s="1759"/>
      <c r="AE325" s="1759"/>
      <c r="AF325" s="1759"/>
      <c r="AG325" s="1759"/>
      <c r="AH325" s="1759"/>
      <c r="AI325" s="1759"/>
      <c r="AJ325" s="1759"/>
      <c r="AK325" s="1759"/>
      <c r="AL325" s="1759"/>
      <c r="AM325" s="1759"/>
      <c r="AN325" s="1759"/>
      <c r="AO325" s="1759"/>
      <c r="AP325" s="1759"/>
      <c r="AQ325" s="1759"/>
      <c r="AR325" s="1759"/>
      <c r="AS325" s="1759"/>
      <c r="AT325" s="1759"/>
      <c r="AU325" s="1759"/>
      <c r="AV325" s="1759"/>
      <c r="AW325" s="1759"/>
      <c r="AX325" s="1759"/>
      <c r="AY325" s="1759"/>
      <c r="AZ325" s="1759"/>
      <c r="BA325" s="1759"/>
      <c r="BB325" s="1759"/>
      <c r="BC325" s="1759"/>
      <c r="BD325" s="1759"/>
      <c r="BE325" s="1759"/>
      <c r="BF325" s="1759"/>
      <c r="BG325" s="1056"/>
    </row>
    <row r="326" spans="1:59" x14ac:dyDescent="0.15">
      <c r="A326" s="1050"/>
      <c r="B326" s="1064"/>
      <c r="C326" s="1759" t="str">
        <f>+Nyilatkozatok!CX134</f>
        <v/>
      </c>
      <c r="D326" s="1759"/>
      <c r="E326" s="1759"/>
      <c r="F326" s="1759"/>
      <c r="G326" s="1759"/>
      <c r="H326" s="1759"/>
      <c r="I326" s="1759"/>
      <c r="J326" s="1759"/>
      <c r="K326" s="1759"/>
      <c r="L326" s="1759"/>
      <c r="M326" s="1759"/>
      <c r="N326" s="1759"/>
      <c r="O326" s="1759"/>
      <c r="P326" s="1759"/>
      <c r="Q326" s="1759"/>
      <c r="R326" s="1759"/>
      <c r="S326" s="1759"/>
      <c r="T326" s="1759"/>
      <c r="U326" s="1759"/>
      <c r="V326" s="1759"/>
      <c r="W326" s="1759"/>
      <c r="X326" s="1759"/>
      <c r="Y326" s="1759"/>
      <c r="Z326" s="1759"/>
      <c r="AA326" s="1759"/>
      <c r="AB326" s="1759"/>
      <c r="AC326" s="1759"/>
      <c r="AD326" s="1759"/>
      <c r="AE326" s="1759"/>
      <c r="AF326" s="1759"/>
      <c r="AG326" s="1759"/>
      <c r="AH326" s="1759"/>
      <c r="AI326" s="1759"/>
      <c r="AJ326" s="1759"/>
      <c r="AK326" s="1759"/>
      <c r="AL326" s="1759"/>
      <c r="AM326" s="1759"/>
      <c r="AN326" s="1759"/>
      <c r="AO326" s="1759"/>
      <c r="AP326" s="1759"/>
      <c r="AQ326" s="1759"/>
      <c r="AR326" s="1759"/>
      <c r="AS326" s="1759"/>
      <c r="AT326" s="1759"/>
      <c r="AU326" s="1759"/>
      <c r="AV326" s="1759"/>
      <c r="AW326" s="1759"/>
      <c r="AX326" s="1759"/>
      <c r="AY326" s="1759"/>
      <c r="AZ326" s="1759"/>
      <c r="BA326" s="1759"/>
      <c r="BB326" s="1759"/>
      <c r="BC326" s="1759"/>
      <c r="BD326" s="1759"/>
      <c r="BE326" s="1759"/>
      <c r="BF326" s="1759"/>
      <c r="BG326" s="1056"/>
    </row>
    <row r="327" spans="1:59" x14ac:dyDescent="0.15">
      <c r="A327" s="1050"/>
      <c r="B327" s="1064"/>
      <c r="C327" s="1759" t="str">
        <f>+Nyilatkozatok!CX135</f>
        <v/>
      </c>
      <c r="D327" s="1759"/>
      <c r="E327" s="1759"/>
      <c r="F327" s="1759"/>
      <c r="G327" s="1759"/>
      <c r="H327" s="1759"/>
      <c r="I327" s="1759"/>
      <c r="J327" s="1759"/>
      <c r="K327" s="1759"/>
      <c r="L327" s="1759"/>
      <c r="M327" s="1759"/>
      <c r="N327" s="1759"/>
      <c r="O327" s="1759"/>
      <c r="P327" s="1759"/>
      <c r="Q327" s="1759"/>
      <c r="R327" s="1759"/>
      <c r="S327" s="1759"/>
      <c r="T327" s="1759"/>
      <c r="U327" s="1759"/>
      <c r="V327" s="1759"/>
      <c r="W327" s="1759"/>
      <c r="X327" s="1759"/>
      <c r="Y327" s="1759"/>
      <c r="Z327" s="1759"/>
      <c r="AA327" s="1759"/>
      <c r="AB327" s="1759"/>
      <c r="AC327" s="1759"/>
      <c r="AD327" s="1759"/>
      <c r="AE327" s="1759"/>
      <c r="AF327" s="1759"/>
      <c r="AG327" s="1759"/>
      <c r="AH327" s="1759"/>
      <c r="AI327" s="1759"/>
      <c r="AJ327" s="1759"/>
      <c r="AK327" s="1759"/>
      <c r="AL327" s="1759"/>
      <c r="AM327" s="1759"/>
      <c r="AN327" s="1759"/>
      <c r="AO327" s="1759"/>
      <c r="AP327" s="1759"/>
      <c r="AQ327" s="1759"/>
      <c r="AR327" s="1759"/>
      <c r="AS327" s="1759"/>
      <c r="AT327" s="1759"/>
      <c r="AU327" s="1759"/>
      <c r="AV327" s="1759"/>
      <c r="AW327" s="1759"/>
      <c r="AX327" s="1759"/>
      <c r="AY327" s="1759"/>
      <c r="AZ327" s="1759"/>
      <c r="BA327" s="1759"/>
      <c r="BB327" s="1759"/>
      <c r="BC327" s="1759"/>
      <c r="BD327" s="1759"/>
      <c r="BE327" s="1759"/>
      <c r="BF327" s="1759"/>
      <c r="BG327" s="1056"/>
    </row>
    <row r="328" spans="1:59" x14ac:dyDescent="0.15">
      <c r="A328" s="1050"/>
      <c r="B328" s="1064"/>
      <c r="C328" s="1759" t="str">
        <f>+Nyilatkozatok!CX136</f>
        <v/>
      </c>
      <c r="D328" s="1759"/>
      <c r="E328" s="1759"/>
      <c r="F328" s="1759"/>
      <c r="G328" s="1759"/>
      <c r="H328" s="1759"/>
      <c r="I328" s="1759"/>
      <c r="J328" s="1759"/>
      <c r="K328" s="1759"/>
      <c r="L328" s="1759"/>
      <c r="M328" s="1759"/>
      <c r="N328" s="1759"/>
      <c r="O328" s="1759"/>
      <c r="P328" s="1759"/>
      <c r="Q328" s="1759"/>
      <c r="R328" s="1759"/>
      <c r="S328" s="1759"/>
      <c r="T328" s="1759"/>
      <c r="U328" s="1759"/>
      <c r="V328" s="1759"/>
      <c r="W328" s="1759"/>
      <c r="X328" s="1759"/>
      <c r="Y328" s="1759"/>
      <c r="Z328" s="1759"/>
      <c r="AA328" s="1759"/>
      <c r="AB328" s="1759"/>
      <c r="AC328" s="1759"/>
      <c r="AD328" s="1759"/>
      <c r="AE328" s="1759"/>
      <c r="AF328" s="1759"/>
      <c r="AG328" s="1759"/>
      <c r="AH328" s="1759"/>
      <c r="AI328" s="1759"/>
      <c r="AJ328" s="1759"/>
      <c r="AK328" s="1759"/>
      <c r="AL328" s="1759"/>
      <c r="AM328" s="1759"/>
      <c r="AN328" s="1759"/>
      <c r="AO328" s="1759"/>
      <c r="AP328" s="1759"/>
      <c r="AQ328" s="1759"/>
      <c r="AR328" s="1759"/>
      <c r="AS328" s="1759"/>
      <c r="AT328" s="1759"/>
      <c r="AU328" s="1759"/>
      <c r="AV328" s="1759"/>
      <c r="AW328" s="1759"/>
      <c r="AX328" s="1759"/>
      <c r="AY328" s="1759"/>
      <c r="AZ328" s="1759"/>
      <c r="BA328" s="1759"/>
      <c r="BB328" s="1759"/>
      <c r="BC328" s="1759"/>
      <c r="BD328" s="1759"/>
      <c r="BE328" s="1759"/>
      <c r="BF328" s="1759"/>
      <c r="BG328" s="1056"/>
    </row>
    <row r="329" spans="1:59" x14ac:dyDescent="0.15">
      <c r="A329" s="1050"/>
      <c r="B329" s="1064"/>
      <c r="C329" s="1759" t="str">
        <f>+Nyilatkozatok!CX137</f>
        <v/>
      </c>
      <c r="D329" s="1759"/>
      <c r="E329" s="1759"/>
      <c r="F329" s="1759"/>
      <c r="G329" s="1759"/>
      <c r="H329" s="1759"/>
      <c r="I329" s="1759"/>
      <c r="J329" s="1759"/>
      <c r="K329" s="1759"/>
      <c r="L329" s="1759"/>
      <c r="M329" s="1759"/>
      <c r="N329" s="1759"/>
      <c r="O329" s="1759"/>
      <c r="P329" s="1759"/>
      <c r="Q329" s="1759"/>
      <c r="R329" s="1759"/>
      <c r="S329" s="1759"/>
      <c r="T329" s="1759"/>
      <c r="U329" s="1759"/>
      <c r="V329" s="1759"/>
      <c r="W329" s="1759"/>
      <c r="X329" s="1759"/>
      <c r="Y329" s="1759"/>
      <c r="Z329" s="1759"/>
      <c r="AA329" s="1759"/>
      <c r="AB329" s="1759"/>
      <c r="AC329" s="1759"/>
      <c r="AD329" s="1759"/>
      <c r="AE329" s="1759"/>
      <c r="AF329" s="1759"/>
      <c r="AG329" s="1759"/>
      <c r="AH329" s="1759"/>
      <c r="AI329" s="1759"/>
      <c r="AJ329" s="1759"/>
      <c r="AK329" s="1759"/>
      <c r="AL329" s="1759"/>
      <c r="AM329" s="1759"/>
      <c r="AN329" s="1759"/>
      <c r="AO329" s="1759"/>
      <c r="AP329" s="1759"/>
      <c r="AQ329" s="1759"/>
      <c r="AR329" s="1759"/>
      <c r="AS329" s="1759"/>
      <c r="AT329" s="1759"/>
      <c r="AU329" s="1759"/>
      <c r="AV329" s="1759"/>
      <c r="AW329" s="1759"/>
      <c r="AX329" s="1759"/>
      <c r="AY329" s="1759"/>
      <c r="AZ329" s="1759"/>
      <c r="BA329" s="1759"/>
      <c r="BB329" s="1759"/>
      <c r="BC329" s="1759"/>
      <c r="BD329" s="1759"/>
      <c r="BE329" s="1759"/>
      <c r="BF329" s="1759"/>
      <c r="BG329" s="1056"/>
    </row>
    <row r="330" spans="1:59" x14ac:dyDescent="0.15">
      <c r="A330" s="1050"/>
      <c r="B330" s="1064"/>
      <c r="C330" s="1779" t="s">
        <v>787</v>
      </c>
      <c r="D330" s="1761"/>
      <c r="E330" s="1761"/>
      <c r="F330" s="1761"/>
      <c r="G330" s="1761"/>
      <c r="H330" s="1761"/>
      <c r="I330" s="1761"/>
      <c r="J330" s="1761"/>
      <c r="K330" s="1761"/>
      <c r="L330" s="1761"/>
      <c r="M330" s="1761"/>
      <c r="N330" s="1761"/>
      <c r="O330" s="1761"/>
      <c r="P330" s="1761"/>
      <c r="Q330" s="1761"/>
      <c r="R330" s="1761"/>
      <c r="S330" s="1761"/>
      <c r="T330" s="1761"/>
      <c r="U330" s="1761"/>
      <c r="V330" s="1761"/>
      <c r="W330" s="1761"/>
      <c r="X330" s="1761"/>
      <c r="Y330" s="1761"/>
      <c r="Z330" s="1761"/>
      <c r="AA330" s="1761"/>
      <c r="AB330" s="1761"/>
      <c r="AC330" s="1761"/>
      <c r="AD330" s="1761"/>
      <c r="AE330" s="1761"/>
      <c r="AF330" s="1761"/>
      <c r="AG330" s="1761"/>
      <c r="AH330" s="1761"/>
      <c r="AI330" s="1761"/>
      <c r="AJ330" s="1761"/>
      <c r="AK330" s="1761"/>
      <c r="AL330" s="1761"/>
      <c r="AM330" s="1761"/>
      <c r="AN330" s="1761"/>
      <c r="AO330" s="1761"/>
      <c r="AP330" s="1761"/>
      <c r="AQ330" s="1761"/>
      <c r="AR330" s="1761"/>
      <c r="AS330" s="1761"/>
      <c r="AT330" s="1761"/>
      <c r="AU330" s="1761"/>
      <c r="AV330" s="1761"/>
      <c r="AW330" s="1761"/>
      <c r="AX330" s="1761"/>
      <c r="AY330" s="1761"/>
      <c r="AZ330" s="1761"/>
      <c r="BA330" s="1761"/>
      <c r="BB330" s="1761"/>
      <c r="BC330" s="1761"/>
      <c r="BD330" s="1761"/>
      <c r="BE330" s="1761"/>
      <c r="BF330" s="1761"/>
      <c r="BG330" s="1056"/>
    </row>
    <row r="331" spans="1:59" x14ac:dyDescent="0.15">
      <c r="A331" s="1050"/>
      <c r="B331" s="1053"/>
      <c r="C331" s="1760"/>
      <c r="D331" s="1760"/>
      <c r="E331" s="1760"/>
      <c r="F331" s="1760"/>
      <c r="G331" s="1760"/>
      <c r="H331" s="1760"/>
      <c r="I331" s="1760"/>
      <c r="J331" s="1760"/>
      <c r="K331" s="1760"/>
      <c r="L331" s="1760"/>
      <c r="M331" s="1760"/>
      <c r="N331" s="1760"/>
      <c r="O331" s="1760"/>
      <c r="P331" s="1760"/>
      <c r="Q331" s="1760"/>
      <c r="R331" s="1760"/>
      <c r="S331" s="1760"/>
      <c r="T331" s="1760"/>
      <c r="U331" s="1760"/>
      <c r="V331" s="1760"/>
      <c r="W331" s="1760"/>
      <c r="X331" s="1760"/>
      <c r="Y331" s="1760"/>
      <c r="Z331" s="1760"/>
      <c r="AA331" s="1760"/>
      <c r="AB331" s="1760"/>
      <c r="AC331" s="1760"/>
      <c r="AD331" s="1760"/>
      <c r="AE331" s="1760"/>
      <c r="AF331" s="1760"/>
      <c r="AG331" s="1760"/>
      <c r="AH331" s="1760"/>
      <c r="AI331" s="1760"/>
      <c r="AJ331" s="1760"/>
      <c r="AK331" s="1760"/>
      <c r="AL331" s="1760"/>
      <c r="AM331" s="1760"/>
      <c r="AN331" s="1760"/>
      <c r="AO331" s="1760"/>
      <c r="AP331" s="1760"/>
      <c r="AQ331" s="1760"/>
      <c r="AR331" s="1760"/>
      <c r="AS331" s="1760"/>
      <c r="AT331" s="1760"/>
      <c r="AU331" s="1760"/>
      <c r="AV331" s="1760"/>
      <c r="AW331" s="1760"/>
      <c r="AX331" s="1760"/>
      <c r="AY331" s="1760"/>
      <c r="AZ331" s="1760"/>
      <c r="BA331" s="1760"/>
      <c r="BB331" s="1760"/>
      <c r="BC331" s="1760"/>
      <c r="BD331" s="1760"/>
      <c r="BE331" s="1760"/>
      <c r="BF331" s="1760"/>
      <c r="BG331" s="1071"/>
    </row>
    <row r="332" spans="1:59" x14ac:dyDescent="0.15">
      <c r="A332" s="1050"/>
      <c r="B332" s="1064"/>
      <c r="C332" s="1760"/>
      <c r="D332" s="1760"/>
      <c r="E332" s="1760"/>
      <c r="F332" s="1760"/>
      <c r="G332" s="1760"/>
      <c r="H332" s="1760"/>
      <c r="I332" s="1760"/>
      <c r="J332" s="1760"/>
      <c r="K332" s="1760"/>
      <c r="L332" s="1760"/>
      <c r="M332" s="1760"/>
      <c r="N332" s="1760"/>
      <c r="O332" s="1760"/>
      <c r="P332" s="1760"/>
      <c r="Q332" s="1760"/>
      <c r="R332" s="1760"/>
      <c r="S332" s="1760"/>
      <c r="T332" s="1760"/>
      <c r="U332" s="1760"/>
      <c r="V332" s="1760"/>
      <c r="W332" s="1760"/>
      <c r="X332" s="1760"/>
      <c r="Y332" s="1760"/>
      <c r="Z332" s="1760"/>
      <c r="AA332" s="1760"/>
      <c r="AB332" s="1760"/>
      <c r="AC332" s="1760"/>
      <c r="AD332" s="1760"/>
      <c r="AE332" s="1760"/>
      <c r="AF332" s="1760"/>
      <c r="AG332" s="1760"/>
      <c r="AH332" s="1760"/>
      <c r="AI332" s="1760"/>
      <c r="AJ332" s="1760"/>
      <c r="AK332" s="1760"/>
      <c r="AL332" s="1760"/>
      <c r="AM332" s="1760"/>
      <c r="AN332" s="1760"/>
      <c r="AO332" s="1760"/>
      <c r="AP332" s="1760"/>
      <c r="AQ332" s="1760"/>
      <c r="AR332" s="1760"/>
      <c r="AS332" s="1760"/>
      <c r="AT332" s="1760"/>
      <c r="AU332" s="1760"/>
      <c r="AV332" s="1760"/>
      <c r="AW332" s="1760"/>
      <c r="AX332" s="1760"/>
      <c r="AY332" s="1760"/>
      <c r="AZ332" s="1760"/>
      <c r="BA332" s="1760"/>
      <c r="BB332" s="1760"/>
      <c r="BC332" s="1760"/>
      <c r="BD332" s="1760"/>
      <c r="BE332" s="1760"/>
      <c r="BF332" s="1760"/>
      <c r="BG332" s="1056"/>
    </row>
    <row r="333" spans="1:59" x14ac:dyDescent="0.15">
      <c r="A333" s="1050"/>
      <c r="B333" s="1064"/>
      <c r="C333" s="1054"/>
      <c r="D333" s="1054"/>
      <c r="E333" s="1054"/>
      <c r="F333" s="1054" t="s">
        <v>796</v>
      </c>
      <c r="G333" s="1054"/>
      <c r="H333" s="1780" t="str">
        <f>+IF(keltezes="","",keltezes)</f>
        <v/>
      </c>
      <c r="I333" s="1760"/>
      <c r="J333" s="1760"/>
      <c r="K333" s="1760"/>
      <c r="L333" s="1760"/>
      <c r="M333" s="1760"/>
      <c r="N333" s="1760"/>
      <c r="O333" s="1760"/>
      <c r="P333" s="1760"/>
      <c r="Q333" s="1760"/>
      <c r="R333" s="1760"/>
      <c r="S333" s="1760"/>
      <c r="T333" s="1760"/>
      <c r="U333" s="1054"/>
      <c r="V333" s="1054"/>
      <c r="W333" s="1054"/>
      <c r="X333" s="1054"/>
      <c r="Y333" s="1054"/>
      <c r="Z333" s="1054"/>
      <c r="AA333" s="1054"/>
      <c r="AB333" s="1054"/>
      <c r="AC333" s="1054"/>
      <c r="AD333" s="1054"/>
      <c r="AE333" s="1054"/>
      <c r="AF333" s="1054"/>
      <c r="AG333" s="1054"/>
      <c r="AH333" s="1054"/>
      <c r="AI333" s="1054"/>
      <c r="AJ333" s="1054"/>
      <c r="AK333" s="1054"/>
      <c r="AL333" s="1054"/>
      <c r="AM333" s="1054"/>
      <c r="AN333" s="1054"/>
      <c r="AO333" s="1054"/>
      <c r="AP333" s="1054"/>
      <c r="AQ333" s="1054"/>
      <c r="AR333" s="1054"/>
      <c r="AS333" s="1054"/>
      <c r="AT333" s="1054"/>
      <c r="AU333" s="1054"/>
      <c r="AV333" s="1054"/>
      <c r="AW333" s="1054"/>
      <c r="AX333" s="1054"/>
      <c r="AY333" s="1054"/>
      <c r="AZ333" s="1054"/>
      <c r="BA333" s="1054"/>
      <c r="BB333" s="1054"/>
      <c r="BC333" s="1054"/>
      <c r="BD333" s="1054"/>
      <c r="BE333" s="1054"/>
      <c r="BF333" s="1054"/>
      <c r="BG333" s="1056"/>
    </row>
    <row r="334" spans="1:59" x14ac:dyDescent="0.15">
      <c r="A334" s="1050"/>
      <c r="B334" s="1064"/>
      <c r="C334" s="1054"/>
      <c r="D334" s="1054"/>
      <c r="E334" s="1054"/>
      <c r="F334" s="1054"/>
      <c r="G334" s="1054"/>
      <c r="H334" s="1054"/>
      <c r="I334" s="1054"/>
      <c r="J334" s="1054"/>
      <c r="K334" s="1054"/>
      <c r="L334" s="1054"/>
      <c r="M334" s="1054"/>
      <c r="N334" s="1054"/>
      <c r="O334" s="1054"/>
      <c r="P334" s="1054"/>
      <c r="Q334" s="1054"/>
      <c r="R334" s="1054"/>
      <c r="S334" s="1054"/>
      <c r="T334" s="1054"/>
      <c r="U334" s="1054"/>
      <c r="V334" s="1054"/>
      <c r="W334" s="1054"/>
      <c r="X334" s="1054"/>
      <c r="Y334" s="1054"/>
      <c r="Z334" s="1054"/>
      <c r="AA334" s="1054"/>
      <c r="AB334" s="1054"/>
      <c r="AC334" s="1054"/>
      <c r="AD334" s="1054"/>
      <c r="AE334" s="1054"/>
      <c r="AF334" s="1054"/>
      <c r="AG334" s="1054"/>
      <c r="AH334" s="1054"/>
      <c r="AI334" s="1054"/>
      <c r="AJ334" s="1054"/>
      <c r="AK334" s="1054"/>
      <c r="AL334" s="1054"/>
      <c r="AM334" s="1054"/>
      <c r="AN334" s="1054"/>
      <c r="AO334" s="1054"/>
      <c r="AP334" s="1054"/>
      <c r="AQ334" s="1054"/>
      <c r="AR334" s="1054"/>
      <c r="AS334" s="1054"/>
      <c r="AT334" s="1054"/>
      <c r="AU334" s="1054"/>
      <c r="AV334" s="1054"/>
      <c r="AW334" s="1054"/>
      <c r="AX334" s="1054"/>
      <c r="AY334" s="1054"/>
      <c r="AZ334" s="1054"/>
      <c r="BA334" s="1054"/>
      <c r="BB334" s="1054"/>
      <c r="BC334" s="1054"/>
      <c r="BD334" s="1054"/>
      <c r="BE334" s="1054"/>
      <c r="BF334" s="1054"/>
      <c r="BG334" s="1056"/>
    </row>
    <row r="335" spans="1:59" x14ac:dyDescent="0.15">
      <c r="A335" s="1050"/>
      <c r="B335" s="1064"/>
      <c r="C335" s="1054"/>
      <c r="D335" s="1054"/>
      <c r="E335" s="1054"/>
      <c r="F335" s="1054"/>
      <c r="G335" s="1054"/>
      <c r="H335" s="1054"/>
      <c r="I335" s="1054"/>
      <c r="J335" s="1054"/>
      <c r="K335" s="1054"/>
      <c r="L335" s="1054"/>
      <c r="M335" s="1054"/>
      <c r="N335" s="1054"/>
      <c r="O335" s="1054"/>
      <c r="P335" s="1054"/>
      <c r="Q335" s="1054"/>
      <c r="R335" s="1054"/>
      <c r="S335" s="1054"/>
      <c r="T335" s="1054"/>
      <c r="U335" s="1054"/>
      <c r="V335" s="1054"/>
      <c r="W335" s="1054"/>
      <c r="X335" s="1054"/>
      <c r="Y335" s="1054"/>
      <c r="Z335" s="1054"/>
      <c r="AA335" s="1054"/>
      <c r="AB335" s="1054"/>
      <c r="AC335" s="1054"/>
      <c r="AD335" s="1054"/>
      <c r="AE335" s="1054"/>
      <c r="AF335" s="1747"/>
      <c r="AG335" s="1747"/>
      <c r="AH335" s="1747"/>
      <c r="AI335" s="1747"/>
      <c r="AJ335" s="1747"/>
      <c r="AK335" s="1747"/>
      <c r="AL335" s="1747"/>
      <c r="AM335" s="1747"/>
      <c r="AN335" s="1747"/>
      <c r="AO335" s="1747"/>
      <c r="AP335" s="1747"/>
      <c r="AQ335" s="1747"/>
      <c r="AR335" s="1747"/>
      <c r="AS335" s="1747"/>
      <c r="AT335" s="1747"/>
      <c r="AU335" s="1747"/>
      <c r="AV335" s="1747"/>
      <c r="AW335" s="1747"/>
      <c r="AX335" s="1747"/>
      <c r="AY335" s="1747"/>
      <c r="AZ335" s="1747"/>
      <c r="BA335" s="1747"/>
      <c r="BB335" s="1747"/>
      <c r="BC335" s="1747"/>
      <c r="BD335" s="1747"/>
      <c r="BE335" s="1054"/>
      <c r="BF335" s="1054"/>
      <c r="BG335" s="1056"/>
    </row>
    <row r="336" spans="1:59" ht="15" customHeight="1" x14ac:dyDescent="0.15">
      <c r="A336" s="1050"/>
      <c r="B336" s="1064"/>
      <c r="C336" s="1054"/>
      <c r="D336" s="1054"/>
      <c r="E336" s="1054"/>
      <c r="F336" s="1054"/>
      <c r="G336" s="1054"/>
      <c r="H336" s="1054"/>
      <c r="I336" s="1054"/>
      <c r="J336" s="1054"/>
      <c r="K336" s="1054"/>
      <c r="L336" s="1054"/>
      <c r="M336" s="1054"/>
      <c r="N336" s="1054"/>
      <c r="O336" s="1054"/>
      <c r="P336" s="1054"/>
      <c r="Q336" s="1054"/>
      <c r="R336" s="1054"/>
      <c r="S336" s="1054"/>
      <c r="T336" s="1054"/>
      <c r="U336" s="1054"/>
      <c r="V336" s="1054"/>
      <c r="W336" s="1054"/>
      <c r="X336" s="1054"/>
      <c r="Y336" s="1054"/>
      <c r="Z336" s="1054"/>
      <c r="AA336" s="1054"/>
      <c r="AB336" s="1054"/>
      <c r="AC336" s="1054"/>
      <c r="AD336" s="1054"/>
      <c r="AE336" s="1054"/>
      <c r="AF336" s="1746" t="str">
        <f>+IF('Támogatási Nyilatkozatok_all'!C274="","",'Támogatási Nyilatkozatok_all'!C274)</f>
        <v/>
      </c>
      <c r="AG336" s="1746"/>
      <c r="AH336" s="1746"/>
      <c r="AI336" s="1746"/>
      <c r="AJ336" s="1746"/>
      <c r="AK336" s="1746"/>
      <c r="AL336" s="1746"/>
      <c r="AM336" s="1746"/>
      <c r="AN336" s="1746"/>
      <c r="AO336" s="1746"/>
      <c r="AP336" s="1746"/>
      <c r="AQ336" s="1746"/>
      <c r="AR336" s="1746"/>
      <c r="AS336" s="1746"/>
      <c r="AT336" s="1746"/>
      <c r="AU336" s="1746"/>
      <c r="AV336" s="1746"/>
      <c r="AW336" s="1746"/>
      <c r="AX336" s="1746"/>
      <c r="AY336" s="1746"/>
      <c r="AZ336" s="1746"/>
      <c r="BA336" s="1746"/>
      <c r="BB336" s="1746"/>
      <c r="BC336" s="1746"/>
      <c r="BD336" s="1746"/>
      <c r="BE336" s="1054"/>
      <c r="BF336" s="1054"/>
      <c r="BG336" s="1056"/>
    </row>
    <row r="337" spans="1:59" x14ac:dyDescent="0.15">
      <c r="A337" s="1050"/>
      <c r="B337" s="1064"/>
      <c r="C337" s="1054"/>
      <c r="D337" s="1054"/>
      <c r="E337" s="1054"/>
      <c r="F337" s="1054"/>
      <c r="G337" s="1054"/>
      <c r="H337" s="1054"/>
      <c r="I337" s="1054"/>
      <c r="J337" s="1054"/>
      <c r="K337" s="1054"/>
      <c r="L337" s="1054"/>
      <c r="M337" s="1054"/>
      <c r="N337" s="1054"/>
      <c r="O337" s="1054"/>
      <c r="P337" s="1054"/>
      <c r="Q337" s="1054"/>
      <c r="R337" s="1054"/>
      <c r="S337" s="1054"/>
      <c r="T337" s="1054"/>
      <c r="U337" s="1054"/>
      <c r="V337" s="1054"/>
      <c r="W337" s="1054"/>
      <c r="X337" s="1054"/>
      <c r="Y337" s="1054"/>
      <c r="Z337" s="1054"/>
      <c r="AA337" s="1054"/>
      <c r="AB337" s="1054"/>
      <c r="AC337" s="1054"/>
      <c r="AD337" s="1054"/>
      <c r="AE337" s="1054"/>
      <c r="AF337" s="1054"/>
      <c r="AG337" s="1054"/>
      <c r="AH337" s="1054"/>
      <c r="AI337" s="1054"/>
      <c r="AJ337" s="1054"/>
      <c r="AK337" s="1054"/>
      <c r="AL337" s="1054"/>
      <c r="AM337" s="1054"/>
      <c r="AN337" s="1054"/>
      <c r="AO337" s="1054"/>
      <c r="AP337" s="1054"/>
      <c r="AQ337" s="1054"/>
      <c r="AR337" s="1054"/>
      <c r="AS337" s="1054"/>
      <c r="AT337" s="1054"/>
      <c r="AU337" s="1054"/>
      <c r="AV337" s="1054"/>
      <c r="AW337" s="1054"/>
      <c r="AX337" s="1054"/>
      <c r="AY337" s="1054"/>
      <c r="AZ337" s="1054"/>
      <c r="BA337" s="1054"/>
      <c r="BB337" s="1054"/>
      <c r="BC337" s="1054"/>
      <c r="BD337" s="1054"/>
      <c r="BE337" s="1054"/>
      <c r="BF337" s="1054"/>
      <c r="BG337" s="1056"/>
    </row>
    <row r="338" spans="1:59" x14ac:dyDescent="0.15">
      <c r="A338" s="1050"/>
      <c r="B338" s="1064"/>
      <c r="C338" s="1054"/>
      <c r="D338" s="1054"/>
      <c r="E338" s="1054"/>
      <c r="F338" s="1054"/>
      <c r="G338" s="1054"/>
      <c r="H338" s="1054"/>
      <c r="I338" s="1054"/>
      <c r="J338" s="1054"/>
      <c r="K338" s="1054"/>
      <c r="L338" s="1054"/>
      <c r="M338" s="1054"/>
      <c r="N338" s="1054"/>
      <c r="O338" s="1054"/>
      <c r="P338" s="1054"/>
      <c r="Q338" s="1054"/>
      <c r="R338" s="1054"/>
      <c r="S338" s="1054"/>
      <c r="T338" s="1054"/>
      <c r="U338" s="1054"/>
      <c r="V338" s="1054"/>
      <c r="W338" s="1054"/>
      <c r="X338" s="1054"/>
      <c r="Y338" s="1054"/>
      <c r="Z338" s="1054"/>
      <c r="AA338" s="1054"/>
      <c r="AB338" s="1054"/>
      <c r="AC338" s="1054"/>
      <c r="AD338" s="1054"/>
      <c r="AE338" s="1054"/>
      <c r="AF338" s="1054"/>
      <c r="AG338" s="1054"/>
      <c r="AH338" s="1054"/>
      <c r="AI338" s="1054"/>
      <c r="AJ338" s="1054"/>
      <c r="AK338" s="1054"/>
      <c r="AL338" s="1054"/>
      <c r="AM338" s="1054"/>
      <c r="AN338" s="1054"/>
      <c r="AO338" s="1054"/>
      <c r="AP338" s="1054"/>
      <c r="AQ338" s="1054"/>
      <c r="AR338" s="1054"/>
      <c r="AS338" s="1054"/>
      <c r="AT338" s="1054"/>
      <c r="AU338" s="1054"/>
      <c r="AV338" s="1054"/>
      <c r="AW338" s="1054"/>
      <c r="AX338" s="1054"/>
      <c r="AY338" s="1054"/>
      <c r="AZ338" s="1054"/>
      <c r="BA338" s="1054"/>
      <c r="BB338" s="1054"/>
      <c r="BC338" s="1054"/>
      <c r="BD338" s="1054"/>
      <c r="BE338" s="1054"/>
      <c r="BF338" s="1054"/>
      <c r="BG338" s="1056"/>
    </row>
    <row r="339" spans="1:59" x14ac:dyDescent="0.15">
      <c r="A339" s="1050"/>
      <c r="B339" s="1064"/>
      <c r="C339" s="1054"/>
      <c r="D339" s="1054"/>
      <c r="E339" s="1054" t="s">
        <v>797</v>
      </c>
      <c r="F339" s="1054"/>
      <c r="G339" s="1054"/>
      <c r="H339" s="1054"/>
      <c r="I339" s="1054"/>
      <c r="J339" s="1054"/>
      <c r="K339" s="1054"/>
      <c r="L339" s="1054"/>
      <c r="M339" s="1054"/>
      <c r="N339" s="1054"/>
      <c r="O339" s="1054"/>
      <c r="P339" s="1054"/>
      <c r="Q339" s="1054"/>
      <c r="R339" s="1054"/>
      <c r="S339" s="1054"/>
      <c r="T339" s="1054"/>
      <c r="U339" s="1054"/>
      <c r="V339" s="1054"/>
      <c r="W339" s="1054"/>
      <c r="X339" s="1054"/>
      <c r="Y339" s="1054"/>
      <c r="Z339" s="1054"/>
      <c r="AA339" s="1054"/>
      <c r="AB339" s="1054"/>
      <c r="AC339" s="1054"/>
      <c r="AD339" s="1054"/>
      <c r="AE339" s="1054"/>
      <c r="AF339" s="1054"/>
      <c r="AG339" s="1054"/>
      <c r="AH339" s="1054"/>
      <c r="AI339" s="1054"/>
      <c r="AJ339" s="1054"/>
      <c r="AK339" s="1054"/>
      <c r="AL339" s="1054"/>
      <c r="AM339" s="1054"/>
      <c r="AN339" s="1054"/>
      <c r="AO339" s="1054"/>
      <c r="AP339" s="1054"/>
      <c r="AQ339" s="1054"/>
      <c r="AR339" s="1054"/>
      <c r="AS339" s="1054"/>
      <c r="AT339" s="1054"/>
      <c r="AU339" s="1054"/>
      <c r="AV339" s="1054"/>
      <c r="AW339" s="1054"/>
      <c r="AX339" s="1054"/>
      <c r="AY339" s="1054"/>
      <c r="AZ339" s="1054"/>
      <c r="BA339" s="1054"/>
      <c r="BB339" s="1054"/>
      <c r="BC339" s="1054"/>
      <c r="BD339" s="1054"/>
      <c r="BE339" s="1054"/>
      <c r="BF339" s="1054"/>
      <c r="BG339" s="1056"/>
    </row>
    <row r="340" spans="1:59" x14ac:dyDescent="0.15">
      <c r="A340" s="1050"/>
      <c r="B340" s="1064"/>
      <c r="C340" s="1054"/>
      <c r="D340" s="1054"/>
      <c r="E340" s="1054" t="s">
        <v>798</v>
      </c>
      <c r="F340" s="1054"/>
      <c r="G340" s="1054"/>
      <c r="H340" s="1054"/>
      <c r="I340" s="1054"/>
      <c r="J340" s="1054"/>
      <c r="K340" s="1054"/>
      <c r="L340" s="1054"/>
      <c r="M340" s="1054"/>
      <c r="N340" s="1054"/>
      <c r="O340" s="1054"/>
      <c r="P340" s="1054"/>
      <c r="Q340" s="1054"/>
      <c r="R340" s="1054"/>
      <c r="S340" s="1054"/>
      <c r="T340" s="1054"/>
      <c r="U340" s="1054"/>
      <c r="V340" s="1054"/>
      <c r="W340" s="1054"/>
      <c r="X340" s="1054"/>
      <c r="Y340" s="1054"/>
      <c r="Z340" s="1054"/>
      <c r="AA340" s="1054"/>
      <c r="AB340" s="1054"/>
      <c r="AC340" s="1054"/>
      <c r="AD340" s="1054"/>
      <c r="AE340" s="1054"/>
      <c r="AF340" s="1054"/>
      <c r="AG340" s="1054"/>
      <c r="AH340" s="1054"/>
      <c r="AI340" s="1054"/>
      <c r="AJ340" s="1054"/>
      <c r="AK340" s="1054"/>
      <c r="AL340" s="1054"/>
      <c r="AM340" s="1054"/>
      <c r="AN340" s="1054"/>
      <c r="AO340" s="1054"/>
      <c r="AP340" s="1054"/>
      <c r="AQ340" s="1054"/>
      <c r="AR340" s="1054"/>
      <c r="AS340" s="1054"/>
      <c r="AT340" s="1054"/>
      <c r="AU340" s="1054"/>
      <c r="AV340" s="1054"/>
      <c r="AW340" s="1054"/>
      <c r="AX340" s="1054"/>
      <c r="AY340" s="1054"/>
      <c r="AZ340" s="1054"/>
      <c r="BA340" s="1054"/>
      <c r="BB340" s="1054"/>
      <c r="BC340" s="1054"/>
      <c r="BD340" s="1054"/>
      <c r="BE340" s="1054"/>
      <c r="BF340" s="1054"/>
      <c r="BG340" s="1056"/>
    </row>
    <row r="341" spans="1:59" x14ac:dyDescent="0.15">
      <c r="A341" s="1050"/>
      <c r="B341" s="1064"/>
      <c r="C341" s="1054"/>
      <c r="D341" s="1054"/>
      <c r="E341" s="1054"/>
      <c r="F341" s="1054"/>
      <c r="G341" s="1054"/>
      <c r="H341" s="1054"/>
      <c r="I341" s="1054"/>
      <c r="J341" s="1054"/>
      <c r="K341" s="1054"/>
      <c r="L341" s="1054"/>
      <c r="M341" s="1054"/>
      <c r="N341" s="1054"/>
      <c r="O341" s="1054"/>
      <c r="P341" s="1054"/>
      <c r="Q341" s="1054"/>
      <c r="R341" s="1054"/>
      <c r="S341" s="1054"/>
      <c r="T341" s="1054"/>
      <c r="U341" s="1054"/>
      <c r="V341" s="1054"/>
      <c r="W341" s="1054"/>
      <c r="X341" s="1054"/>
      <c r="Y341" s="1054"/>
      <c r="Z341" s="1054"/>
      <c r="AA341" s="1054"/>
      <c r="AB341" s="1054"/>
      <c r="AC341" s="1054"/>
      <c r="AD341" s="1054"/>
      <c r="AE341" s="1054"/>
      <c r="AF341" s="1054"/>
      <c r="AG341" s="1054"/>
      <c r="AH341" s="1054"/>
      <c r="AI341" s="1054"/>
      <c r="AJ341" s="1054"/>
      <c r="AK341" s="1054"/>
      <c r="AL341" s="1054"/>
      <c r="AM341" s="1054"/>
      <c r="AN341" s="1054"/>
      <c r="AO341" s="1054"/>
      <c r="AP341" s="1054"/>
      <c r="AQ341" s="1054"/>
      <c r="AR341" s="1054"/>
      <c r="AS341" s="1054"/>
      <c r="AT341" s="1054"/>
      <c r="AU341" s="1054"/>
      <c r="AV341" s="1054"/>
      <c r="AW341" s="1054"/>
      <c r="AX341" s="1054"/>
      <c r="AY341" s="1054"/>
      <c r="AZ341" s="1054"/>
      <c r="BA341" s="1054"/>
      <c r="BB341" s="1054"/>
      <c r="BC341" s="1054"/>
      <c r="BD341" s="1054"/>
      <c r="BE341" s="1054"/>
      <c r="BF341" s="1054"/>
      <c r="BG341" s="1056"/>
    </row>
    <row r="342" spans="1:59" x14ac:dyDescent="0.15">
      <c r="A342" s="1050"/>
      <c r="B342" s="1064"/>
      <c r="C342" s="1055"/>
      <c r="D342" s="1055"/>
      <c r="E342" s="1055" t="s">
        <v>799</v>
      </c>
      <c r="F342" s="1055"/>
      <c r="G342" s="1055"/>
      <c r="H342" s="1055"/>
      <c r="I342" s="1055"/>
      <c r="J342" s="1747"/>
      <c r="K342" s="1747"/>
      <c r="L342" s="1747"/>
      <c r="M342" s="1747"/>
      <c r="N342" s="1747"/>
      <c r="O342" s="1747"/>
      <c r="P342" s="1747"/>
      <c r="Q342" s="1747"/>
      <c r="R342" s="1747"/>
      <c r="S342" s="1747"/>
      <c r="T342" s="1747"/>
      <c r="U342" s="1747"/>
      <c r="V342" s="1747"/>
      <c r="W342" s="1747"/>
      <c r="X342" s="1747"/>
      <c r="Y342" s="1747"/>
      <c r="Z342" s="1747"/>
      <c r="AA342" s="1747"/>
      <c r="AB342" s="1747"/>
      <c r="AC342" s="1055"/>
      <c r="AD342" s="1055"/>
      <c r="AE342" s="1055"/>
      <c r="AF342" s="1055" t="s">
        <v>800</v>
      </c>
      <c r="AG342" s="1055"/>
      <c r="AH342" s="1055"/>
      <c r="AI342" s="1055"/>
      <c r="AJ342" s="1747"/>
      <c r="AK342" s="1747"/>
      <c r="AL342" s="1747"/>
      <c r="AM342" s="1747"/>
      <c r="AN342" s="1747"/>
      <c r="AO342" s="1747"/>
      <c r="AP342" s="1747"/>
      <c r="AQ342" s="1747"/>
      <c r="AR342" s="1747"/>
      <c r="AS342" s="1747"/>
      <c r="AT342" s="1747"/>
      <c r="AU342" s="1747"/>
      <c r="AV342" s="1747"/>
      <c r="AW342" s="1747"/>
      <c r="AX342" s="1747"/>
      <c r="AY342" s="1747"/>
      <c r="AZ342" s="1747"/>
      <c r="BA342" s="1747"/>
      <c r="BB342" s="1747"/>
      <c r="BC342" s="1055"/>
      <c r="BD342" s="1055"/>
      <c r="BE342" s="1055"/>
      <c r="BF342" s="1055"/>
      <c r="BG342" s="1056"/>
    </row>
    <row r="343" spans="1:59" x14ac:dyDescent="0.15">
      <c r="A343" s="1050"/>
      <c r="B343" s="1064"/>
      <c r="C343" s="1055"/>
      <c r="D343" s="1055"/>
      <c r="E343" s="1055"/>
      <c r="F343" s="1055"/>
      <c r="G343" s="1055"/>
      <c r="H343" s="1055"/>
      <c r="I343" s="1055"/>
      <c r="J343" s="1055"/>
      <c r="K343" s="1055"/>
      <c r="L343" s="1055"/>
      <c r="M343" s="1055"/>
      <c r="N343" s="1746" t="s">
        <v>315</v>
      </c>
      <c r="O343" s="1746"/>
      <c r="P343" s="1746"/>
      <c r="Q343" s="1746"/>
      <c r="R343" s="1746"/>
      <c r="S343" s="1746"/>
      <c r="T343" s="1746"/>
      <c r="U343" s="1746"/>
      <c r="V343" s="1746"/>
      <c r="W343" s="1746"/>
      <c r="X343" s="1746"/>
      <c r="Y343" s="1055"/>
      <c r="Z343" s="1055"/>
      <c r="AA343" s="1055"/>
      <c r="AB343" s="1055"/>
      <c r="AC343" s="1055"/>
      <c r="AD343" s="1055"/>
      <c r="AE343" s="1055"/>
      <c r="AF343" s="1055"/>
      <c r="AG343" s="1055"/>
      <c r="AH343" s="1055"/>
      <c r="AI343" s="1055"/>
      <c r="AJ343" s="1055"/>
      <c r="AK343" s="1055"/>
      <c r="AL343" s="1055"/>
      <c r="AM343" s="1055"/>
      <c r="AN343" s="1746" t="s">
        <v>315</v>
      </c>
      <c r="AO343" s="1746"/>
      <c r="AP343" s="1746"/>
      <c r="AQ343" s="1746"/>
      <c r="AR343" s="1746"/>
      <c r="AS343" s="1746"/>
      <c r="AT343" s="1746"/>
      <c r="AU343" s="1746"/>
      <c r="AV343" s="1746"/>
      <c r="AW343" s="1746"/>
      <c r="AX343" s="1746"/>
      <c r="AY343" s="1055"/>
      <c r="AZ343" s="1055"/>
      <c r="BA343" s="1055"/>
      <c r="BB343" s="1055"/>
      <c r="BC343" s="1055"/>
      <c r="BD343" s="1055"/>
      <c r="BE343" s="1055"/>
      <c r="BF343" s="1055"/>
      <c r="BG343" s="1056"/>
    </row>
    <row r="344" spans="1:59" x14ac:dyDescent="0.15">
      <c r="A344" s="1050"/>
      <c r="B344" s="1064"/>
      <c r="C344" s="1055"/>
      <c r="D344" s="1055"/>
      <c r="E344" s="1055"/>
      <c r="F344" s="1055"/>
      <c r="G344" s="1055"/>
      <c r="H344" s="1055"/>
      <c r="I344" s="1055"/>
      <c r="J344" s="1055"/>
      <c r="K344" s="1055"/>
      <c r="L344" s="1055"/>
      <c r="M344" s="1055"/>
      <c r="N344" s="1055"/>
      <c r="O344" s="1055"/>
      <c r="P344" s="1055"/>
      <c r="Q344" s="1055"/>
      <c r="R344" s="1055"/>
      <c r="S344" s="1055"/>
      <c r="T344" s="1055"/>
      <c r="U344" s="1055"/>
      <c r="V344" s="1055"/>
      <c r="W344" s="1055"/>
      <c r="X344" s="1055"/>
      <c r="Y344" s="1055"/>
      <c r="Z344" s="1055"/>
      <c r="AA344" s="1055"/>
      <c r="AB344" s="1055"/>
      <c r="AC344" s="1055"/>
      <c r="AD344" s="1055"/>
      <c r="AE344" s="1055"/>
      <c r="AF344" s="1055"/>
      <c r="AG344" s="1055"/>
      <c r="AH344" s="1055"/>
      <c r="AI344" s="1055"/>
      <c r="AJ344" s="1055"/>
      <c r="AK344" s="1055"/>
      <c r="AL344" s="1055"/>
      <c r="AM344" s="1055"/>
      <c r="AN344" s="1055"/>
      <c r="AO344" s="1055"/>
      <c r="AP344" s="1055"/>
      <c r="AQ344" s="1055"/>
      <c r="AR344" s="1055"/>
      <c r="AS344" s="1055"/>
      <c r="AT344" s="1055"/>
      <c r="AU344" s="1055"/>
      <c r="AV344" s="1055"/>
      <c r="AW344" s="1055"/>
      <c r="AX344" s="1055"/>
      <c r="AY344" s="1055"/>
      <c r="AZ344" s="1055"/>
      <c r="BA344" s="1055"/>
      <c r="BB344" s="1055"/>
      <c r="BC344" s="1055"/>
      <c r="BD344" s="1055"/>
      <c r="BE344" s="1055"/>
      <c r="BF344" s="1055"/>
      <c r="BG344" s="1056"/>
    </row>
    <row r="345" spans="1:59" x14ac:dyDescent="0.15">
      <c r="A345" s="1050"/>
      <c r="B345" s="1064"/>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c r="AU345" s="1055"/>
      <c r="AV345" s="1055"/>
      <c r="AW345" s="1055"/>
      <c r="AX345" s="1055"/>
      <c r="AY345" s="1055"/>
      <c r="AZ345" s="1055"/>
      <c r="BA345" s="1055"/>
      <c r="BB345" s="1055"/>
      <c r="BC345" s="1055"/>
      <c r="BD345" s="1055"/>
      <c r="BE345" s="1055"/>
      <c r="BF345" s="1055"/>
      <c r="BG345" s="1056"/>
    </row>
    <row r="346" spans="1:59" x14ac:dyDescent="0.15">
      <c r="A346" s="1050"/>
      <c r="B346" s="1064"/>
      <c r="C346" s="1055"/>
      <c r="D346" s="1055"/>
      <c r="E346" s="1055"/>
      <c r="F346" s="1055"/>
      <c r="G346" s="1055"/>
      <c r="H346" s="1055"/>
      <c r="I346" s="1055"/>
      <c r="J346" s="1747"/>
      <c r="K346" s="1747"/>
      <c r="L346" s="1747"/>
      <c r="M346" s="1747"/>
      <c r="N346" s="1747"/>
      <c r="O346" s="1747"/>
      <c r="P346" s="1747"/>
      <c r="Q346" s="1747"/>
      <c r="R346" s="1747"/>
      <c r="S346" s="1747"/>
      <c r="T346" s="1747"/>
      <c r="U346" s="1747"/>
      <c r="V346" s="1747"/>
      <c r="W346" s="1747"/>
      <c r="X346" s="1747"/>
      <c r="Y346" s="1747"/>
      <c r="Z346" s="1747"/>
      <c r="AA346" s="1747"/>
      <c r="AB346" s="1747"/>
      <c r="AC346" s="1055"/>
      <c r="AD346" s="1055"/>
      <c r="AE346" s="1055"/>
      <c r="AF346" s="1055"/>
      <c r="AG346" s="1055"/>
      <c r="AH346" s="1055"/>
      <c r="AI346" s="1055"/>
      <c r="AJ346" s="1747"/>
      <c r="AK346" s="1747"/>
      <c r="AL346" s="1747"/>
      <c r="AM346" s="1747"/>
      <c r="AN346" s="1747"/>
      <c r="AO346" s="1747"/>
      <c r="AP346" s="1747"/>
      <c r="AQ346" s="1747"/>
      <c r="AR346" s="1747"/>
      <c r="AS346" s="1747"/>
      <c r="AT346" s="1747"/>
      <c r="AU346" s="1747"/>
      <c r="AV346" s="1747"/>
      <c r="AW346" s="1747"/>
      <c r="AX346" s="1747"/>
      <c r="AY346" s="1747"/>
      <c r="AZ346" s="1747"/>
      <c r="BA346" s="1747"/>
      <c r="BB346" s="1747"/>
      <c r="BC346" s="1055"/>
      <c r="BD346" s="1055"/>
      <c r="BE346" s="1055"/>
      <c r="BF346" s="1055"/>
      <c r="BG346" s="1056"/>
    </row>
    <row r="347" spans="1:59" x14ac:dyDescent="0.15">
      <c r="A347" s="1050"/>
      <c r="B347" s="1064"/>
      <c r="C347" s="1055"/>
      <c r="D347" s="1055"/>
      <c r="E347" s="1055"/>
      <c r="F347" s="1055"/>
      <c r="G347" s="1055"/>
      <c r="H347" s="1055"/>
      <c r="I347" s="1055"/>
      <c r="J347" s="1055"/>
      <c r="K347" s="1055"/>
      <c r="L347" s="1055"/>
      <c r="M347" s="1055"/>
      <c r="N347" s="1746" t="s">
        <v>316</v>
      </c>
      <c r="O347" s="1746"/>
      <c r="P347" s="1746"/>
      <c r="Q347" s="1746"/>
      <c r="R347" s="1746"/>
      <c r="S347" s="1746"/>
      <c r="T347" s="1746"/>
      <c r="U347" s="1746"/>
      <c r="V347" s="1746"/>
      <c r="W347" s="1746"/>
      <c r="X347" s="1746"/>
      <c r="Y347" s="1055"/>
      <c r="Z347" s="1055"/>
      <c r="AA347" s="1055"/>
      <c r="AB347" s="1055"/>
      <c r="AC347" s="1055"/>
      <c r="AD347" s="1055"/>
      <c r="AE347" s="1055"/>
      <c r="AF347" s="1055"/>
      <c r="AG347" s="1055"/>
      <c r="AH347" s="1055"/>
      <c r="AI347" s="1055"/>
      <c r="AJ347" s="1055"/>
      <c r="AK347" s="1055"/>
      <c r="AL347" s="1055"/>
      <c r="AM347" s="1055"/>
      <c r="AN347" s="1746" t="s">
        <v>316</v>
      </c>
      <c r="AO347" s="1746"/>
      <c r="AP347" s="1746"/>
      <c r="AQ347" s="1746"/>
      <c r="AR347" s="1746"/>
      <c r="AS347" s="1746"/>
      <c r="AT347" s="1746"/>
      <c r="AU347" s="1746"/>
      <c r="AV347" s="1746"/>
      <c r="AW347" s="1746"/>
      <c r="AX347" s="1746"/>
      <c r="AY347" s="1055"/>
      <c r="AZ347" s="1055"/>
      <c r="BA347" s="1055"/>
      <c r="BB347" s="1055"/>
      <c r="BC347" s="1055"/>
      <c r="BD347" s="1055"/>
      <c r="BE347" s="1055"/>
      <c r="BF347" s="1055"/>
      <c r="BG347" s="1056"/>
    </row>
    <row r="348" spans="1:59" x14ac:dyDescent="0.15">
      <c r="A348" s="1050"/>
      <c r="B348" s="1064"/>
      <c r="C348" s="1055"/>
      <c r="D348" s="1055"/>
      <c r="E348" s="1055"/>
      <c r="F348" s="1055"/>
      <c r="G348" s="1055"/>
      <c r="H348" s="1055"/>
      <c r="I348" s="1055"/>
      <c r="J348" s="1055"/>
      <c r="K348" s="1055"/>
      <c r="L348" s="1055"/>
      <c r="M348" s="1055"/>
      <c r="N348" s="1055"/>
      <c r="O348" s="1055"/>
      <c r="P348" s="1055"/>
      <c r="Q348" s="1055"/>
      <c r="R348" s="1055"/>
      <c r="S348" s="1055"/>
      <c r="T348" s="1055"/>
      <c r="U348" s="1055"/>
      <c r="V348" s="1055"/>
      <c r="W348" s="1055"/>
      <c r="X348" s="1055"/>
      <c r="Y348" s="1055"/>
      <c r="Z348" s="1055"/>
      <c r="AA348" s="1055"/>
      <c r="AB348" s="1055"/>
      <c r="AC348" s="1055"/>
      <c r="AD348" s="1055"/>
      <c r="AE348" s="1055"/>
      <c r="AF348" s="1055"/>
      <c r="AG348" s="1055"/>
      <c r="AH348" s="1055"/>
      <c r="AI348" s="1055"/>
      <c r="AJ348" s="1055"/>
      <c r="AK348" s="1055"/>
      <c r="AL348" s="1055"/>
      <c r="AM348" s="1055"/>
      <c r="AN348" s="1055"/>
      <c r="AO348" s="1055"/>
      <c r="AP348" s="1055"/>
      <c r="AQ348" s="1055"/>
      <c r="AR348" s="1055"/>
      <c r="AS348" s="1055"/>
      <c r="AT348" s="1055"/>
      <c r="AU348" s="1055"/>
      <c r="AV348" s="1055"/>
      <c r="AW348" s="1055"/>
      <c r="AX348" s="1055"/>
      <c r="AY348" s="1055"/>
      <c r="AZ348" s="1055"/>
      <c r="BA348" s="1055"/>
      <c r="BB348" s="1055"/>
      <c r="BC348" s="1055"/>
      <c r="BD348" s="1055"/>
      <c r="BE348" s="1055"/>
      <c r="BF348" s="1055"/>
      <c r="BG348" s="1056"/>
    </row>
    <row r="349" spans="1:59" x14ac:dyDescent="0.15">
      <c r="A349" s="1050"/>
      <c r="B349" s="1064"/>
      <c r="C349" s="1055"/>
      <c r="D349" s="1055"/>
      <c r="E349" s="1055"/>
      <c r="F349" s="1055"/>
      <c r="G349" s="1055"/>
      <c r="H349" s="1055"/>
      <c r="I349" s="1055"/>
      <c r="J349" s="1055"/>
      <c r="K349" s="1055"/>
      <c r="L349" s="1055"/>
      <c r="M349" s="1055"/>
      <c r="N349" s="1055"/>
      <c r="O349" s="1055"/>
      <c r="P349" s="1055"/>
      <c r="Q349" s="1055"/>
      <c r="R349" s="1055"/>
      <c r="S349" s="1055"/>
      <c r="T349" s="1055"/>
      <c r="U349" s="1055"/>
      <c r="V349" s="1055"/>
      <c r="W349" s="1055"/>
      <c r="X349" s="1055"/>
      <c r="Y349" s="1055"/>
      <c r="Z349" s="1055"/>
      <c r="AA349" s="1055"/>
      <c r="AB349" s="1055"/>
      <c r="AC349" s="1055"/>
      <c r="AD349" s="1055"/>
      <c r="AE349" s="1055"/>
      <c r="AF349" s="1055"/>
      <c r="AG349" s="1055"/>
      <c r="AH349" s="1055"/>
      <c r="AI349" s="1055"/>
      <c r="AJ349" s="1055"/>
      <c r="AK349" s="1055"/>
      <c r="AL349" s="1055"/>
      <c r="AM349" s="1055"/>
      <c r="AN349" s="1055"/>
      <c r="AO349" s="1055"/>
      <c r="AP349" s="1055"/>
      <c r="AQ349" s="1055"/>
      <c r="AR349" s="1055"/>
      <c r="AS349" s="1055"/>
      <c r="AT349" s="1055"/>
      <c r="AU349" s="1055"/>
      <c r="AV349" s="1055"/>
      <c r="AW349" s="1055"/>
      <c r="AX349" s="1055"/>
      <c r="AY349" s="1055"/>
      <c r="AZ349" s="1055"/>
      <c r="BA349" s="1055"/>
      <c r="BB349" s="1055"/>
      <c r="BC349" s="1055"/>
      <c r="BD349" s="1055"/>
      <c r="BE349" s="1055"/>
      <c r="BF349" s="1055"/>
      <c r="BG349" s="1056"/>
    </row>
    <row r="350" spans="1:59" x14ac:dyDescent="0.15">
      <c r="A350" s="1050"/>
      <c r="B350" s="1064"/>
      <c r="C350" s="1055"/>
      <c r="D350" s="1055"/>
      <c r="E350" s="1055"/>
      <c r="F350" s="1055"/>
      <c r="G350" s="1055"/>
      <c r="H350" s="1055"/>
      <c r="I350" s="1055"/>
      <c r="J350" s="1747"/>
      <c r="K350" s="1747"/>
      <c r="L350" s="1747"/>
      <c r="M350" s="1747"/>
      <c r="N350" s="1747"/>
      <c r="O350" s="1747"/>
      <c r="P350" s="1747"/>
      <c r="Q350" s="1747"/>
      <c r="R350" s="1747"/>
      <c r="S350" s="1747"/>
      <c r="T350" s="1747"/>
      <c r="U350" s="1747"/>
      <c r="V350" s="1747"/>
      <c r="W350" s="1747"/>
      <c r="X350" s="1747"/>
      <c r="Y350" s="1747"/>
      <c r="Z350" s="1747"/>
      <c r="AA350" s="1747"/>
      <c r="AB350" s="1747"/>
      <c r="AC350" s="1055"/>
      <c r="AD350" s="1055"/>
      <c r="AE350" s="1055"/>
      <c r="AF350" s="1055"/>
      <c r="AG350" s="1055"/>
      <c r="AH350" s="1055"/>
      <c r="AI350" s="1055"/>
      <c r="AJ350" s="1747"/>
      <c r="AK350" s="1747"/>
      <c r="AL350" s="1747"/>
      <c r="AM350" s="1747"/>
      <c r="AN350" s="1747"/>
      <c r="AO350" s="1747"/>
      <c r="AP350" s="1747"/>
      <c r="AQ350" s="1747"/>
      <c r="AR350" s="1747"/>
      <c r="AS350" s="1747"/>
      <c r="AT350" s="1747"/>
      <c r="AU350" s="1747"/>
      <c r="AV350" s="1747"/>
      <c r="AW350" s="1747"/>
      <c r="AX350" s="1747"/>
      <c r="AY350" s="1747"/>
      <c r="AZ350" s="1747"/>
      <c r="BA350" s="1747"/>
      <c r="BB350" s="1747"/>
      <c r="BC350" s="1055"/>
      <c r="BD350" s="1055"/>
      <c r="BE350" s="1055"/>
      <c r="BF350" s="1055"/>
      <c r="BG350" s="1056"/>
    </row>
    <row r="351" spans="1:59" x14ac:dyDescent="0.15">
      <c r="A351" s="1050"/>
      <c r="B351" s="1064"/>
      <c r="C351" s="1055"/>
      <c r="D351" s="1055"/>
      <c r="E351" s="1055"/>
      <c r="F351" s="1055"/>
      <c r="G351" s="1055"/>
      <c r="H351" s="1055"/>
      <c r="I351" s="1055"/>
      <c r="J351" s="1055"/>
      <c r="K351" s="1055"/>
      <c r="L351" s="1055"/>
      <c r="M351" s="1055"/>
      <c r="N351" s="1746" t="s">
        <v>801</v>
      </c>
      <c r="O351" s="1746"/>
      <c r="P351" s="1746"/>
      <c r="Q351" s="1746"/>
      <c r="R351" s="1746"/>
      <c r="S351" s="1746"/>
      <c r="T351" s="1746"/>
      <c r="U351" s="1746"/>
      <c r="V351" s="1746"/>
      <c r="W351" s="1746"/>
      <c r="X351" s="1746"/>
      <c r="Y351" s="1055"/>
      <c r="Z351" s="1055"/>
      <c r="AA351" s="1055"/>
      <c r="AB351" s="1055"/>
      <c r="AC351" s="1055"/>
      <c r="AD351" s="1055"/>
      <c r="AE351" s="1055"/>
      <c r="AF351" s="1055"/>
      <c r="AG351" s="1055"/>
      <c r="AH351" s="1055"/>
      <c r="AI351" s="1055"/>
      <c r="AJ351" s="1055"/>
      <c r="AK351" s="1055"/>
      <c r="AL351" s="1055"/>
      <c r="AM351" s="1055"/>
      <c r="AN351" s="1746" t="s">
        <v>801</v>
      </c>
      <c r="AO351" s="1746"/>
      <c r="AP351" s="1746"/>
      <c r="AQ351" s="1746"/>
      <c r="AR351" s="1746"/>
      <c r="AS351" s="1746"/>
      <c r="AT351" s="1746"/>
      <c r="AU351" s="1746"/>
      <c r="AV351" s="1746"/>
      <c r="AW351" s="1746"/>
      <c r="AX351" s="1746"/>
      <c r="AY351" s="1055"/>
      <c r="AZ351" s="1055"/>
      <c r="BA351" s="1055"/>
      <c r="BB351" s="1055"/>
      <c r="BC351" s="1055"/>
      <c r="BD351" s="1055"/>
      <c r="BE351" s="1055"/>
      <c r="BF351" s="1055"/>
      <c r="BG351" s="1056"/>
    </row>
    <row r="352" spans="1:59" x14ac:dyDescent="0.15">
      <c r="A352" s="1050"/>
      <c r="B352" s="1064"/>
      <c r="C352" s="1055"/>
      <c r="D352" s="1055"/>
      <c r="E352" s="1055"/>
      <c r="F352" s="1055"/>
      <c r="G352" s="1055"/>
      <c r="H352" s="1055"/>
      <c r="I352" s="1055"/>
      <c r="J352" s="1055"/>
      <c r="K352" s="1055"/>
      <c r="L352" s="1055"/>
      <c r="M352" s="1055"/>
      <c r="N352" s="1055"/>
      <c r="O352" s="1055"/>
      <c r="P352" s="1055"/>
      <c r="Q352" s="1055"/>
      <c r="R352" s="1055"/>
      <c r="S352" s="1055"/>
      <c r="T352" s="1055"/>
      <c r="U352" s="1055"/>
      <c r="V352" s="1055"/>
      <c r="W352" s="1055"/>
      <c r="X352" s="1055"/>
      <c r="Y352" s="1055"/>
      <c r="Z352" s="1055"/>
      <c r="AA352" s="1055"/>
      <c r="AB352" s="1055"/>
      <c r="AC352" s="1055"/>
      <c r="AD352" s="1055"/>
      <c r="AE352" s="1055"/>
      <c r="AF352" s="1055"/>
      <c r="AG352" s="1055"/>
      <c r="AH352" s="1055"/>
      <c r="AI352" s="1055"/>
      <c r="AJ352" s="1055"/>
      <c r="AK352" s="1055"/>
      <c r="AL352" s="1055"/>
      <c r="AM352" s="1055"/>
      <c r="AN352" s="1055"/>
      <c r="AO352" s="1055"/>
      <c r="AP352" s="1055"/>
      <c r="AQ352" s="1055"/>
      <c r="AR352" s="1055"/>
      <c r="AS352" s="1055"/>
      <c r="AT352" s="1055"/>
      <c r="AU352" s="1055"/>
      <c r="AV352" s="1055"/>
      <c r="AW352" s="1055"/>
      <c r="AX352" s="1055"/>
      <c r="AY352" s="1055"/>
      <c r="AZ352" s="1055"/>
      <c r="BA352" s="1055"/>
      <c r="BB352" s="1055"/>
      <c r="BC352" s="1055"/>
      <c r="BD352" s="1055"/>
      <c r="BE352" s="1055"/>
      <c r="BF352" s="1055"/>
      <c r="BG352" s="1056"/>
    </row>
    <row r="353" spans="1:59" x14ac:dyDescent="0.15">
      <c r="A353" s="1050"/>
      <c r="B353" s="1064"/>
      <c r="C353" s="1055"/>
      <c r="D353" s="1055"/>
      <c r="E353" s="1055"/>
      <c r="F353" s="1055"/>
      <c r="G353" s="1055"/>
      <c r="H353" s="1055"/>
      <c r="I353" s="1055"/>
      <c r="J353" s="1055"/>
      <c r="K353" s="1055"/>
      <c r="L353" s="1055"/>
      <c r="M353" s="1055"/>
      <c r="N353" s="1055"/>
      <c r="O353" s="1055"/>
      <c r="P353" s="1055"/>
      <c r="Q353" s="1055"/>
      <c r="R353" s="1055"/>
      <c r="S353" s="1055"/>
      <c r="T353" s="1055"/>
      <c r="U353" s="1055"/>
      <c r="V353" s="1055"/>
      <c r="W353" s="1055"/>
      <c r="X353" s="1055"/>
      <c r="Y353" s="1055"/>
      <c r="Z353" s="1055"/>
      <c r="AA353" s="1055"/>
      <c r="AB353" s="1055"/>
      <c r="AC353" s="1055"/>
      <c r="AD353" s="1055"/>
      <c r="AE353" s="1055"/>
      <c r="AF353" s="1055"/>
      <c r="AG353" s="1055"/>
      <c r="AH353" s="1055"/>
      <c r="AI353" s="1055"/>
      <c r="AJ353" s="1055"/>
      <c r="AK353" s="1055"/>
      <c r="AL353" s="1055"/>
      <c r="AM353" s="1055"/>
      <c r="AN353" s="1055"/>
      <c r="AO353" s="1055"/>
      <c r="AP353" s="1055"/>
      <c r="AQ353" s="1055"/>
      <c r="AR353" s="1055"/>
      <c r="AS353" s="1055"/>
      <c r="AT353" s="1055"/>
      <c r="AU353" s="1055"/>
      <c r="AV353" s="1055"/>
      <c r="AW353" s="1055"/>
      <c r="AX353" s="1055"/>
      <c r="AY353" s="1055"/>
      <c r="AZ353" s="1055"/>
      <c r="BA353" s="1055"/>
      <c r="BB353" s="1055"/>
      <c r="BC353" s="1055"/>
      <c r="BD353" s="1055"/>
      <c r="BE353" s="1055"/>
      <c r="BF353" s="1055"/>
      <c r="BG353" s="1056"/>
    </row>
    <row r="354" spans="1:59" x14ac:dyDescent="0.15">
      <c r="A354" s="1050"/>
      <c r="B354" s="1064"/>
      <c r="C354" s="1055"/>
      <c r="D354" s="1055"/>
      <c r="E354" s="1055"/>
      <c r="F354" s="1055"/>
      <c r="G354" s="1055"/>
      <c r="H354" s="1055"/>
      <c r="I354" s="1055"/>
      <c r="J354" s="1747"/>
      <c r="K354" s="1747"/>
      <c r="L354" s="1747"/>
      <c r="M354" s="1747"/>
      <c r="N354" s="1747"/>
      <c r="O354" s="1747"/>
      <c r="P354" s="1747"/>
      <c r="Q354" s="1747"/>
      <c r="R354" s="1747"/>
      <c r="S354" s="1747"/>
      <c r="T354" s="1747"/>
      <c r="U354" s="1747"/>
      <c r="V354" s="1747"/>
      <c r="W354" s="1747"/>
      <c r="X354" s="1747"/>
      <c r="Y354" s="1747"/>
      <c r="Z354" s="1747"/>
      <c r="AA354" s="1747"/>
      <c r="AB354" s="1747"/>
      <c r="AC354" s="1055"/>
      <c r="AD354" s="1055"/>
      <c r="AE354" s="1055"/>
      <c r="AF354" s="1055"/>
      <c r="AG354" s="1055"/>
      <c r="AH354" s="1055"/>
      <c r="AI354" s="1055"/>
      <c r="AJ354" s="1747"/>
      <c r="AK354" s="1747"/>
      <c r="AL354" s="1747"/>
      <c r="AM354" s="1747"/>
      <c r="AN354" s="1747"/>
      <c r="AO354" s="1747"/>
      <c r="AP354" s="1747"/>
      <c r="AQ354" s="1747"/>
      <c r="AR354" s="1747"/>
      <c r="AS354" s="1747"/>
      <c r="AT354" s="1747"/>
      <c r="AU354" s="1747"/>
      <c r="AV354" s="1747"/>
      <c r="AW354" s="1747"/>
      <c r="AX354" s="1747"/>
      <c r="AY354" s="1747"/>
      <c r="AZ354" s="1747"/>
      <c r="BA354" s="1747"/>
      <c r="BB354" s="1747"/>
      <c r="BC354" s="1055"/>
      <c r="BD354" s="1055"/>
      <c r="BE354" s="1055"/>
      <c r="BF354" s="1055"/>
      <c r="BG354" s="1056"/>
    </row>
    <row r="355" spans="1:59" x14ac:dyDescent="0.15">
      <c r="A355" s="1050"/>
      <c r="B355" s="1064"/>
      <c r="C355" s="1055"/>
      <c r="D355" s="1055"/>
      <c r="E355" s="1055"/>
      <c r="F355" s="1055"/>
      <c r="G355" s="1055"/>
      <c r="H355" s="1055"/>
      <c r="I355" s="1055"/>
      <c r="J355" s="1055"/>
      <c r="K355" s="1055"/>
      <c r="L355" s="1055"/>
      <c r="M355" s="1055"/>
      <c r="N355" s="1746" t="s">
        <v>802</v>
      </c>
      <c r="O355" s="1746"/>
      <c r="P355" s="1746"/>
      <c r="Q355" s="1746"/>
      <c r="R355" s="1746"/>
      <c r="S355" s="1746"/>
      <c r="T355" s="1746"/>
      <c r="U355" s="1746"/>
      <c r="V355" s="1746"/>
      <c r="W355" s="1746"/>
      <c r="X355" s="1746"/>
      <c r="Y355" s="1055"/>
      <c r="Z355" s="1055"/>
      <c r="AA355" s="1055"/>
      <c r="AB355" s="1055"/>
      <c r="AC355" s="1055"/>
      <c r="AD355" s="1055"/>
      <c r="AE355" s="1055"/>
      <c r="AF355" s="1055"/>
      <c r="AG355" s="1055"/>
      <c r="AH355" s="1055"/>
      <c r="AI355" s="1055"/>
      <c r="AJ355" s="1055"/>
      <c r="AK355" s="1055"/>
      <c r="AL355" s="1055"/>
      <c r="AM355" s="1055"/>
      <c r="AN355" s="1746" t="s">
        <v>802</v>
      </c>
      <c r="AO355" s="1746"/>
      <c r="AP355" s="1746"/>
      <c r="AQ355" s="1746"/>
      <c r="AR355" s="1746"/>
      <c r="AS355" s="1746"/>
      <c r="AT355" s="1746"/>
      <c r="AU355" s="1746"/>
      <c r="AV355" s="1746"/>
      <c r="AW355" s="1746"/>
      <c r="AX355" s="1746"/>
      <c r="AY355" s="1055"/>
      <c r="AZ355" s="1055"/>
      <c r="BA355" s="1055"/>
      <c r="BB355" s="1055"/>
      <c r="BC355" s="1055"/>
      <c r="BD355" s="1055"/>
      <c r="BE355" s="1055"/>
      <c r="BF355" s="1055"/>
      <c r="BG355" s="1056"/>
    </row>
    <row r="356" spans="1:59" x14ac:dyDescent="0.15">
      <c r="A356" s="1050"/>
      <c r="B356" s="1064"/>
      <c r="C356" s="1760"/>
      <c r="D356" s="1760"/>
      <c r="E356" s="1760"/>
      <c r="F356" s="1760"/>
      <c r="G356" s="1760"/>
      <c r="H356" s="1760"/>
      <c r="I356" s="1760"/>
      <c r="J356" s="1760"/>
      <c r="K356" s="1760"/>
      <c r="L356" s="1760"/>
      <c r="M356" s="1760"/>
      <c r="N356" s="1760"/>
      <c r="O356" s="1760"/>
      <c r="P356" s="1760"/>
      <c r="Q356" s="1760"/>
      <c r="R356" s="1760"/>
      <c r="S356" s="1760"/>
      <c r="T356" s="1760"/>
      <c r="U356" s="1760"/>
      <c r="V356" s="1760"/>
      <c r="W356" s="1760"/>
      <c r="X356" s="1760"/>
      <c r="Y356" s="1760"/>
      <c r="Z356" s="1760"/>
      <c r="AA356" s="1760"/>
      <c r="AB356" s="1760"/>
      <c r="AC356" s="1760"/>
      <c r="AD356" s="1760"/>
      <c r="AE356" s="1760"/>
      <c r="AF356" s="1760"/>
      <c r="AG356" s="1760"/>
      <c r="AH356" s="1760"/>
      <c r="AI356" s="1760"/>
      <c r="AJ356" s="1760"/>
      <c r="AK356" s="1760"/>
      <c r="AL356" s="1760"/>
      <c r="AM356" s="1760"/>
      <c r="AN356" s="1760"/>
      <c r="AO356" s="1760"/>
      <c r="AP356" s="1760"/>
      <c r="AQ356" s="1760"/>
      <c r="AR356" s="1760"/>
      <c r="AS356" s="1760"/>
      <c r="AT356" s="1760"/>
      <c r="AU356" s="1760"/>
      <c r="AV356" s="1760"/>
      <c r="AW356" s="1760"/>
      <c r="AX356" s="1760"/>
      <c r="AY356" s="1760"/>
      <c r="AZ356" s="1760"/>
      <c r="BA356" s="1760"/>
      <c r="BB356" s="1760"/>
      <c r="BC356" s="1760"/>
      <c r="BD356" s="1760"/>
      <c r="BE356" s="1760"/>
      <c r="BF356" s="1760"/>
      <c r="BG356" s="1056"/>
    </row>
    <row r="357" spans="1:59" x14ac:dyDescent="0.15">
      <c r="A357" s="1050"/>
      <c r="B357" s="1065"/>
      <c r="C357" s="1747"/>
      <c r="D357" s="1747"/>
      <c r="E357" s="1747"/>
      <c r="F357" s="1747"/>
      <c r="G357" s="1747"/>
      <c r="H357" s="1747"/>
      <c r="I357" s="1747"/>
      <c r="J357" s="1747"/>
      <c r="K357" s="1747"/>
      <c r="L357" s="1747"/>
      <c r="M357" s="1747"/>
      <c r="N357" s="1747"/>
      <c r="O357" s="1747"/>
      <c r="P357" s="1747"/>
      <c r="Q357" s="1747"/>
      <c r="R357" s="1747"/>
      <c r="S357" s="1747"/>
      <c r="T357" s="1747"/>
      <c r="U357" s="1747"/>
      <c r="V357" s="1747"/>
      <c r="W357" s="1747"/>
      <c r="X357" s="1747"/>
      <c r="Y357" s="1747"/>
      <c r="Z357" s="1747"/>
      <c r="AA357" s="1747"/>
      <c r="AB357" s="1747"/>
      <c r="AC357" s="1747"/>
      <c r="AD357" s="1747"/>
      <c r="AE357" s="1747"/>
      <c r="AF357" s="1747"/>
      <c r="AG357" s="1747"/>
      <c r="AH357" s="1747"/>
      <c r="AI357" s="1747"/>
      <c r="AJ357" s="1747"/>
      <c r="AK357" s="1747"/>
      <c r="AL357" s="1747"/>
      <c r="AM357" s="1747"/>
      <c r="AN357" s="1747"/>
      <c r="AO357" s="1747"/>
      <c r="AP357" s="1747"/>
      <c r="AQ357" s="1747"/>
      <c r="AR357" s="1747"/>
      <c r="AS357" s="1747"/>
      <c r="AT357" s="1747"/>
      <c r="AU357" s="1747"/>
      <c r="AV357" s="1747"/>
      <c r="AW357" s="1747"/>
      <c r="AX357" s="1747"/>
      <c r="AY357" s="1747"/>
      <c r="AZ357" s="1747"/>
      <c r="BA357" s="1747"/>
      <c r="BB357" s="1747"/>
      <c r="BC357" s="1747"/>
      <c r="BD357" s="1747"/>
      <c r="BE357" s="1747"/>
      <c r="BF357" s="1747"/>
      <c r="BG357" s="1067"/>
    </row>
    <row r="358" spans="1:59" x14ac:dyDescent="0.15">
      <c r="A358" s="1050"/>
      <c r="B358" s="1050"/>
      <c r="C358" s="1050"/>
      <c r="D358" s="1050"/>
      <c r="E358" s="1050"/>
      <c r="F358" s="1050"/>
      <c r="G358" s="1050"/>
      <c r="H358" s="1050"/>
      <c r="I358" s="1050"/>
      <c r="J358" s="1050"/>
      <c r="K358" s="1050"/>
      <c r="L358" s="1050"/>
      <c r="M358" s="1050"/>
      <c r="N358" s="1050"/>
      <c r="O358" s="1050"/>
      <c r="P358" s="1050"/>
      <c r="Q358" s="1050"/>
      <c r="R358" s="1050"/>
      <c r="S358" s="1050"/>
      <c r="T358" s="1050"/>
      <c r="U358" s="1050"/>
      <c r="V358" s="1050"/>
      <c r="W358" s="1050"/>
      <c r="X358" s="1050"/>
      <c r="Y358" s="1050"/>
      <c r="Z358" s="1050"/>
      <c r="AA358" s="1050"/>
      <c r="AB358" s="1050"/>
      <c r="AC358" s="1050"/>
      <c r="AD358" s="1050"/>
      <c r="AE358" s="1050"/>
      <c r="AF358" s="1050"/>
      <c r="AG358" s="1050"/>
      <c r="AH358" s="1050"/>
      <c r="AI358" s="1050"/>
      <c r="AJ358" s="1050"/>
      <c r="AK358" s="1050"/>
      <c r="AL358" s="1050"/>
      <c r="AM358" s="1050"/>
      <c r="AN358" s="1050"/>
      <c r="AO358" s="1050"/>
      <c r="AP358" s="1050"/>
      <c r="AQ358" s="1050"/>
      <c r="AR358" s="1050"/>
      <c r="AS358" s="1050"/>
      <c r="AT358" s="1050"/>
      <c r="AU358" s="1050"/>
      <c r="AV358" s="1050"/>
      <c r="AW358" s="1050"/>
      <c r="AX358" s="1050"/>
      <c r="AY358" s="1050"/>
      <c r="AZ358" s="1050"/>
      <c r="BA358" s="1050"/>
      <c r="BB358" s="1050"/>
      <c r="BC358" s="1050"/>
      <c r="BD358" s="1050"/>
      <c r="BE358" s="1050"/>
      <c r="BF358" s="1050"/>
      <c r="BG358" s="1050"/>
    </row>
    <row r="359" spans="1:59" x14ac:dyDescent="0.15">
      <c r="A359" s="1050"/>
      <c r="B359" s="1762" t="str">
        <f>+IF(Hitelprog_Rovid="","",Hitelprog_Rovid)</f>
        <v/>
      </c>
      <c r="C359" s="1762"/>
      <c r="D359" s="1762"/>
      <c r="E359" s="1762"/>
      <c r="F359" s="1762"/>
      <c r="G359" s="1762"/>
      <c r="H359" s="1762"/>
      <c r="I359" s="1762"/>
      <c r="J359" s="1762"/>
      <c r="K359" s="1762"/>
      <c r="L359" s="1762"/>
      <c r="M359" s="1762"/>
      <c r="N359" s="1762"/>
      <c r="O359" s="1762"/>
      <c r="P359" s="1762"/>
      <c r="Q359" s="1762"/>
      <c r="R359" s="1762"/>
      <c r="S359" s="1762"/>
      <c r="T359" s="1762"/>
      <c r="U359" s="1762"/>
      <c r="V359" s="1762"/>
      <c r="W359" s="1762"/>
      <c r="X359" s="1762"/>
      <c r="Y359" s="1762"/>
      <c r="Z359" s="1762"/>
      <c r="AA359" s="1762"/>
      <c r="AB359" s="1762"/>
      <c r="AC359" s="1762"/>
      <c r="AD359" s="1762"/>
      <c r="AE359" s="1762"/>
      <c r="AF359" s="1762"/>
      <c r="AG359" s="1762"/>
      <c r="AH359" s="1762"/>
      <c r="AI359" s="1762"/>
      <c r="AJ359" s="1762"/>
      <c r="AK359" s="1762"/>
      <c r="AL359" s="1762"/>
      <c r="AM359" s="1762"/>
      <c r="AN359" s="1762"/>
      <c r="AO359" s="1762"/>
      <c r="AP359" s="1762"/>
      <c r="AQ359" s="1762"/>
      <c r="AR359" s="1762"/>
      <c r="AS359" s="1762"/>
      <c r="AT359" s="1762"/>
      <c r="AU359" s="1762"/>
      <c r="AV359" s="1762"/>
      <c r="AW359" s="1762"/>
      <c r="AX359" s="1762"/>
      <c r="AY359" s="1762"/>
      <c r="AZ359" s="1762"/>
      <c r="BA359" s="1762"/>
      <c r="BB359" s="1762"/>
      <c r="BC359" s="1762"/>
      <c r="BD359" s="1762"/>
      <c r="BE359" s="1762"/>
      <c r="BF359" s="1762"/>
      <c r="BG359" s="1762"/>
    </row>
    <row r="360" spans="1:59" x14ac:dyDescent="0.15">
      <c r="A360" s="1050"/>
      <c r="B360" s="1762"/>
      <c r="C360" s="1762"/>
      <c r="D360" s="1762"/>
      <c r="E360" s="1762"/>
      <c r="F360" s="1762"/>
      <c r="G360" s="1762"/>
      <c r="H360" s="1762"/>
      <c r="I360" s="1762"/>
      <c r="J360" s="1762"/>
      <c r="K360" s="1762"/>
      <c r="L360" s="1762"/>
      <c r="M360" s="1762"/>
      <c r="N360" s="1762"/>
      <c r="O360" s="1762"/>
      <c r="P360" s="1762"/>
      <c r="Q360" s="1762"/>
      <c r="R360" s="1762"/>
      <c r="S360" s="1762"/>
      <c r="T360" s="1762"/>
      <c r="U360" s="1762"/>
      <c r="V360" s="1762"/>
      <c r="W360" s="1762"/>
      <c r="X360" s="1762"/>
      <c r="Y360" s="1762"/>
      <c r="Z360" s="1762"/>
      <c r="AA360" s="1762"/>
      <c r="AB360" s="1762"/>
      <c r="AC360" s="1762"/>
      <c r="AD360" s="1762"/>
      <c r="AE360" s="1762"/>
      <c r="AF360" s="1762"/>
      <c r="AG360" s="1762"/>
      <c r="AH360" s="1762"/>
      <c r="AI360" s="1762"/>
      <c r="AJ360" s="1762"/>
      <c r="AK360" s="1762"/>
      <c r="AL360" s="1762"/>
      <c r="AM360" s="1762"/>
      <c r="AN360" s="1762"/>
      <c r="AO360" s="1762"/>
      <c r="AP360" s="1762"/>
      <c r="AQ360" s="1762"/>
      <c r="AR360" s="1762"/>
      <c r="AS360" s="1762"/>
      <c r="AT360" s="1762"/>
      <c r="AU360" s="1762"/>
      <c r="AV360" s="1762"/>
      <c r="AW360" s="1762"/>
      <c r="AX360" s="1762"/>
      <c r="AY360" s="1762"/>
      <c r="AZ360" s="1762"/>
      <c r="BA360" s="1762"/>
      <c r="BB360" s="1762"/>
      <c r="BC360" s="1762"/>
      <c r="BD360" s="1762"/>
      <c r="BE360" s="1762"/>
      <c r="BF360" s="1762"/>
      <c r="BG360" s="1762"/>
    </row>
    <row r="361" spans="1:59" x14ac:dyDescent="0.15">
      <c r="A361" s="1752"/>
      <c r="B361" s="1752"/>
      <c r="C361" s="1752"/>
      <c r="D361" s="1752"/>
      <c r="E361" s="1050"/>
      <c r="F361" s="1050"/>
      <c r="G361" s="1050"/>
      <c r="H361" s="1050"/>
      <c r="I361" s="1050"/>
      <c r="J361" s="1050"/>
      <c r="K361" s="1050"/>
      <c r="L361" s="1050"/>
      <c r="M361" s="1050"/>
      <c r="N361" s="1050"/>
      <c r="O361" s="1050"/>
      <c r="P361" s="1050"/>
      <c r="Q361" s="1050"/>
      <c r="R361" s="1050"/>
      <c r="S361" s="1050"/>
      <c r="T361" s="1050"/>
      <c r="U361" s="1050"/>
      <c r="V361" s="1050"/>
      <c r="W361" s="1050"/>
      <c r="X361" s="1050"/>
      <c r="Y361" s="1050"/>
      <c r="Z361" s="1050"/>
      <c r="AA361" s="1050"/>
      <c r="AB361" s="1050"/>
      <c r="AC361" s="1050"/>
      <c r="AD361" s="1050"/>
      <c r="AE361" s="1050"/>
      <c r="AF361" s="1050"/>
      <c r="AG361" s="1050"/>
      <c r="AH361" s="1050"/>
      <c r="AI361" s="1050"/>
      <c r="AJ361" s="1050"/>
      <c r="AK361" s="1050"/>
      <c r="AL361" s="1050"/>
      <c r="AM361" s="1050"/>
      <c r="AN361" s="1050"/>
      <c r="AO361" s="1050"/>
      <c r="AP361" s="1050"/>
      <c r="AQ361" s="1050"/>
      <c r="AR361" s="1050"/>
      <c r="AS361" s="1050"/>
      <c r="AT361" s="1050"/>
      <c r="AU361" s="1050"/>
      <c r="AV361" s="1050"/>
      <c r="AW361" s="1050"/>
      <c r="AX361" s="1050"/>
      <c r="AY361" s="1050"/>
      <c r="AZ361" s="1050"/>
      <c r="BA361" s="1050"/>
      <c r="BB361" s="1050"/>
      <c r="BC361" s="1050"/>
      <c r="BD361" s="1050"/>
      <c r="BE361" s="1050"/>
      <c r="BF361" s="1050"/>
      <c r="BG361" s="1050"/>
    </row>
    <row r="362" spans="1:59" ht="15" thickBot="1" x14ac:dyDescent="0.2">
      <c r="A362" s="1752"/>
      <c r="B362" s="1752"/>
      <c r="C362" s="1752"/>
      <c r="D362" s="1752"/>
      <c r="E362" s="1050"/>
      <c r="F362" s="1050"/>
      <c r="G362" s="1050"/>
      <c r="H362" s="1050"/>
      <c r="I362" s="1050"/>
      <c r="J362" s="1050"/>
      <c r="K362" s="1050"/>
      <c r="L362" s="1050"/>
      <c r="M362" s="1050"/>
      <c r="N362" s="1050"/>
      <c r="O362" s="1050"/>
      <c r="P362" s="1050"/>
      <c r="Q362" s="1050"/>
      <c r="R362" s="1050"/>
      <c r="S362" s="1050"/>
      <c r="T362" s="1050"/>
      <c r="U362" s="1050"/>
      <c r="V362" s="1050"/>
      <c r="W362" s="1050"/>
      <c r="X362" s="1050"/>
      <c r="Y362" s="1050"/>
      <c r="Z362" s="1050"/>
      <c r="AA362" s="1050"/>
      <c r="AB362" s="1050"/>
      <c r="AC362" s="1050"/>
      <c r="AD362" s="1050"/>
      <c r="AE362" s="1050"/>
      <c r="AF362" s="1050"/>
      <c r="AG362" s="1050"/>
      <c r="AH362" s="1050"/>
      <c r="AI362" s="1050"/>
      <c r="AJ362" s="1050"/>
      <c r="AK362" s="1050"/>
      <c r="AL362" s="1050"/>
      <c r="AM362" s="1050"/>
      <c r="AN362" s="1050"/>
      <c r="AO362" s="1050"/>
      <c r="AP362" s="1050"/>
      <c r="AQ362" s="1050"/>
      <c r="AR362" s="1050"/>
      <c r="AS362" s="1050"/>
      <c r="AT362" s="1050"/>
      <c r="AU362" s="1050"/>
      <c r="AV362" s="1050"/>
      <c r="AW362" s="1050"/>
      <c r="AX362" s="1050"/>
      <c r="AY362" s="1050"/>
      <c r="AZ362" s="1050"/>
      <c r="BA362" s="1050"/>
      <c r="BB362" s="1050"/>
      <c r="BC362" s="1050"/>
      <c r="BD362" s="1050"/>
      <c r="BE362" s="1050"/>
      <c r="BF362" s="1050"/>
      <c r="BG362" s="1050"/>
    </row>
    <row r="363" spans="1:59" ht="26.25" customHeight="1" thickBot="1" x14ac:dyDescent="0.2">
      <c r="A363" s="1752"/>
      <c r="B363" s="1752"/>
      <c r="C363" s="1752"/>
      <c r="D363" s="1752"/>
      <c r="E363" s="1050"/>
      <c r="F363" s="1050"/>
      <c r="G363" s="1050"/>
      <c r="H363" s="1050"/>
      <c r="I363" s="1050"/>
      <c r="J363" s="1050"/>
      <c r="K363" s="1050"/>
      <c r="L363" s="1050"/>
      <c r="M363" s="1050"/>
      <c r="N363" s="1050"/>
      <c r="O363" s="1050"/>
      <c r="P363" s="1050"/>
      <c r="Q363" s="1766" t="str">
        <f>+IF(B359="MFB NHP Fix Lízing Refinanszírozási Program","FINANSZÍROZÁSI KATEGÓRIA NYILATKOZAT","TÁMOGATÁSI KATEGÓRIA NYILATKOZAT")</f>
        <v>TÁMOGATÁSI KATEGÓRIA NYILATKOZAT</v>
      </c>
      <c r="R363" s="1767"/>
      <c r="S363" s="1767"/>
      <c r="T363" s="1767"/>
      <c r="U363" s="1767"/>
      <c r="V363" s="1767"/>
      <c r="W363" s="1767"/>
      <c r="X363" s="1767"/>
      <c r="Y363" s="1767"/>
      <c r="Z363" s="1767"/>
      <c r="AA363" s="1767"/>
      <c r="AB363" s="1767"/>
      <c r="AC363" s="1767"/>
      <c r="AD363" s="1767"/>
      <c r="AE363" s="1767"/>
      <c r="AF363" s="1767"/>
      <c r="AG363" s="1767"/>
      <c r="AH363" s="1767"/>
      <c r="AI363" s="1767"/>
      <c r="AJ363" s="1767"/>
      <c r="AK363" s="1767"/>
      <c r="AL363" s="1767"/>
      <c r="AM363" s="1767"/>
      <c r="AN363" s="1767"/>
      <c r="AO363" s="1767"/>
      <c r="AP363" s="1767"/>
      <c r="AQ363" s="1767"/>
      <c r="AR363" s="1767"/>
      <c r="AS363" s="1768"/>
      <c r="AT363" s="1050"/>
      <c r="AU363" s="1050"/>
      <c r="AV363" s="1050"/>
      <c r="AW363" s="1050"/>
      <c r="AX363" s="1050"/>
      <c r="AY363" s="1050"/>
      <c r="AZ363" s="1050"/>
      <c r="BA363" s="1050"/>
      <c r="BB363" s="1050"/>
      <c r="BC363" s="1050"/>
      <c r="BD363" s="1050"/>
      <c r="BE363" s="1050"/>
      <c r="BF363" s="1050"/>
      <c r="BG363" s="1050"/>
    </row>
    <row r="364" spans="1:59" x14ac:dyDescent="0.15">
      <c r="A364" s="1752"/>
      <c r="B364" s="1752"/>
      <c r="C364" s="1752"/>
      <c r="D364" s="1752"/>
      <c r="E364" s="1050"/>
      <c r="F364" s="1050"/>
      <c r="G364" s="1050"/>
      <c r="H364" s="1050"/>
      <c r="I364" s="1050"/>
      <c r="J364" s="1050"/>
      <c r="K364" s="1050"/>
      <c r="L364" s="1050"/>
      <c r="M364" s="1050"/>
      <c r="N364" s="1050"/>
      <c r="O364" s="1050"/>
      <c r="P364" s="1050"/>
      <c r="Q364" s="1050"/>
      <c r="R364" s="1050"/>
      <c r="S364" s="1050"/>
      <c r="T364" s="1050"/>
      <c r="U364" s="1050"/>
      <c r="V364" s="1050"/>
      <c r="W364" s="1050"/>
      <c r="X364" s="1050"/>
      <c r="Y364" s="1050"/>
      <c r="Z364" s="1050"/>
      <c r="AA364" s="1050"/>
      <c r="AB364" s="1050"/>
      <c r="AC364" s="1050"/>
      <c r="AD364" s="1050"/>
      <c r="AE364" s="1050"/>
      <c r="AF364" s="1050"/>
      <c r="AG364" s="1050"/>
      <c r="AH364" s="1050"/>
      <c r="AI364" s="1050"/>
      <c r="AJ364" s="1050"/>
      <c r="AK364" s="1050"/>
      <c r="AL364" s="1050"/>
      <c r="AM364" s="1050"/>
      <c r="AN364" s="1050"/>
      <c r="AO364" s="1050"/>
      <c r="AP364" s="1050"/>
      <c r="AQ364" s="1050"/>
      <c r="AR364" s="1050"/>
      <c r="AS364" s="1050"/>
      <c r="AT364" s="1050"/>
      <c r="AU364" s="1050"/>
      <c r="AV364" s="1050"/>
      <c r="AW364" s="1050"/>
      <c r="AX364" s="1050"/>
      <c r="AY364" s="1050"/>
      <c r="AZ364" s="1050"/>
      <c r="BA364" s="1050"/>
      <c r="BB364" s="1050"/>
      <c r="BC364" s="1050"/>
      <c r="BD364" s="1050"/>
      <c r="BE364" s="1050"/>
      <c r="BF364" s="1050"/>
      <c r="BG364" s="1050"/>
    </row>
    <row r="365" spans="1:59" x14ac:dyDescent="0.15">
      <c r="A365" s="1052"/>
      <c r="B365" s="1753" t="s">
        <v>841</v>
      </c>
      <c r="C365" s="1754"/>
      <c r="D365" s="1754"/>
      <c r="E365" s="1754"/>
      <c r="F365" s="1754"/>
      <c r="G365" s="1754"/>
      <c r="H365" s="1754"/>
      <c r="I365" s="1754"/>
      <c r="J365" s="1754"/>
      <c r="K365" s="1754"/>
      <c r="L365" s="1754"/>
      <c r="M365" s="1754"/>
      <c r="N365" s="1754"/>
      <c r="O365" s="1754"/>
      <c r="P365" s="1754"/>
      <c r="Q365" s="1754"/>
      <c r="R365" s="1754"/>
      <c r="S365" s="1754"/>
      <c r="T365" s="1754"/>
      <c r="U365" s="1754"/>
      <c r="V365" s="1754"/>
      <c r="W365" s="1754"/>
      <c r="X365" s="1754"/>
      <c r="Y365" s="1754"/>
      <c r="Z365" s="1754"/>
      <c r="AA365" s="1754"/>
      <c r="AB365" s="1754"/>
      <c r="AC365" s="1754"/>
      <c r="AD365" s="1754"/>
      <c r="AE365" s="1754"/>
      <c r="AF365" s="1754"/>
      <c r="AG365" s="1754"/>
      <c r="AH365" s="1754"/>
      <c r="AI365" s="1754"/>
      <c r="AJ365" s="1754"/>
      <c r="AK365" s="1754"/>
      <c r="AL365" s="1754"/>
      <c r="AM365" s="1754"/>
      <c r="AN365" s="1754"/>
      <c r="AO365" s="1754"/>
      <c r="AP365" s="1754"/>
      <c r="AQ365" s="1754"/>
      <c r="AR365" s="1754"/>
      <c r="AS365" s="1754"/>
      <c r="AT365" s="1754"/>
      <c r="AU365" s="1754"/>
      <c r="AV365" s="1754"/>
      <c r="AW365" s="1754"/>
      <c r="AX365" s="1754"/>
      <c r="AY365" s="1754"/>
      <c r="AZ365" s="1754"/>
      <c r="BA365" s="1754"/>
      <c r="BB365" s="1754"/>
      <c r="BC365" s="1754"/>
      <c r="BD365" s="1754"/>
      <c r="BE365" s="1754"/>
      <c r="BF365" s="1754"/>
      <c r="BG365" s="1755"/>
    </row>
    <row r="366" spans="1:59" ht="15" thickBot="1" x14ac:dyDescent="0.2">
      <c r="A366" s="1052"/>
      <c r="B366" s="1053"/>
      <c r="C366" s="1054"/>
      <c r="D366" s="1054"/>
      <c r="E366" s="1055"/>
      <c r="F366" s="1055"/>
      <c r="G366" s="1055"/>
      <c r="H366" s="1055"/>
      <c r="I366" s="1055"/>
      <c r="J366" s="1055"/>
      <c r="K366" s="1055"/>
      <c r="L366" s="1055"/>
      <c r="M366" s="1055"/>
      <c r="N366" s="1055"/>
      <c r="O366" s="1055"/>
      <c r="P366" s="1055"/>
      <c r="Q366" s="1055"/>
      <c r="R366" s="1055"/>
      <c r="S366" s="1055"/>
      <c r="T366" s="1055"/>
      <c r="U366" s="1055"/>
      <c r="V366" s="1055"/>
      <c r="W366" s="1055"/>
      <c r="X366" s="1055"/>
      <c r="Y366" s="1055"/>
      <c r="Z366" s="1055"/>
      <c r="AA366" s="1055"/>
      <c r="AB366" s="1055"/>
      <c r="AC366" s="1055"/>
      <c r="AD366" s="1055"/>
      <c r="AE366" s="1055"/>
      <c r="AF366" s="1055"/>
      <c r="AG366" s="1055"/>
      <c r="AH366" s="1055"/>
      <c r="AI366" s="1055"/>
      <c r="AJ366" s="1055"/>
      <c r="AK366" s="1055"/>
      <c r="AL366" s="1055"/>
      <c r="AM366" s="1055"/>
      <c r="AN366" s="1055"/>
      <c r="AO366" s="1055"/>
      <c r="AP366" s="1055"/>
      <c r="AQ366" s="1055"/>
      <c r="AR366" s="1055"/>
      <c r="AS366" s="1055"/>
      <c r="AT366" s="1055"/>
      <c r="AU366" s="1055"/>
      <c r="AV366" s="1055"/>
      <c r="AW366" s="1055"/>
      <c r="AX366" s="1055"/>
      <c r="AY366" s="1055"/>
      <c r="AZ366" s="1055"/>
      <c r="BA366" s="1055"/>
      <c r="BB366" s="1055"/>
      <c r="BC366" s="1055"/>
      <c r="BD366" s="1055"/>
      <c r="BE366" s="1055"/>
      <c r="BF366" s="1055"/>
      <c r="BG366" s="1056"/>
    </row>
    <row r="367" spans="1:59" ht="15" thickBot="1" x14ac:dyDescent="0.2">
      <c r="A367" s="1052"/>
      <c r="B367" s="1053"/>
      <c r="C367" s="1785" t="str">
        <f>+IF(Ugyfelnyil="","",Ugyfelnyil)</f>
        <v/>
      </c>
      <c r="D367" s="1786"/>
      <c r="E367" s="1786"/>
      <c r="F367" s="1786"/>
      <c r="G367" s="1786"/>
      <c r="H367" s="1786"/>
      <c r="I367" s="1786"/>
      <c r="J367" s="1786"/>
      <c r="K367" s="1786"/>
      <c r="L367" s="1786"/>
      <c r="M367" s="1786"/>
      <c r="N367" s="1786"/>
      <c r="O367" s="1786"/>
      <c r="P367" s="1786"/>
      <c r="Q367" s="1786"/>
      <c r="R367" s="1786"/>
      <c r="S367" s="1786"/>
      <c r="T367" s="1786"/>
      <c r="U367" s="1786"/>
      <c r="V367" s="1786"/>
      <c r="W367" s="1786"/>
      <c r="X367" s="1786"/>
      <c r="Y367" s="1786"/>
      <c r="Z367" s="1786"/>
      <c r="AA367" s="1786"/>
      <c r="AB367" s="1786"/>
      <c r="AC367" s="1786"/>
      <c r="AD367" s="1786"/>
      <c r="AE367" s="1786"/>
      <c r="AF367" s="1786"/>
      <c r="AG367" s="1786"/>
      <c r="AH367" s="1786"/>
      <c r="AI367" s="1786"/>
      <c r="AJ367" s="1786"/>
      <c r="AK367" s="1786"/>
      <c r="AL367" s="1786"/>
      <c r="AM367" s="1786"/>
      <c r="AN367" s="1786"/>
      <c r="AO367" s="1786"/>
      <c r="AP367" s="1786"/>
      <c r="AQ367" s="1786"/>
      <c r="AR367" s="1786"/>
      <c r="AS367" s="1786"/>
      <c r="AT367" s="1786"/>
      <c r="AU367" s="1786"/>
      <c r="AV367" s="1786"/>
      <c r="AW367" s="1786"/>
      <c r="AX367" s="1786"/>
      <c r="AY367" s="1786"/>
      <c r="AZ367" s="1786"/>
      <c r="BA367" s="1786"/>
      <c r="BB367" s="1786"/>
      <c r="BC367" s="1786"/>
      <c r="BD367" s="1786"/>
      <c r="BE367" s="1786"/>
      <c r="BF367" s="1787"/>
      <c r="BG367" s="1056"/>
    </row>
    <row r="368" spans="1:59" x14ac:dyDescent="0.15">
      <c r="A368" s="1052"/>
      <c r="B368" s="1053"/>
      <c r="C368" s="1054"/>
      <c r="D368" s="1057" t="s">
        <v>370</v>
      </c>
      <c r="E368" s="1055"/>
      <c r="F368" s="1055"/>
      <c r="G368" s="1055"/>
      <c r="H368" s="1055"/>
      <c r="I368" s="1055"/>
      <c r="J368" s="1055"/>
      <c r="K368" s="1055"/>
      <c r="L368" s="1055"/>
      <c r="M368" s="1055"/>
      <c r="N368" s="1055"/>
      <c r="O368" s="1055"/>
      <c r="P368" s="1055"/>
      <c r="Q368" s="1055"/>
      <c r="R368" s="1055"/>
      <c r="S368" s="1055"/>
      <c r="T368" s="1055"/>
      <c r="U368" s="1055"/>
      <c r="V368" s="1055"/>
      <c r="W368" s="1055"/>
      <c r="X368" s="1055"/>
      <c r="Y368" s="1055"/>
      <c r="Z368" s="1055"/>
      <c r="AA368" s="1055"/>
      <c r="AB368" s="1055"/>
      <c r="AC368" s="1055"/>
      <c r="AD368" s="1055"/>
      <c r="AE368" s="1055"/>
      <c r="AF368" s="1055"/>
      <c r="AG368" s="1055"/>
      <c r="AH368" s="1055"/>
      <c r="AI368" s="1055"/>
      <c r="AJ368" s="1055"/>
      <c r="AK368" s="1055"/>
      <c r="AL368" s="1055"/>
      <c r="AM368" s="1055"/>
      <c r="AN368" s="1055"/>
      <c r="AO368" s="1055"/>
      <c r="AP368" s="1055"/>
      <c r="AQ368" s="1055"/>
      <c r="AR368" s="1055"/>
      <c r="AS368" s="1055"/>
      <c r="AT368" s="1055"/>
      <c r="AU368" s="1055"/>
      <c r="AV368" s="1055"/>
      <c r="AW368" s="1055"/>
      <c r="AX368" s="1055"/>
      <c r="AY368" s="1055"/>
      <c r="AZ368" s="1055"/>
      <c r="BA368" s="1055"/>
      <c r="BB368" s="1055"/>
      <c r="BC368" s="1055"/>
      <c r="BD368" s="1055"/>
      <c r="BE368" s="1055"/>
      <c r="BF368" s="1055"/>
      <c r="BG368" s="1056"/>
    </row>
    <row r="369" spans="1:59" ht="15" thickBot="1" x14ac:dyDescent="0.2">
      <c r="A369" s="1052"/>
      <c r="B369" s="1053"/>
      <c r="C369" s="1054"/>
      <c r="D369" s="1054"/>
      <c r="E369" s="1055"/>
      <c r="F369" s="1055"/>
      <c r="G369" s="1055"/>
      <c r="H369" s="1055"/>
      <c r="I369" s="1055"/>
      <c r="J369" s="1055"/>
      <c r="K369" s="1055"/>
      <c r="L369" s="1055"/>
      <c r="M369" s="1055"/>
      <c r="N369" s="1055"/>
      <c r="O369" s="1055"/>
      <c r="P369" s="1055"/>
      <c r="Q369" s="1055"/>
      <c r="R369" s="1055"/>
      <c r="S369" s="1055"/>
      <c r="T369" s="1055"/>
      <c r="U369" s="1055"/>
      <c r="V369" s="1055"/>
      <c r="W369" s="1055"/>
      <c r="X369" s="1055"/>
      <c r="Y369" s="1055"/>
      <c r="Z369" s="1055"/>
      <c r="AA369" s="1055"/>
      <c r="AB369" s="1055"/>
      <c r="AC369" s="1055"/>
      <c r="AD369" s="1055"/>
      <c r="AE369" s="1055"/>
      <c r="AF369" s="1055"/>
      <c r="AG369" s="1055"/>
      <c r="AH369" s="1055"/>
      <c r="AI369" s="1055"/>
      <c r="AJ369" s="1055"/>
      <c r="AK369" s="1055"/>
      <c r="AL369" s="1055"/>
      <c r="AM369" s="1055"/>
      <c r="AN369" s="1055"/>
      <c r="AO369" s="1055"/>
      <c r="AP369" s="1055"/>
      <c r="AQ369" s="1055"/>
      <c r="AR369" s="1055"/>
      <c r="AS369" s="1055"/>
      <c r="AT369" s="1055"/>
      <c r="AU369" s="1055"/>
      <c r="AV369" s="1055"/>
      <c r="AW369" s="1055"/>
      <c r="AX369" s="1055"/>
      <c r="AY369" s="1055"/>
      <c r="AZ369" s="1055"/>
      <c r="BA369" s="1055"/>
      <c r="BB369" s="1055"/>
      <c r="BC369" s="1055"/>
      <c r="BD369" s="1055"/>
      <c r="BE369" s="1055"/>
      <c r="BF369" s="1055"/>
      <c r="BG369" s="1056"/>
    </row>
    <row r="370" spans="1:59" ht="15" thickBot="1" x14ac:dyDescent="0.2">
      <c r="A370" s="1052"/>
      <c r="B370" s="1053"/>
      <c r="C370" s="1763" t="str">
        <f>+IF(anyanyil="","",anyanyil)</f>
        <v/>
      </c>
      <c r="D370" s="1764"/>
      <c r="E370" s="1764"/>
      <c r="F370" s="1764"/>
      <c r="G370" s="1764"/>
      <c r="H370" s="1764"/>
      <c r="I370" s="1764"/>
      <c r="J370" s="1764"/>
      <c r="K370" s="1764"/>
      <c r="L370" s="1764"/>
      <c r="M370" s="1764"/>
      <c r="N370" s="1764"/>
      <c r="O370" s="1764"/>
      <c r="P370" s="1764"/>
      <c r="Q370" s="1764"/>
      <c r="R370" s="1764"/>
      <c r="S370" s="1764"/>
      <c r="T370" s="1765"/>
      <c r="U370" s="1055"/>
      <c r="V370" s="1055"/>
      <c r="W370" s="1055"/>
      <c r="X370" s="1763" t="str">
        <f>+IF(szülnyil="","",szülnyil)</f>
        <v/>
      </c>
      <c r="Y370" s="1764"/>
      <c r="Z370" s="1764"/>
      <c r="AA370" s="1764"/>
      <c r="AB370" s="1764"/>
      <c r="AC370" s="1764"/>
      <c r="AD370" s="1764"/>
      <c r="AE370" s="1764"/>
      <c r="AF370" s="1764"/>
      <c r="AG370" s="1764"/>
      <c r="AH370" s="1764"/>
      <c r="AI370" s="1764"/>
      <c r="AJ370" s="1764"/>
      <c r="AK370" s="1764"/>
      <c r="AL370" s="1764"/>
      <c r="AM370" s="1764"/>
      <c r="AN370" s="1765"/>
      <c r="AO370" s="1054"/>
      <c r="AP370" s="1054"/>
      <c r="AQ370" s="1055"/>
      <c r="AR370" s="1763" t="str">
        <f>+IF(szülidonyil="","",szülidonyil)</f>
        <v/>
      </c>
      <c r="AS370" s="1764"/>
      <c r="AT370" s="1764"/>
      <c r="AU370" s="1764"/>
      <c r="AV370" s="1764"/>
      <c r="AW370" s="1764"/>
      <c r="AX370" s="1764"/>
      <c r="AY370" s="1764"/>
      <c r="AZ370" s="1764"/>
      <c r="BA370" s="1764"/>
      <c r="BB370" s="1764"/>
      <c r="BC370" s="1764"/>
      <c r="BD370" s="1765"/>
      <c r="BE370" s="1055"/>
      <c r="BF370" s="1055"/>
      <c r="BG370" s="1056"/>
    </row>
    <row r="371" spans="1:59" x14ac:dyDescent="0.15">
      <c r="A371" s="1052"/>
      <c r="B371" s="1053"/>
      <c r="C371" s="1054" t="s">
        <v>581</v>
      </c>
      <c r="D371" s="1054"/>
      <c r="E371" s="1055"/>
      <c r="F371" s="1055"/>
      <c r="G371" s="1055"/>
      <c r="H371" s="1055"/>
      <c r="I371" s="1055"/>
      <c r="J371" s="1055"/>
      <c r="K371" s="1055"/>
      <c r="L371" s="1055"/>
      <c r="M371" s="1055"/>
      <c r="N371" s="1055"/>
      <c r="O371" s="1055"/>
      <c r="P371" s="1055"/>
      <c r="Q371" s="1055"/>
      <c r="R371" s="1055"/>
      <c r="S371" s="1055"/>
      <c r="T371" s="1055"/>
      <c r="U371" s="1055"/>
      <c r="V371" s="1055"/>
      <c r="W371" s="1055"/>
      <c r="X371" s="1055" t="s">
        <v>582</v>
      </c>
      <c r="Y371" s="1055"/>
      <c r="Z371" s="1055"/>
      <c r="AA371" s="1055"/>
      <c r="AB371" s="1055"/>
      <c r="AC371" s="1055"/>
      <c r="AD371" s="1055"/>
      <c r="AE371" s="1055"/>
      <c r="AF371" s="1055"/>
      <c r="AG371" s="1055"/>
      <c r="AH371" s="1055"/>
      <c r="AI371" s="1055"/>
      <c r="AJ371" s="1055"/>
      <c r="AK371" s="1055"/>
      <c r="AL371" s="1055"/>
      <c r="AM371" s="1055"/>
      <c r="AN371" s="1055"/>
      <c r="AO371" s="1055"/>
      <c r="AP371" s="1055"/>
      <c r="AQ371" s="1055"/>
      <c r="AR371" s="1055" t="s">
        <v>583</v>
      </c>
      <c r="AS371" s="1055"/>
      <c r="AT371" s="1055"/>
      <c r="AU371" s="1055"/>
      <c r="AV371" s="1055"/>
      <c r="AW371" s="1055"/>
      <c r="AX371" s="1055"/>
      <c r="AY371" s="1055"/>
      <c r="AZ371" s="1055"/>
      <c r="BA371" s="1055"/>
      <c r="BB371" s="1055"/>
      <c r="BC371" s="1055"/>
      <c r="BD371" s="1055"/>
      <c r="BE371" s="1055"/>
      <c r="BF371" s="1055"/>
      <c r="BG371" s="1056"/>
    </row>
    <row r="372" spans="1:59" ht="15" thickBot="1" x14ac:dyDescent="0.2">
      <c r="A372" s="1052"/>
      <c r="B372" s="1053"/>
      <c r="C372" s="1054"/>
      <c r="D372" s="1054"/>
      <c r="E372" s="1055"/>
      <c r="F372" s="1055"/>
      <c r="G372" s="1055"/>
      <c r="H372" s="1055"/>
      <c r="I372" s="1055"/>
      <c r="J372" s="1055"/>
      <c r="K372" s="1055"/>
      <c r="L372" s="1055"/>
      <c r="M372" s="1055"/>
      <c r="N372" s="1055"/>
      <c r="O372" s="1055"/>
      <c r="P372" s="1055"/>
      <c r="Q372" s="1055"/>
      <c r="R372" s="1055"/>
      <c r="S372" s="1055"/>
      <c r="T372" s="1055"/>
      <c r="U372" s="1055"/>
      <c r="V372" s="1055"/>
      <c r="W372" s="1055"/>
      <c r="X372" s="1055"/>
      <c r="Y372" s="1055"/>
      <c r="Z372" s="1055"/>
      <c r="AA372" s="1055"/>
      <c r="AB372" s="1055"/>
      <c r="AC372" s="1055"/>
      <c r="AD372" s="1055"/>
      <c r="AE372" s="1055"/>
      <c r="AF372" s="1055"/>
      <c r="AG372" s="1055"/>
      <c r="AH372" s="1055"/>
      <c r="AI372" s="1055"/>
      <c r="AJ372" s="1055"/>
      <c r="AK372" s="1055"/>
      <c r="AL372" s="1055"/>
      <c r="AM372" s="1055"/>
      <c r="AN372" s="1055"/>
      <c r="AO372" s="1055"/>
      <c r="AP372" s="1055"/>
      <c r="AQ372" s="1055"/>
      <c r="AR372" s="1055"/>
      <c r="AS372" s="1055"/>
      <c r="AT372" s="1055"/>
      <c r="AU372" s="1055"/>
      <c r="AV372" s="1055"/>
      <c r="AW372" s="1055"/>
      <c r="AX372" s="1055"/>
      <c r="AY372" s="1055"/>
      <c r="AZ372" s="1055"/>
      <c r="BA372" s="1055"/>
      <c r="BB372" s="1055"/>
      <c r="BC372" s="1055"/>
      <c r="BD372" s="1055"/>
      <c r="BE372" s="1055"/>
      <c r="BF372" s="1055"/>
      <c r="BG372" s="1056"/>
    </row>
    <row r="373" spans="1:59" ht="15" thickBot="1" x14ac:dyDescent="0.2">
      <c r="A373" s="1052"/>
      <c r="B373" s="1053"/>
      <c r="C373" s="1054"/>
      <c r="D373" s="1054"/>
      <c r="E373" s="1055"/>
      <c r="F373" s="1055"/>
      <c r="G373" s="1055"/>
      <c r="H373" s="1055"/>
      <c r="I373" s="1055"/>
      <c r="J373" s="1055"/>
      <c r="K373" s="1055"/>
      <c r="L373" s="1055"/>
      <c r="M373" s="1055"/>
      <c r="N373" s="1055"/>
      <c r="O373" s="1055"/>
      <c r="P373" s="1763" t="str">
        <f>+IF(orszagnyil="","",orszagnyil)</f>
        <v>HU</v>
      </c>
      <c r="Q373" s="1764"/>
      <c r="R373" s="1764"/>
      <c r="S373" s="1765"/>
      <c r="T373" s="1055"/>
      <c r="U373" s="1055"/>
      <c r="V373" s="1055"/>
      <c r="W373" s="1055"/>
      <c r="X373" s="1055"/>
      <c r="Y373" s="1055"/>
      <c r="Z373" s="1055"/>
      <c r="AA373" s="1055"/>
      <c r="AB373" s="1055"/>
      <c r="AC373" s="1055"/>
      <c r="AD373" s="1055"/>
      <c r="AE373" s="1055"/>
      <c r="AF373" s="1055"/>
      <c r="AG373" s="1055"/>
      <c r="AH373" s="1055"/>
      <c r="AI373" s="1055"/>
      <c r="AJ373" s="1055"/>
      <c r="AK373" s="1055"/>
      <c r="AL373" s="1055"/>
      <c r="AM373" s="1055"/>
      <c r="AN373" s="1055"/>
      <c r="AO373" s="1055"/>
      <c r="AP373" s="1055"/>
      <c r="AQ373" s="1055"/>
      <c r="AR373" s="1055"/>
      <c r="AS373" s="1055"/>
      <c r="AT373" s="1055"/>
      <c r="AU373" s="1055"/>
      <c r="AV373" s="1055"/>
      <c r="AW373" s="1055"/>
      <c r="AX373" s="1055"/>
      <c r="AY373" s="1055"/>
      <c r="AZ373" s="1055"/>
      <c r="BA373" s="1055"/>
      <c r="BB373" s="1055"/>
      <c r="BC373" s="1055"/>
      <c r="BD373" s="1055"/>
      <c r="BE373" s="1055"/>
      <c r="BF373" s="1055"/>
      <c r="BG373" s="1056"/>
    </row>
    <row r="374" spans="1:59" ht="15" thickBot="1" x14ac:dyDescent="0.2">
      <c r="A374" s="1052"/>
      <c r="B374" s="1053"/>
      <c r="C374" s="1054"/>
      <c r="D374" s="1769" t="s">
        <v>584</v>
      </c>
      <c r="E374" s="1769"/>
      <c r="F374" s="1769"/>
      <c r="G374" s="1769"/>
      <c r="H374" s="1769"/>
      <c r="I374" s="1769"/>
      <c r="J374" s="1769"/>
      <c r="K374" s="1769"/>
      <c r="L374" s="1769"/>
      <c r="M374" s="1769"/>
      <c r="N374" s="1769"/>
      <c r="O374" s="1058"/>
      <c r="P374" s="1058" t="s">
        <v>297</v>
      </c>
      <c r="Q374" s="1058"/>
      <c r="R374" s="1058"/>
      <c r="S374" s="1057"/>
      <c r="T374" s="1058"/>
      <c r="U374" s="1058"/>
      <c r="V374" s="1057"/>
      <c r="W374" s="1057"/>
      <c r="X374" s="1057"/>
      <c r="Y374" s="1057"/>
      <c r="Z374" s="1057"/>
      <c r="AA374" s="1057"/>
      <c r="AB374" s="1057"/>
      <c r="AC374" s="1057"/>
      <c r="AD374" s="1057"/>
      <c r="AE374" s="1057"/>
      <c r="AF374" s="1057"/>
      <c r="AG374" s="1057"/>
      <c r="AH374" s="1057"/>
      <c r="AI374" s="1057"/>
      <c r="AJ374" s="1057"/>
      <c r="AK374" s="1057"/>
      <c r="AL374" s="1057"/>
      <c r="AM374" s="1057"/>
      <c r="AN374" s="1057"/>
      <c r="AO374" s="1057"/>
      <c r="AP374" s="1057"/>
      <c r="AQ374" s="1057"/>
      <c r="AR374" s="1057"/>
      <c r="AS374" s="1057"/>
      <c r="AT374" s="1057"/>
      <c r="AU374" s="1057"/>
      <c r="AV374" s="1057"/>
      <c r="AW374" s="1057"/>
      <c r="AX374" s="1057"/>
      <c r="AY374" s="1057"/>
      <c r="AZ374" s="1057"/>
      <c r="BA374" s="1057"/>
      <c r="BB374" s="1057"/>
      <c r="BC374" s="1057"/>
      <c r="BD374" s="1057"/>
      <c r="BE374" s="1057"/>
      <c r="BF374" s="1057"/>
      <c r="BG374" s="1056"/>
    </row>
    <row r="375" spans="1:59" ht="15" thickBot="1" x14ac:dyDescent="0.2">
      <c r="A375" s="1052"/>
      <c r="B375" s="1053"/>
      <c r="C375" s="1054"/>
      <c r="D375" s="1769"/>
      <c r="E375" s="1769"/>
      <c r="F375" s="1769"/>
      <c r="G375" s="1769"/>
      <c r="H375" s="1769"/>
      <c r="I375" s="1769"/>
      <c r="J375" s="1769"/>
      <c r="K375" s="1769"/>
      <c r="L375" s="1769"/>
      <c r="M375" s="1769"/>
      <c r="N375" s="1769"/>
      <c r="O375" s="1059"/>
      <c r="P375" s="1770" t="str">
        <f>+IF(irszamnyil="","",irszamnyil)</f>
        <v/>
      </c>
      <c r="Q375" s="1771"/>
      <c r="R375" s="1771"/>
      <c r="S375" s="1772"/>
      <c r="T375" s="1057"/>
      <c r="U375" s="1773" t="str">
        <f>+IF(helysegnyil="","",helysegnyil)</f>
        <v/>
      </c>
      <c r="V375" s="1774"/>
      <c r="W375" s="1774"/>
      <c r="X375" s="1774"/>
      <c r="Y375" s="1774"/>
      <c r="Z375" s="1774"/>
      <c r="AA375" s="1774"/>
      <c r="AB375" s="1774"/>
      <c r="AC375" s="1774"/>
      <c r="AD375" s="1774"/>
      <c r="AE375" s="1774"/>
      <c r="AF375" s="1774"/>
      <c r="AG375" s="1774"/>
      <c r="AH375" s="1774"/>
      <c r="AI375" s="1774"/>
      <c r="AJ375" s="1774"/>
      <c r="AK375" s="1774"/>
      <c r="AL375" s="1774"/>
      <c r="AM375" s="1774"/>
      <c r="AN375" s="1774"/>
      <c r="AO375" s="1774"/>
      <c r="AP375" s="1774"/>
      <c r="AQ375" s="1774"/>
      <c r="AR375" s="1774"/>
      <c r="AS375" s="1774"/>
      <c r="AT375" s="1774"/>
      <c r="AU375" s="1774"/>
      <c r="AV375" s="1774"/>
      <c r="AW375" s="1774"/>
      <c r="AX375" s="1774"/>
      <c r="AY375" s="1775"/>
      <c r="AZ375" s="1057"/>
      <c r="BA375" s="1770" t="str">
        <f>+IF(postafioknyil="","",postafioknyil)</f>
        <v/>
      </c>
      <c r="BB375" s="1771"/>
      <c r="BC375" s="1771"/>
      <c r="BD375" s="1771"/>
      <c r="BE375" s="1771"/>
      <c r="BF375" s="1772"/>
      <c r="BG375" s="1056"/>
    </row>
    <row r="376" spans="1:59" x14ac:dyDescent="0.15">
      <c r="A376" s="1052"/>
      <c r="B376" s="1053"/>
      <c r="C376" s="1054"/>
      <c r="D376" s="1769"/>
      <c r="E376" s="1769"/>
      <c r="F376" s="1769"/>
      <c r="G376" s="1769"/>
      <c r="H376" s="1769"/>
      <c r="I376" s="1769"/>
      <c r="J376" s="1769"/>
      <c r="K376" s="1769"/>
      <c r="L376" s="1769"/>
      <c r="M376" s="1769"/>
      <c r="N376" s="1769"/>
      <c r="O376" s="1057"/>
      <c r="P376" s="1057" t="s">
        <v>146</v>
      </c>
      <c r="Q376" s="1057"/>
      <c r="R376" s="1057"/>
      <c r="S376" s="1057"/>
      <c r="T376" s="1057"/>
      <c r="U376" s="1057" t="s">
        <v>147</v>
      </c>
      <c r="V376" s="1057"/>
      <c r="W376" s="1057"/>
      <c r="X376" s="1057"/>
      <c r="Y376" s="1057"/>
      <c r="Z376" s="1057"/>
      <c r="AA376" s="1057"/>
      <c r="AB376" s="1057"/>
      <c r="AC376" s="1057"/>
      <c r="AD376" s="1057"/>
      <c r="AE376" s="1057"/>
      <c r="AF376" s="1057"/>
      <c r="AG376" s="1057"/>
      <c r="AH376" s="1057"/>
      <c r="AI376" s="1057"/>
      <c r="AJ376" s="1057"/>
      <c r="AK376" s="1057"/>
      <c r="AL376" s="1057"/>
      <c r="AM376" s="1057"/>
      <c r="AN376" s="1057"/>
      <c r="AO376" s="1057"/>
      <c r="AP376" s="1057"/>
      <c r="AQ376" s="1057"/>
      <c r="AR376" s="1057"/>
      <c r="AS376" s="1057"/>
      <c r="AT376" s="1057"/>
      <c r="AU376" s="1057"/>
      <c r="AV376" s="1057"/>
      <c r="AW376" s="1057"/>
      <c r="AX376" s="1057"/>
      <c r="AY376" s="1057"/>
      <c r="AZ376" s="1057"/>
      <c r="BA376" s="1057" t="s">
        <v>148</v>
      </c>
      <c r="BB376" s="1057"/>
      <c r="BC376" s="1057"/>
      <c r="BD376" s="1057"/>
      <c r="BE376" s="1057"/>
      <c r="BF376" s="1057"/>
      <c r="BG376" s="1056"/>
    </row>
    <row r="377" spans="1:59" ht="15" thickBot="1" x14ac:dyDescent="0.2">
      <c r="A377" s="1052"/>
      <c r="B377" s="1053"/>
      <c r="C377" s="1054"/>
      <c r="D377" s="1060"/>
      <c r="E377" s="1060"/>
      <c r="F377" s="1060"/>
      <c r="G377" s="1060"/>
      <c r="H377" s="1060"/>
      <c r="I377" s="1060"/>
      <c r="J377" s="1060"/>
      <c r="K377" s="1060"/>
      <c r="L377" s="1060"/>
      <c r="M377" s="1060"/>
      <c r="N377" s="1060"/>
      <c r="O377" s="1061"/>
      <c r="P377" s="1057"/>
      <c r="Q377" s="1057"/>
      <c r="R377" s="1057"/>
      <c r="S377" s="1057"/>
      <c r="T377" s="1057"/>
      <c r="U377" s="1057"/>
      <c r="V377" s="1057"/>
      <c r="W377" s="1057"/>
      <c r="X377" s="1057"/>
      <c r="Y377" s="1057"/>
      <c r="Z377" s="1057"/>
      <c r="AA377" s="1057"/>
      <c r="AB377" s="1057"/>
      <c r="AC377" s="1057"/>
      <c r="AD377" s="1057"/>
      <c r="AE377" s="1057"/>
      <c r="AF377" s="1057"/>
      <c r="AG377" s="1057"/>
      <c r="AH377" s="1057"/>
      <c r="AI377" s="1057"/>
      <c r="AJ377" s="1057"/>
      <c r="AK377" s="1057"/>
      <c r="AL377" s="1057"/>
      <c r="AM377" s="1057"/>
      <c r="AN377" s="1057"/>
      <c r="AO377" s="1057"/>
      <c r="AP377" s="1057"/>
      <c r="AQ377" s="1057"/>
      <c r="AR377" s="1057"/>
      <c r="AS377" s="1057"/>
      <c r="AT377" s="1057"/>
      <c r="AU377" s="1057"/>
      <c r="AV377" s="1057"/>
      <c r="AW377" s="1057"/>
      <c r="AX377" s="1057"/>
      <c r="AY377" s="1057"/>
      <c r="AZ377" s="1057"/>
      <c r="BA377" s="1057"/>
      <c r="BB377" s="1057"/>
      <c r="BC377" s="1057"/>
      <c r="BD377" s="1057"/>
      <c r="BE377" s="1057"/>
      <c r="BF377" s="1057"/>
      <c r="BG377" s="1056"/>
    </row>
    <row r="378" spans="1:59" ht="15" thickBot="1" x14ac:dyDescent="0.2">
      <c r="A378" s="1052"/>
      <c r="B378" s="1053"/>
      <c r="C378" s="1054"/>
      <c r="D378" s="1770" t="str">
        <f>+IF(kozternevenyil="","",kozternevenyil)</f>
        <v/>
      </c>
      <c r="E378" s="1771"/>
      <c r="F378" s="1771"/>
      <c r="G378" s="1771"/>
      <c r="H378" s="1771"/>
      <c r="I378" s="1771"/>
      <c r="J378" s="1771"/>
      <c r="K378" s="1771"/>
      <c r="L378" s="1771"/>
      <c r="M378" s="1771"/>
      <c r="N378" s="1771"/>
      <c r="O378" s="1771"/>
      <c r="P378" s="1771"/>
      <c r="Q378" s="1771"/>
      <c r="R378" s="1771"/>
      <c r="S378" s="1771"/>
      <c r="T378" s="1771"/>
      <c r="U378" s="1771"/>
      <c r="V378" s="1771"/>
      <c r="W378" s="1771"/>
      <c r="X378" s="1771"/>
      <c r="Y378" s="1771"/>
      <c r="Z378" s="1771"/>
      <c r="AA378" s="1771"/>
      <c r="AB378" s="1771"/>
      <c r="AC378" s="1772"/>
      <c r="AD378" s="1062"/>
      <c r="AE378" s="1063"/>
      <c r="AF378" s="1770" t="str">
        <f>+IF(jellegnyil="","",jellegnyil)</f>
        <v>legördülő cella</v>
      </c>
      <c r="AG378" s="1771"/>
      <c r="AH378" s="1771"/>
      <c r="AI378" s="1771"/>
      <c r="AJ378" s="1771"/>
      <c r="AK378" s="1771"/>
      <c r="AL378" s="1771"/>
      <c r="AM378" s="1771"/>
      <c r="AN378" s="1771"/>
      <c r="AO378" s="1771"/>
      <c r="AP378" s="1772"/>
      <c r="AQ378" s="1062"/>
      <c r="AR378" s="1059"/>
      <c r="AS378" s="1059"/>
      <c r="AT378" s="1059"/>
      <c r="AU378" s="1059"/>
      <c r="AV378" s="1059"/>
      <c r="AW378" s="1059"/>
      <c r="AX378" s="1776" t="str">
        <f>+IF(ajtonyil="","",ajtonyil)</f>
        <v/>
      </c>
      <c r="AY378" s="1777"/>
      <c r="AZ378" s="1777"/>
      <c r="BA378" s="1777"/>
      <c r="BB378" s="1777"/>
      <c r="BC378" s="1777"/>
      <c r="BD378" s="1777"/>
      <c r="BE378" s="1777"/>
      <c r="BF378" s="1778"/>
      <c r="BG378" s="1056"/>
    </row>
    <row r="379" spans="1:59" x14ac:dyDescent="0.15">
      <c r="A379" s="1052"/>
      <c r="B379" s="1053"/>
      <c r="C379" s="1054"/>
      <c r="D379" s="1057" t="s">
        <v>149</v>
      </c>
      <c r="E379" s="1057"/>
      <c r="F379" s="1057"/>
      <c r="G379" s="1057"/>
      <c r="H379" s="1057"/>
      <c r="I379" s="1057"/>
      <c r="J379" s="1057"/>
      <c r="K379" s="1057"/>
      <c r="L379" s="1057"/>
      <c r="M379" s="1057"/>
      <c r="N379" s="1057"/>
      <c r="O379" s="1057"/>
      <c r="P379" s="1057"/>
      <c r="Q379" s="1057"/>
      <c r="R379" s="1057"/>
      <c r="S379" s="1057"/>
      <c r="T379" s="1057"/>
      <c r="U379" s="1057"/>
      <c r="V379" s="1057"/>
      <c r="W379" s="1057"/>
      <c r="X379" s="1057"/>
      <c r="Y379" s="1057"/>
      <c r="Z379" s="1057"/>
      <c r="AA379" s="1057"/>
      <c r="AB379" s="1057"/>
      <c r="AC379" s="1057"/>
      <c r="AD379" s="1057"/>
      <c r="AE379" s="1057"/>
      <c r="AF379" s="1057" t="s">
        <v>150</v>
      </c>
      <c r="AG379" s="1057"/>
      <c r="AH379" s="1057"/>
      <c r="AI379" s="1057"/>
      <c r="AJ379" s="1063"/>
      <c r="AK379" s="1057"/>
      <c r="AL379" s="1057"/>
      <c r="AM379" s="1057"/>
      <c r="AN379" s="1057"/>
      <c r="AO379" s="1057"/>
      <c r="AP379" s="1057"/>
      <c r="AQ379" s="1063"/>
      <c r="AR379" s="1057"/>
      <c r="AS379" s="1057"/>
      <c r="AT379" s="1057"/>
      <c r="AU379" s="1057"/>
      <c r="AV379" s="1057"/>
      <c r="AW379" s="1057"/>
      <c r="AX379" s="1058" t="s">
        <v>151</v>
      </c>
      <c r="AY379" s="1058"/>
      <c r="AZ379" s="1058"/>
      <c r="BA379" s="1058"/>
      <c r="BB379" s="1058"/>
      <c r="BC379" s="1058"/>
      <c r="BD379" s="1058"/>
      <c r="BE379" s="1058"/>
      <c r="BF379" s="1058"/>
      <c r="BG379" s="1056"/>
    </row>
    <row r="380" spans="1:59" x14ac:dyDescent="0.15">
      <c r="A380" s="1050"/>
      <c r="B380" s="1064"/>
      <c r="C380" s="1055"/>
      <c r="D380" s="1060"/>
      <c r="E380" s="1060"/>
      <c r="F380" s="1060"/>
      <c r="G380" s="1060"/>
      <c r="H380" s="1060"/>
      <c r="I380" s="1060"/>
      <c r="J380" s="1060"/>
      <c r="K380" s="1060"/>
      <c r="L380" s="1060"/>
      <c r="M380" s="1060"/>
      <c r="N380" s="1060"/>
      <c r="O380" s="1061"/>
      <c r="P380" s="1057"/>
      <c r="Q380" s="1057"/>
      <c r="R380" s="1057"/>
      <c r="S380" s="1057"/>
      <c r="T380" s="1057"/>
      <c r="U380" s="1057"/>
      <c r="V380" s="1057"/>
      <c r="W380" s="1057"/>
      <c r="X380" s="1057"/>
      <c r="Y380" s="1057"/>
      <c r="Z380" s="1057"/>
      <c r="AA380" s="1057"/>
      <c r="AB380" s="1057"/>
      <c r="AC380" s="1057"/>
      <c r="AD380" s="1057"/>
      <c r="AE380" s="1057"/>
      <c r="AF380" s="1057"/>
      <c r="AG380" s="1057"/>
      <c r="AH380" s="1057"/>
      <c r="AI380" s="1057"/>
      <c r="AJ380" s="1057"/>
      <c r="AK380" s="1057"/>
      <c r="AL380" s="1057"/>
      <c r="AM380" s="1057"/>
      <c r="AN380" s="1057"/>
      <c r="AO380" s="1057"/>
      <c r="AP380" s="1057"/>
      <c r="AQ380" s="1057"/>
      <c r="AR380" s="1057"/>
      <c r="AS380" s="1057"/>
      <c r="AT380" s="1057"/>
      <c r="AU380" s="1057"/>
      <c r="AV380" s="1057"/>
      <c r="AW380" s="1057"/>
      <c r="AX380" s="1057"/>
      <c r="AY380" s="1057"/>
      <c r="AZ380" s="1057"/>
      <c r="BA380" s="1057"/>
      <c r="BB380" s="1057"/>
      <c r="BC380" s="1057"/>
      <c r="BD380" s="1057"/>
      <c r="BE380" s="1057"/>
      <c r="BF380" s="1057"/>
      <c r="BG380" s="1056"/>
    </row>
    <row r="381" spans="1:59" ht="15" thickBot="1" x14ac:dyDescent="0.2">
      <c r="A381" s="1050"/>
      <c r="B381" s="1064"/>
      <c r="C381" s="1055"/>
      <c r="D381" s="1055"/>
      <c r="E381" s="1055"/>
      <c r="F381" s="1055"/>
      <c r="G381" s="1055"/>
      <c r="H381" s="1055"/>
      <c r="I381" s="1055"/>
      <c r="J381" s="1055"/>
      <c r="K381" s="1055"/>
      <c r="L381" s="1055"/>
      <c r="M381" s="1055"/>
      <c r="N381" s="1055"/>
      <c r="O381" s="1055"/>
      <c r="P381" s="1055"/>
      <c r="Q381" s="1055"/>
      <c r="R381" s="1055"/>
      <c r="S381" s="1055"/>
      <c r="T381" s="1055"/>
      <c r="U381" s="1055"/>
      <c r="V381" s="1055"/>
      <c r="W381" s="1055"/>
      <c r="X381" s="1055"/>
      <c r="Y381" s="1055"/>
      <c r="Z381" s="1055"/>
      <c r="AA381" s="1055"/>
      <c r="AB381" s="1055"/>
      <c r="AC381" s="1055"/>
      <c r="AD381" s="1055"/>
      <c r="AE381" s="1055"/>
      <c r="AF381" s="1055"/>
      <c r="AG381" s="1055"/>
      <c r="AH381" s="1055"/>
      <c r="AI381" s="1055"/>
      <c r="AJ381" s="1055"/>
      <c r="AK381" s="1055"/>
      <c r="AL381" s="1055"/>
      <c r="AM381" s="1055"/>
      <c r="AN381" s="1055"/>
      <c r="AO381" s="1055"/>
      <c r="AP381" s="1055"/>
      <c r="AQ381" s="1055"/>
      <c r="AR381" s="1055"/>
      <c r="AS381" s="1055"/>
      <c r="AT381" s="1055"/>
      <c r="AU381" s="1055"/>
      <c r="AV381" s="1055"/>
      <c r="AW381" s="1055"/>
      <c r="AX381" s="1055"/>
      <c r="AY381" s="1055"/>
      <c r="AZ381" s="1055"/>
      <c r="BA381" s="1055"/>
      <c r="BB381" s="1055"/>
      <c r="BC381" s="1055"/>
      <c r="BD381" s="1055"/>
      <c r="BE381" s="1055"/>
      <c r="BF381" s="1055"/>
      <c r="BG381" s="1056"/>
    </row>
    <row r="382" spans="1:59" ht="15" thickBot="1" x14ac:dyDescent="0.2">
      <c r="A382" s="1050"/>
      <c r="B382" s="1064"/>
      <c r="C382" s="1763" t="str">
        <f>+IF(adoszamnyil="","",adoszamnyil)</f>
        <v/>
      </c>
      <c r="D382" s="1764"/>
      <c r="E382" s="1764"/>
      <c r="F382" s="1764"/>
      <c r="G382" s="1764"/>
      <c r="H382" s="1764"/>
      <c r="I382" s="1764"/>
      <c r="J382" s="1764"/>
      <c r="K382" s="1764"/>
      <c r="L382" s="1764"/>
      <c r="M382" s="1764"/>
      <c r="N382" s="1764"/>
      <c r="O382" s="1764"/>
      <c r="P382" s="1764"/>
      <c r="Q382" s="1764"/>
      <c r="R382" s="1764"/>
      <c r="S382" s="1764"/>
      <c r="T382" s="1765"/>
      <c r="U382" s="1055"/>
      <c r="V382" s="1055"/>
      <c r="W382" s="1055"/>
      <c r="X382" s="1763" t="str">
        <f>+IF(evnyil="","",evnyil)</f>
        <v/>
      </c>
      <c r="Y382" s="1764"/>
      <c r="Z382" s="1764"/>
      <c r="AA382" s="1764"/>
      <c r="AB382" s="1764"/>
      <c r="AC382" s="1764"/>
      <c r="AD382" s="1764"/>
      <c r="AE382" s="1764"/>
      <c r="AF382" s="1764"/>
      <c r="AG382" s="1764"/>
      <c r="AH382" s="1764"/>
      <c r="AI382" s="1764"/>
      <c r="AJ382" s="1764"/>
      <c r="AK382" s="1764"/>
      <c r="AL382" s="1765"/>
      <c r="AM382" s="1055"/>
      <c r="AN382" s="1055"/>
      <c r="AO382" s="1763" t="str">
        <f>+IF(evszamnyil="","",evszamnyil)</f>
        <v/>
      </c>
      <c r="AP382" s="1764"/>
      <c r="AQ382" s="1764"/>
      <c r="AR382" s="1764"/>
      <c r="AS382" s="1764"/>
      <c r="AT382" s="1764"/>
      <c r="AU382" s="1764"/>
      <c r="AV382" s="1764"/>
      <c r="AW382" s="1764"/>
      <c r="AX382" s="1764"/>
      <c r="AY382" s="1764"/>
      <c r="AZ382" s="1764"/>
      <c r="BA382" s="1764"/>
      <c r="BB382" s="1764"/>
      <c r="BC382" s="1764"/>
      <c r="BD382" s="1764"/>
      <c r="BE382" s="1764"/>
      <c r="BF382" s="1765"/>
      <c r="BG382" s="1056"/>
    </row>
    <row r="383" spans="1:59" x14ac:dyDescent="0.15">
      <c r="A383" s="1050"/>
      <c r="B383" s="1064"/>
      <c r="C383" s="1055" t="s">
        <v>590</v>
      </c>
      <c r="D383" s="1055"/>
      <c r="E383" s="1055"/>
      <c r="F383" s="1055"/>
      <c r="G383" s="1055"/>
      <c r="H383" s="1055"/>
      <c r="I383" s="1055"/>
      <c r="J383" s="1055"/>
      <c r="K383" s="1055"/>
      <c r="L383" s="1055"/>
      <c r="M383" s="1055"/>
      <c r="N383" s="1055"/>
      <c r="O383" s="1055"/>
      <c r="P383" s="1055"/>
      <c r="Q383" s="1055"/>
      <c r="R383" s="1055"/>
      <c r="S383" s="1055"/>
      <c r="T383" s="1055"/>
      <c r="U383" s="1055"/>
      <c r="V383" s="1055"/>
      <c r="W383" s="1055"/>
      <c r="X383" s="1055" t="s">
        <v>591</v>
      </c>
      <c r="Y383" s="1055"/>
      <c r="Z383" s="1055"/>
      <c r="AA383" s="1055"/>
      <c r="AB383" s="1055"/>
      <c r="AC383" s="1055"/>
      <c r="AD383" s="1055"/>
      <c r="AE383" s="1055"/>
      <c r="AF383" s="1055"/>
      <c r="AG383" s="1055"/>
      <c r="AH383" s="1055"/>
      <c r="AI383" s="1055"/>
      <c r="AJ383" s="1055"/>
      <c r="AK383" s="1055"/>
      <c r="AL383" s="1055"/>
      <c r="AM383" s="1055"/>
      <c r="AN383" s="1055"/>
      <c r="AO383" s="1055" t="s">
        <v>592</v>
      </c>
      <c r="AP383" s="1055"/>
      <c r="AQ383" s="1055"/>
      <c r="AR383" s="1055"/>
      <c r="AS383" s="1055"/>
      <c r="AT383" s="1055"/>
      <c r="AU383" s="1055"/>
      <c r="AV383" s="1055"/>
      <c r="AW383" s="1055"/>
      <c r="AX383" s="1055"/>
      <c r="AY383" s="1055"/>
      <c r="AZ383" s="1055"/>
      <c r="BA383" s="1055"/>
      <c r="BB383" s="1055"/>
      <c r="BC383" s="1055"/>
      <c r="BD383" s="1055"/>
      <c r="BE383" s="1055"/>
      <c r="BF383" s="1055"/>
      <c r="BG383" s="1056"/>
    </row>
    <row r="384" spans="1:59" ht="15" thickBot="1" x14ac:dyDescent="0.2">
      <c r="A384" s="1050"/>
      <c r="B384" s="1064"/>
      <c r="C384" s="1055"/>
      <c r="D384" s="1055"/>
      <c r="E384" s="1055"/>
      <c r="F384" s="1055"/>
      <c r="G384" s="1055"/>
      <c r="H384" s="1055"/>
      <c r="I384" s="1055"/>
      <c r="J384" s="1055"/>
      <c r="K384" s="1055"/>
      <c r="L384" s="1055"/>
      <c r="M384" s="1055"/>
      <c r="N384" s="1055"/>
      <c r="O384" s="1055"/>
      <c r="P384" s="1055"/>
      <c r="Q384" s="1055"/>
      <c r="R384" s="1055"/>
      <c r="S384" s="1055"/>
      <c r="T384" s="1055"/>
      <c r="U384" s="1055"/>
      <c r="V384" s="1055"/>
      <c r="W384" s="1055"/>
      <c r="X384" s="1055"/>
      <c r="Y384" s="1055"/>
      <c r="Z384" s="1055"/>
      <c r="AA384" s="1055"/>
      <c r="AB384" s="1055"/>
      <c r="AC384" s="1055"/>
      <c r="AD384" s="1055"/>
      <c r="AE384" s="1055"/>
      <c r="AF384" s="1055"/>
      <c r="AG384" s="1055"/>
      <c r="AH384" s="1055"/>
      <c r="AI384" s="1055"/>
      <c r="AJ384" s="1055"/>
      <c r="AK384" s="1055"/>
      <c r="AL384" s="1055"/>
      <c r="AM384" s="1055"/>
      <c r="AN384" s="1055"/>
      <c r="AO384" s="1055"/>
      <c r="AP384" s="1055"/>
      <c r="AQ384" s="1055"/>
      <c r="AR384" s="1055"/>
      <c r="AS384" s="1055"/>
      <c r="AT384" s="1055"/>
      <c r="AU384" s="1055"/>
      <c r="AV384" s="1055"/>
      <c r="AW384" s="1055"/>
      <c r="AX384" s="1055"/>
      <c r="AY384" s="1055"/>
      <c r="AZ384" s="1055"/>
      <c r="BA384" s="1055"/>
      <c r="BB384" s="1055"/>
      <c r="BC384" s="1055"/>
      <c r="BD384" s="1055"/>
      <c r="BE384" s="1055"/>
      <c r="BF384" s="1055"/>
      <c r="BG384" s="1056"/>
    </row>
    <row r="385" spans="1:59" ht="15" thickBot="1" x14ac:dyDescent="0.2">
      <c r="A385" s="1050"/>
      <c r="B385" s="1064"/>
      <c r="C385" s="1763" t="str">
        <f>+IF(KKVnyil="","",KKVnyil)</f>
        <v>legördülő cella</v>
      </c>
      <c r="D385" s="1764"/>
      <c r="E385" s="1764"/>
      <c r="F385" s="1764"/>
      <c r="G385" s="1764"/>
      <c r="H385" s="1764"/>
      <c r="I385" s="1764"/>
      <c r="J385" s="1764"/>
      <c r="K385" s="1764"/>
      <c r="L385" s="1764"/>
      <c r="M385" s="1764"/>
      <c r="N385" s="1764"/>
      <c r="O385" s="1764"/>
      <c r="P385" s="1764"/>
      <c r="Q385" s="1764"/>
      <c r="R385" s="1764"/>
      <c r="S385" s="1764"/>
      <c r="T385" s="1765"/>
      <c r="U385" s="1055"/>
      <c r="V385" s="1055"/>
      <c r="W385" s="1055"/>
      <c r="X385" s="1763" t="str">
        <f>+IF(gazformnyil="","",gazformnyil)</f>
        <v>legördülő cella</v>
      </c>
      <c r="Y385" s="1764"/>
      <c r="Z385" s="1764"/>
      <c r="AA385" s="1764"/>
      <c r="AB385" s="1764"/>
      <c r="AC385" s="1764"/>
      <c r="AD385" s="1764"/>
      <c r="AE385" s="1764"/>
      <c r="AF385" s="1764"/>
      <c r="AG385" s="1764"/>
      <c r="AH385" s="1764"/>
      <c r="AI385" s="1764"/>
      <c r="AJ385" s="1764"/>
      <c r="AK385" s="1764"/>
      <c r="AL385" s="1765"/>
      <c r="AM385" s="1055"/>
      <c r="AN385" s="1055"/>
      <c r="AO385" s="1055"/>
      <c r="AP385" s="1055"/>
      <c r="AQ385" s="1055"/>
      <c r="AR385" s="1055"/>
      <c r="AS385" s="1055"/>
      <c r="AT385" s="1055"/>
      <c r="AU385" s="1055"/>
      <c r="AV385" s="1055"/>
      <c r="AW385" s="1055"/>
      <c r="AX385" s="1055"/>
      <c r="AY385" s="1055"/>
      <c r="AZ385" s="1055"/>
      <c r="BA385" s="1055"/>
      <c r="BB385" s="1055"/>
      <c r="BC385" s="1055"/>
      <c r="BD385" s="1055"/>
      <c r="BE385" s="1055"/>
      <c r="BF385" s="1055"/>
      <c r="BG385" s="1056"/>
    </row>
    <row r="386" spans="1:59" x14ac:dyDescent="0.15">
      <c r="A386" s="1050"/>
      <c r="B386" s="1064"/>
      <c r="C386" s="1055" t="s">
        <v>593</v>
      </c>
      <c r="D386" s="1055"/>
      <c r="E386" s="1055"/>
      <c r="F386" s="1055"/>
      <c r="G386" s="1055"/>
      <c r="H386" s="1055"/>
      <c r="I386" s="1055"/>
      <c r="J386" s="1055"/>
      <c r="K386" s="1055"/>
      <c r="L386" s="1055"/>
      <c r="M386" s="1055"/>
      <c r="N386" s="1055"/>
      <c r="O386" s="1055"/>
      <c r="P386" s="1055"/>
      <c r="Q386" s="1055"/>
      <c r="R386" s="1055"/>
      <c r="S386" s="1055"/>
      <c r="T386" s="1055"/>
      <c r="U386" s="1055"/>
      <c r="V386" s="1055"/>
      <c r="W386" s="1055"/>
      <c r="X386" s="1055" t="s">
        <v>594</v>
      </c>
      <c r="Y386" s="1055"/>
      <c r="Z386" s="1055"/>
      <c r="AA386" s="1055"/>
      <c r="AB386" s="1055"/>
      <c r="AC386" s="1055"/>
      <c r="AD386" s="1055"/>
      <c r="AE386" s="1055"/>
      <c r="AF386" s="1055"/>
      <c r="AG386" s="1055"/>
      <c r="AH386" s="1055"/>
      <c r="AI386" s="1055"/>
      <c r="AJ386" s="1055"/>
      <c r="AK386" s="1055"/>
      <c r="AL386" s="1055"/>
      <c r="AM386" s="1055"/>
      <c r="AN386" s="1055"/>
      <c r="AO386" s="1055"/>
      <c r="AP386" s="1055"/>
      <c r="AQ386" s="1055"/>
      <c r="AR386" s="1055"/>
      <c r="AS386" s="1055"/>
      <c r="AT386" s="1055"/>
      <c r="AU386" s="1055"/>
      <c r="AV386" s="1055"/>
      <c r="AW386" s="1055"/>
      <c r="AX386" s="1055"/>
      <c r="AY386" s="1055"/>
      <c r="AZ386" s="1055"/>
      <c r="BA386" s="1055"/>
      <c r="BB386" s="1055"/>
      <c r="BC386" s="1055"/>
      <c r="BD386" s="1055"/>
      <c r="BE386" s="1055"/>
      <c r="BF386" s="1055"/>
      <c r="BG386" s="1056"/>
    </row>
    <row r="387" spans="1:59" ht="15" thickBot="1" x14ac:dyDescent="0.2">
      <c r="A387" s="1050"/>
      <c r="B387" s="1064"/>
      <c r="C387" s="1055"/>
      <c r="D387" s="1055"/>
      <c r="E387" s="1055"/>
      <c r="F387" s="1055"/>
      <c r="G387" s="1055"/>
      <c r="H387" s="1055"/>
      <c r="I387" s="1055"/>
      <c r="J387" s="1055"/>
      <c r="K387" s="1055"/>
      <c r="L387" s="1055"/>
      <c r="M387" s="1055"/>
      <c r="N387" s="1055"/>
      <c r="O387" s="1055"/>
      <c r="P387" s="1055"/>
      <c r="Q387" s="1055"/>
      <c r="R387" s="1055"/>
      <c r="S387" s="1055"/>
      <c r="T387" s="1055"/>
      <c r="U387" s="1055"/>
      <c r="V387" s="1055"/>
      <c r="W387" s="1055"/>
      <c r="X387" s="1055"/>
      <c r="Y387" s="1055"/>
      <c r="Z387" s="1055"/>
      <c r="AA387" s="1055"/>
      <c r="AB387" s="1055"/>
      <c r="AC387" s="1055"/>
      <c r="AD387" s="1055"/>
      <c r="AE387" s="1055"/>
      <c r="AF387" s="1055"/>
      <c r="AG387" s="1055"/>
      <c r="AH387" s="1055"/>
      <c r="AI387" s="1055"/>
      <c r="AJ387" s="1055"/>
      <c r="AK387" s="1055"/>
      <c r="AL387" s="1055"/>
      <c r="AM387" s="1055"/>
      <c r="AN387" s="1055"/>
      <c r="AO387" s="1055"/>
      <c r="AP387" s="1055"/>
      <c r="AQ387" s="1055"/>
      <c r="AR387" s="1055"/>
      <c r="AS387" s="1055"/>
      <c r="AT387" s="1055"/>
      <c r="AU387" s="1055"/>
      <c r="AV387" s="1055"/>
      <c r="AW387" s="1055"/>
      <c r="AX387" s="1055"/>
      <c r="AY387" s="1055"/>
      <c r="AZ387" s="1055"/>
      <c r="BA387" s="1055"/>
      <c r="BB387" s="1055"/>
      <c r="BC387" s="1055"/>
      <c r="BD387" s="1055"/>
      <c r="BE387" s="1055"/>
      <c r="BF387" s="1055"/>
      <c r="BG387" s="1056"/>
    </row>
    <row r="388" spans="1:59" ht="15" thickBot="1" x14ac:dyDescent="0.2">
      <c r="A388" s="1050"/>
      <c r="B388" s="1064"/>
      <c r="C388" s="1763" t="str">
        <f>+IF(kapcsnyil="","",kapcsnyil)</f>
        <v/>
      </c>
      <c r="D388" s="1764"/>
      <c r="E388" s="1764"/>
      <c r="F388" s="1764"/>
      <c r="G388" s="1764"/>
      <c r="H388" s="1764"/>
      <c r="I388" s="1764"/>
      <c r="J388" s="1764"/>
      <c r="K388" s="1764"/>
      <c r="L388" s="1764"/>
      <c r="M388" s="1764"/>
      <c r="N388" s="1764"/>
      <c r="O388" s="1764"/>
      <c r="P388" s="1764"/>
      <c r="Q388" s="1764"/>
      <c r="R388" s="1764"/>
      <c r="S388" s="1764"/>
      <c r="T388" s="1765"/>
      <c r="U388" s="1055"/>
      <c r="V388" s="1055"/>
      <c r="W388" s="1055"/>
      <c r="X388" s="1763" t="str">
        <f>+IF(kapcstelnyil="","",kapcstelnyil)</f>
        <v/>
      </c>
      <c r="Y388" s="1764"/>
      <c r="Z388" s="1764"/>
      <c r="AA388" s="1764"/>
      <c r="AB388" s="1764"/>
      <c r="AC388" s="1764"/>
      <c r="AD388" s="1764"/>
      <c r="AE388" s="1764"/>
      <c r="AF388" s="1764"/>
      <c r="AG388" s="1764"/>
      <c r="AH388" s="1764"/>
      <c r="AI388" s="1764"/>
      <c r="AJ388" s="1764"/>
      <c r="AK388" s="1764"/>
      <c r="AL388" s="1765"/>
      <c r="AM388" s="1055"/>
      <c r="AN388" s="1055"/>
      <c r="AO388" s="1763" t="str">
        <f>+IF(kapcsemailnyil="","",kapcsemailnyil)</f>
        <v/>
      </c>
      <c r="AP388" s="1764"/>
      <c r="AQ388" s="1764"/>
      <c r="AR388" s="1764"/>
      <c r="AS388" s="1764"/>
      <c r="AT388" s="1764"/>
      <c r="AU388" s="1764"/>
      <c r="AV388" s="1764"/>
      <c r="AW388" s="1764"/>
      <c r="AX388" s="1764"/>
      <c r="AY388" s="1764"/>
      <c r="AZ388" s="1764"/>
      <c r="BA388" s="1764"/>
      <c r="BB388" s="1764"/>
      <c r="BC388" s="1764"/>
      <c r="BD388" s="1764"/>
      <c r="BE388" s="1764"/>
      <c r="BF388" s="1765"/>
      <c r="BG388" s="1056"/>
    </row>
    <row r="389" spans="1:59" x14ac:dyDescent="0.15">
      <c r="A389" s="1050"/>
      <c r="B389" s="1064"/>
      <c r="C389" s="1055" t="s">
        <v>587</v>
      </c>
      <c r="D389" s="1055"/>
      <c r="E389" s="1055"/>
      <c r="F389" s="1055"/>
      <c r="G389" s="1055"/>
      <c r="H389" s="1055"/>
      <c r="I389" s="1055"/>
      <c r="J389" s="1055"/>
      <c r="K389" s="1055"/>
      <c r="L389" s="1055"/>
      <c r="M389" s="1055"/>
      <c r="N389" s="1055"/>
      <c r="O389" s="1055"/>
      <c r="P389" s="1055"/>
      <c r="Q389" s="1055"/>
      <c r="R389" s="1055"/>
      <c r="S389" s="1055"/>
      <c r="T389" s="1055"/>
      <c r="U389" s="1055"/>
      <c r="V389" s="1055"/>
      <c r="W389" s="1055"/>
      <c r="X389" s="1055" t="s">
        <v>586</v>
      </c>
      <c r="Y389" s="1055"/>
      <c r="Z389" s="1055"/>
      <c r="AA389" s="1055"/>
      <c r="AB389" s="1055"/>
      <c r="AC389" s="1055"/>
      <c r="AD389" s="1055"/>
      <c r="AE389" s="1055"/>
      <c r="AF389" s="1055"/>
      <c r="AG389" s="1055"/>
      <c r="AH389" s="1055"/>
      <c r="AI389" s="1055"/>
      <c r="AJ389" s="1055"/>
      <c r="AK389" s="1055"/>
      <c r="AL389" s="1055"/>
      <c r="AM389" s="1055"/>
      <c r="AN389" s="1055"/>
      <c r="AO389" s="1055" t="s">
        <v>585</v>
      </c>
      <c r="AP389" s="1055"/>
      <c r="AQ389" s="1055"/>
      <c r="AR389" s="1055"/>
      <c r="AS389" s="1055"/>
      <c r="AT389" s="1055"/>
      <c r="AU389" s="1055"/>
      <c r="AV389" s="1055"/>
      <c r="AW389" s="1055"/>
      <c r="AX389" s="1055"/>
      <c r="AY389" s="1055"/>
      <c r="AZ389" s="1055"/>
      <c r="BA389" s="1055"/>
      <c r="BB389" s="1055"/>
      <c r="BC389" s="1055"/>
      <c r="BD389" s="1055"/>
      <c r="BE389" s="1055"/>
      <c r="BF389" s="1055"/>
      <c r="BG389" s="1056"/>
    </row>
    <row r="390" spans="1:59" ht="15" thickBot="1" x14ac:dyDescent="0.2">
      <c r="A390" s="1050"/>
      <c r="B390" s="1064"/>
      <c r="C390" s="1055"/>
      <c r="D390" s="1055"/>
      <c r="E390" s="1055"/>
      <c r="F390" s="1055"/>
      <c r="G390" s="1055"/>
      <c r="H390" s="1055"/>
      <c r="I390" s="1055"/>
      <c r="J390" s="1055"/>
      <c r="K390" s="1055"/>
      <c r="L390" s="1055"/>
      <c r="M390" s="1055"/>
      <c r="N390" s="1055"/>
      <c r="O390" s="1055"/>
      <c r="P390" s="1055"/>
      <c r="Q390" s="1055"/>
      <c r="R390" s="1055"/>
      <c r="S390" s="1055"/>
      <c r="T390" s="1055"/>
      <c r="U390" s="1055"/>
      <c r="V390" s="1055"/>
      <c r="W390" s="1055"/>
      <c r="X390" s="1055"/>
      <c r="Y390" s="1055"/>
      <c r="Z390" s="1055"/>
      <c r="AA390" s="1055"/>
      <c r="AB390" s="1055"/>
      <c r="AC390" s="1055"/>
      <c r="AD390" s="1055"/>
      <c r="AE390" s="1055"/>
      <c r="AF390" s="1055"/>
      <c r="AG390" s="1055"/>
      <c r="AH390" s="1055"/>
      <c r="AI390" s="1055"/>
      <c r="AJ390" s="1055"/>
      <c r="AK390" s="1055"/>
      <c r="AL390" s="1055"/>
      <c r="AM390" s="1055"/>
      <c r="AN390" s="1055"/>
      <c r="AO390" s="1055"/>
      <c r="AP390" s="1055"/>
      <c r="AQ390" s="1055"/>
      <c r="AR390" s="1055"/>
      <c r="AS390" s="1055"/>
      <c r="AT390" s="1055"/>
      <c r="AU390" s="1055"/>
      <c r="AV390" s="1055"/>
      <c r="AW390" s="1055"/>
      <c r="AX390" s="1055"/>
      <c r="AY390" s="1055"/>
      <c r="AZ390" s="1055"/>
      <c r="BA390" s="1055"/>
      <c r="BB390" s="1055"/>
      <c r="BC390" s="1055"/>
      <c r="BD390" s="1055"/>
      <c r="BE390" s="1055"/>
      <c r="BF390" s="1055"/>
      <c r="BG390" s="1056"/>
    </row>
    <row r="391" spans="1:59" ht="15" thickBot="1" x14ac:dyDescent="0.2">
      <c r="A391" s="1050"/>
      <c r="B391" s="1064"/>
      <c r="C391" s="1763" t="str">
        <f>+IF(vállemailnyil="","",vállemailnyil)</f>
        <v/>
      </c>
      <c r="D391" s="1764"/>
      <c r="E391" s="1764"/>
      <c r="F391" s="1764"/>
      <c r="G391" s="1764"/>
      <c r="H391" s="1764"/>
      <c r="I391" s="1764"/>
      <c r="J391" s="1764"/>
      <c r="K391" s="1764"/>
      <c r="L391" s="1764"/>
      <c r="M391" s="1764"/>
      <c r="N391" s="1764"/>
      <c r="O391" s="1764"/>
      <c r="P391" s="1764"/>
      <c r="Q391" s="1764"/>
      <c r="R391" s="1764"/>
      <c r="S391" s="1764"/>
      <c r="T391" s="1765"/>
      <c r="U391" s="1055"/>
      <c r="V391" s="1055"/>
      <c r="W391" s="1055"/>
      <c r="X391" s="1763" t="str">
        <f>+IF(válltelnyil="","",válltelnyil)</f>
        <v/>
      </c>
      <c r="Y391" s="1764"/>
      <c r="Z391" s="1764"/>
      <c r="AA391" s="1764"/>
      <c r="AB391" s="1764"/>
      <c r="AC391" s="1764"/>
      <c r="AD391" s="1764"/>
      <c r="AE391" s="1764"/>
      <c r="AF391" s="1764"/>
      <c r="AG391" s="1764"/>
      <c r="AH391" s="1764"/>
      <c r="AI391" s="1764"/>
      <c r="AJ391" s="1764"/>
      <c r="AK391" s="1764"/>
      <c r="AL391" s="1765"/>
      <c r="AM391" s="1055"/>
      <c r="AN391" s="1055"/>
      <c r="AO391" s="1055"/>
      <c r="AP391" s="1055"/>
      <c r="AQ391" s="1055"/>
      <c r="AR391" s="1055"/>
      <c r="AS391" s="1055"/>
      <c r="AT391" s="1055"/>
      <c r="AU391" s="1055"/>
      <c r="AV391" s="1055"/>
      <c r="AW391" s="1055"/>
      <c r="AX391" s="1055"/>
      <c r="AY391" s="1055"/>
      <c r="AZ391" s="1055"/>
      <c r="BA391" s="1055"/>
      <c r="BB391" s="1055"/>
      <c r="BC391" s="1055"/>
      <c r="BD391" s="1055"/>
      <c r="BE391" s="1055"/>
      <c r="BF391" s="1055"/>
      <c r="BG391" s="1056"/>
    </row>
    <row r="392" spans="1:59" x14ac:dyDescent="0.15">
      <c r="A392" s="1050"/>
      <c r="B392" s="1064"/>
      <c r="C392" s="1055" t="s">
        <v>588</v>
      </c>
      <c r="D392" s="1055"/>
      <c r="E392" s="1055"/>
      <c r="F392" s="1055"/>
      <c r="G392" s="1055"/>
      <c r="H392" s="1055"/>
      <c r="I392" s="1055"/>
      <c r="J392" s="1055"/>
      <c r="K392" s="1055"/>
      <c r="L392" s="1055"/>
      <c r="M392" s="1055"/>
      <c r="N392" s="1055"/>
      <c r="O392" s="1055"/>
      <c r="P392" s="1055"/>
      <c r="Q392" s="1055"/>
      <c r="R392" s="1055"/>
      <c r="S392" s="1055"/>
      <c r="T392" s="1055"/>
      <c r="U392" s="1055"/>
      <c r="V392" s="1055"/>
      <c r="W392" s="1055"/>
      <c r="X392" s="1055" t="s">
        <v>589</v>
      </c>
      <c r="Y392" s="1055"/>
      <c r="Z392" s="1055"/>
      <c r="AA392" s="1055"/>
      <c r="AB392" s="1055"/>
      <c r="AC392" s="1055"/>
      <c r="AD392" s="1055"/>
      <c r="AE392" s="1055"/>
      <c r="AF392" s="1055"/>
      <c r="AG392" s="1055"/>
      <c r="AH392" s="1055"/>
      <c r="AI392" s="1055"/>
      <c r="AJ392" s="1055"/>
      <c r="AK392" s="1055"/>
      <c r="AL392" s="1055"/>
      <c r="AM392" s="1055"/>
      <c r="AN392" s="1055"/>
      <c r="AO392" s="1055"/>
      <c r="AP392" s="1055"/>
      <c r="AQ392" s="1055"/>
      <c r="AR392" s="1055"/>
      <c r="AS392" s="1055"/>
      <c r="AT392" s="1055"/>
      <c r="AU392" s="1055"/>
      <c r="AV392" s="1055"/>
      <c r="AW392" s="1055"/>
      <c r="AX392" s="1055"/>
      <c r="AY392" s="1055"/>
      <c r="AZ392" s="1055"/>
      <c r="BA392" s="1055"/>
      <c r="BB392" s="1055"/>
      <c r="BC392" s="1055"/>
      <c r="BD392" s="1055"/>
      <c r="BE392" s="1055"/>
      <c r="BF392" s="1055"/>
      <c r="BG392" s="1056"/>
    </row>
    <row r="393" spans="1:59" x14ac:dyDescent="0.15">
      <c r="A393" s="1050"/>
      <c r="B393" s="1065"/>
      <c r="C393" s="1066"/>
      <c r="D393" s="1066"/>
      <c r="E393" s="1066"/>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c r="AL393" s="1066"/>
      <c r="AM393" s="1066"/>
      <c r="AN393" s="1066"/>
      <c r="AO393" s="1066"/>
      <c r="AP393" s="1066"/>
      <c r="AQ393" s="1066"/>
      <c r="AR393" s="1066"/>
      <c r="AS393" s="1066"/>
      <c r="AT393" s="1066"/>
      <c r="AU393" s="1066"/>
      <c r="AV393" s="1066"/>
      <c r="AW393" s="1066"/>
      <c r="AX393" s="1066"/>
      <c r="AY393" s="1066"/>
      <c r="AZ393" s="1066"/>
      <c r="BA393" s="1066"/>
      <c r="BB393" s="1066"/>
      <c r="BC393" s="1066"/>
      <c r="BD393" s="1066"/>
      <c r="BE393" s="1066"/>
      <c r="BF393" s="1066"/>
      <c r="BG393" s="1067"/>
    </row>
    <row r="394" spans="1:59" x14ac:dyDescent="0.15">
      <c r="A394" s="1050"/>
      <c r="B394" s="1753" t="s">
        <v>846</v>
      </c>
      <c r="C394" s="1754"/>
      <c r="D394" s="1754"/>
      <c r="E394" s="1754"/>
      <c r="F394" s="1754"/>
      <c r="G394" s="1754"/>
      <c r="H394" s="1754"/>
      <c r="I394" s="1754"/>
      <c r="J394" s="1754"/>
      <c r="K394" s="1754"/>
      <c r="L394" s="1754"/>
      <c r="M394" s="1754"/>
      <c r="N394" s="1754"/>
      <c r="O394" s="1754"/>
      <c r="P394" s="1754"/>
      <c r="Q394" s="1754"/>
      <c r="R394" s="1754"/>
      <c r="S394" s="1754"/>
      <c r="T394" s="1754"/>
      <c r="U394" s="1754"/>
      <c r="V394" s="1754"/>
      <c r="W394" s="1754"/>
      <c r="X394" s="1754"/>
      <c r="Y394" s="1754"/>
      <c r="Z394" s="1754"/>
      <c r="AA394" s="1754"/>
      <c r="AB394" s="1754"/>
      <c r="AC394" s="1754"/>
      <c r="AD394" s="1754"/>
      <c r="AE394" s="1754"/>
      <c r="AF394" s="1754"/>
      <c r="AG394" s="1754"/>
      <c r="AH394" s="1754"/>
      <c r="AI394" s="1754"/>
      <c r="AJ394" s="1754"/>
      <c r="AK394" s="1754"/>
      <c r="AL394" s="1754"/>
      <c r="AM394" s="1754"/>
      <c r="AN394" s="1754"/>
      <c r="AO394" s="1754"/>
      <c r="AP394" s="1754"/>
      <c r="AQ394" s="1754"/>
      <c r="AR394" s="1754"/>
      <c r="AS394" s="1754"/>
      <c r="AT394" s="1754"/>
      <c r="AU394" s="1754"/>
      <c r="AV394" s="1754"/>
      <c r="AW394" s="1754"/>
      <c r="AX394" s="1754"/>
      <c r="AY394" s="1754"/>
      <c r="AZ394" s="1754"/>
      <c r="BA394" s="1754"/>
      <c r="BB394" s="1754"/>
      <c r="BC394" s="1754"/>
      <c r="BD394" s="1754"/>
      <c r="BE394" s="1754"/>
      <c r="BF394" s="1754"/>
      <c r="BG394" s="1755"/>
    </row>
    <row r="395" spans="1:59" x14ac:dyDescent="0.15">
      <c r="A395" s="1050"/>
      <c r="B395" s="1068"/>
      <c r="C395" s="1751"/>
      <c r="D395" s="1751"/>
      <c r="E395" s="1751"/>
      <c r="F395" s="1751"/>
      <c r="G395" s="1751"/>
      <c r="H395" s="1751"/>
      <c r="I395" s="1751"/>
      <c r="J395" s="1751"/>
      <c r="K395" s="1751"/>
      <c r="L395" s="1751"/>
      <c r="M395" s="1751"/>
      <c r="N395" s="1751"/>
      <c r="O395" s="1751"/>
      <c r="P395" s="1751"/>
      <c r="Q395" s="1751"/>
      <c r="R395" s="1751"/>
      <c r="S395" s="1751"/>
      <c r="T395" s="1751"/>
      <c r="U395" s="1751"/>
      <c r="V395" s="1751"/>
      <c r="W395" s="1751"/>
      <c r="X395" s="1751"/>
      <c r="Y395" s="1751"/>
      <c r="Z395" s="1751"/>
      <c r="AA395" s="1751"/>
      <c r="AB395" s="1751"/>
      <c r="AC395" s="1751"/>
      <c r="AD395" s="1751"/>
      <c r="AE395" s="1751"/>
      <c r="AF395" s="1751"/>
      <c r="AG395" s="1751"/>
      <c r="AH395" s="1751"/>
      <c r="AI395" s="1751"/>
      <c r="AJ395" s="1751"/>
      <c r="AK395" s="1751"/>
      <c r="AL395" s="1751"/>
      <c r="AM395" s="1751"/>
      <c r="AN395" s="1751"/>
      <c r="AO395" s="1751"/>
      <c r="AP395" s="1751"/>
      <c r="AQ395" s="1751"/>
      <c r="AR395" s="1751"/>
      <c r="AS395" s="1751"/>
      <c r="AT395" s="1751"/>
      <c r="AU395" s="1751"/>
      <c r="AV395" s="1751"/>
      <c r="AW395" s="1751"/>
      <c r="AX395" s="1751"/>
      <c r="AY395" s="1751"/>
      <c r="AZ395" s="1751"/>
      <c r="BA395" s="1751"/>
      <c r="BB395" s="1751"/>
      <c r="BC395" s="1751"/>
      <c r="BD395" s="1751"/>
      <c r="BE395" s="1751"/>
      <c r="BF395" s="1751"/>
      <c r="BG395" s="1069"/>
    </row>
    <row r="396" spans="1:59" ht="15" thickBot="1" x14ac:dyDescent="0.2">
      <c r="A396" s="1050"/>
      <c r="B396" s="1064"/>
      <c r="C396" s="1761" t="s">
        <v>914</v>
      </c>
      <c r="D396" s="1761"/>
      <c r="E396" s="1761"/>
      <c r="F396" s="1761"/>
      <c r="G396" s="1761"/>
      <c r="H396" s="1761"/>
      <c r="I396" s="1761"/>
      <c r="J396" s="1761"/>
      <c r="K396" s="1761"/>
      <c r="L396" s="1761"/>
      <c r="M396" s="1761"/>
      <c r="N396" s="1761"/>
      <c r="O396" s="1761"/>
      <c r="P396" s="1761"/>
      <c r="Q396" s="1761"/>
      <c r="R396" s="1761"/>
      <c r="S396" s="1761"/>
      <c r="T396" s="1761"/>
      <c r="U396" s="1761"/>
      <c r="V396" s="1761"/>
      <c r="W396" s="1761"/>
      <c r="X396" s="1761"/>
      <c r="Y396" s="1761"/>
      <c r="Z396" s="1761"/>
      <c r="AA396" s="1761"/>
      <c r="AB396" s="1761"/>
      <c r="AC396" s="1761"/>
      <c r="AD396" s="1761"/>
      <c r="AE396" s="1761"/>
      <c r="AF396" s="1761"/>
      <c r="AG396" s="1761"/>
      <c r="AH396" s="1761"/>
      <c r="AI396" s="1761"/>
      <c r="AJ396" s="1761"/>
      <c r="AK396" s="1761"/>
      <c r="AL396" s="1761"/>
      <c r="AM396" s="1761"/>
      <c r="AN396" s="1761"/>
      <c r="AO396" s="1761"/>
      <c r="AP396" s="1761"/>
      <c r="AQ396" s="1761"/>
      <c r="AR396" s="1761"/>
      <c r="AS396" s="1761"/>
      <c r="AT396" s="1761"/>
      <c r="AU396" s="1761"/>
      <c r="AV396" s="1761"/>
      <c r="AW396" s="1761"/>
      <c r="AX396" s="1761"/>
      <c r="AY396" s="1761"/>
      <c r="AZ396" s="1761"/>
      <c r="BA396" s="1761"/>
      <c r="BB396" s="1761"/>
      <c r="BC396" s="1761"/>
      <c r="BD396" s="1761"/>
      <c r="BE396" s="1761"/>
      <c r="BF396" s="1761"/>
      <c r="BG396" s="1056"/>
    </row>
    <row r="397" spans="1:59" ht="15" thickBot="1" x14ac:dyDescent="0.2">
      <c r="A397" s="1050"/>
      <c r="B397" s="1064"/>
      <c r="C397" s="1748" t="str">
        <f>+Nyilatkozatok!DK113</f>
        <v>KKV-nak nyújtott beruházási támogatás</v>
      </c>
      <c r="D397" s="1749"/>
      <c r="E397" s="1749"/>
      <c r="F397" s="1749"/>
      <c r="G397" s="1749"/>
      <c r="H397" s="1749"/>
      <c r="I397" s="1749"/>
      <c r="J397" s="1749"/>
      <c r="K397" s="1749"/>
      <c r="L397" s="1749"/>
      <c r="M397" s="1749"/>
      <c r="N397" s="1749"/>
      <c r="O397" s="1749"/>
      <c r="P397" s="1749"/>
      <c r="Q397" s="1749"/>
      <c r="R397" s="1749"/>
      <c r="S397" s="1749"/>
      <c r="T397" s="1749"/>
      <c r="U397" s="1749"/>
      <c r="V397" s="1749"/>
      <c r="W397" s="1749"/>
      <c r="X397" s="1749"/>
      <c r="Y397" s="1749"/>
      <c r="Z397" s="1749"/>
      <c r="AA397" s="1749"/>
      <c r="AB397" s="1749"/>
      <c r="AC397" s="1749"/>
      <c r="AD397" s="1749"/>
      <c r="AE397" s="1749"/>
      <c r="AF397" s="1749"/>
      <c r="AG397" s="1749"/>
      <c r="AH397" s="1750"/>
      <c r="AI397" s="1070"/>
      <c r="AJ397" s="1070"/>
      <c r="AK397" s="1070"/>
      <c r="AL397" s="1070"/>
      <c r="AM397" s="1070"/>
      <c r="AN397" s="1070"/>
      <c r="AO397" s="1070"/>
      <c r="AP397" s="1070"/>
      <c r="AQ397" s="1070"/>
      <c r="AR397" s="1070"/>
      <c r="AS397" s="1070"/>
      <c r="AT397" s="1070"/>
      <c r="AU397" s="1070"/>
      <c r="AV397" s="1070"/>
      <c r="AW397" s="1070"/>
      <c r="AX397" s="1070"/>
      <c r="AY397" s="1070"/>
      <c r="AZ397" s="1070"/>
      <c r="BA397" s="1070"/>
      <c r="BB397" s="1070"/>
      <c r="BC397" s="1070"/>
      <c r="BD397" s="1070"/>
      <c r="BE397" s="1070"/>
      <c r="BF397" s="1070"/>
      <c r="BG397" s="1056"/>
    </row>
    <row r="398" spans="1:59" x14ac:dyDescent="0.15">
      <c r="A398" s="1050"/>
      <c r="B398" s="1064"/>
      <c r="C398" s="1761" t="s">
        <v>856</v>
      </c>
      <c r="D398" s="1761"/>
      <c r="E398" s="1761"/>
      <c r="F398" s="1761"/>
      <c r="G398" s="1761"/>
      <c r="H398" s="1761"/>
      <c r="I398" s="1761"/>
      <c r="J398" s="1761"/>
      <c r="K398" s="1761"/>
      <c r="L398" s="1761"/>
      <c r="M398" s="1761"/>
      <c r="N398" s="1761"/>
      <c r="O398" s="1761"/>
      <c r="P398" s="1761"/>
      <c r="Q398" s="1761"/>
      <c r="R398" s="1761"/>
      <c r="S398" s="1761"/>
      <c r="T398" s="1761"/>
      <c r="U398" s="1761"/>
      <c r="V398" s="1761"/>
      <c r="W398" s="1761"/>
      <c r="X398" s="1761"/>
      <c r="Y398" s="1761"/>
      <c r="Z398" s="1761"/>
      <c r="AA398" s="1761"/>
      <c r="AB398" s="1761"/>
      <c r="AC398" s="1761"/>
      <c r="AD398" s="1761"/>
      <c r="AE398" s="1761"/>
      <c r="AF398" s="1761"/>
      <c r="AG398" s="1761"/>
      <c r="AH398" s="1761"/>
      <c r="AI398" s="1761"/>
      <c r="AJ398" s="1761"/>
      <c r="AK398" s="1761"/>
      <c r="AL398" s="1761"/>
      <c r="AM398" s="1761"/>
      <c r="AN398" s="1761"/>
      <c r="AO398" s="1761"/>
      <c r="AP398" s="1761"/>
      <c r="AQ398" s="1761"/>
      <c r="AR398" s="1761"/>
      <c r="AS398" s="1761"/>
      <c r="AT398" s="1761"/>
      <c r="AU398" s="1761"/>
      <c r="AV398" s="1761"/>
      <c r="AW398" s="1761"/>
      <c r="AX398" s="1761"/>
      <c r="AY398" s="1761"/>
      <c r="AZ398" s="1761"/>
      <c r="BA398" s="1761"/>
      <c r="BB398" s="1761"/>
      <c r="BC398" s="1761"/>
      <c r="BD398" s="1761"/>
      <c r="BE398" s="1761"/>
      <c r="BF398" s="1761"/>
      <c r="BG398" s="1056"/>
    </row>
    <row r="399" spans="1:59" ht="27" customHeight="1" x14ac:dyDescent="0.15">
      <c r="A399" s="1050"/>
      <c r="B399" s="1064"/>
      <c r="C399" s="1759" t="str">
        <f>+Nyilatkozatok!DK114</f>
        <v xml:space="preserve">– a finanszírozást nem használom fel visszaigényelhető általános forgalmi adó (ÁFA), vám, illeték finanszírozására, kivéve, ha ÁFA visszaigénylésére nem vagyok jogosult; </v>
      </c>
      <c r="D399" s="1759"/>
      <c r="E399" s="1759"/>
      <c r="F399" s="1759"/>
      <c r="G399" s="1759"/>
      <c r="H399" s="1759"/>
      <c r="I399" s="1759"/>
      <c r="J399" s="1759"/>
      <c r="K399" s="1759"/>
      <c r="L399" s="1759"/>
      <c r="M399" s="1759"/>
      <c r="N399" s="1759"/>
      <c r="O399" s="1759"/>
      <c r="P399" s="1759"/>
      <c r="Q399" s="1759"/>
      <c r="R399" s="1759"/>
      <c r="S399" s="1759"/>
      <c r="T399" s="1759"/>
      <c r="U399" s="1759"/>
      <c r="V399" s="1759"/>
      <c r="W399" s="1759"/>
      <c r="X399" s="1759"/>
      <c r="Y399" s="1759"/>
      <c r="Z399" s="1759"/>
      <c r="AA399" s="1759"/>
      <c r="AB399" s="1759"/>
      <c r="AC399" s="1759"/>
      <c r="AD399" s="1759"/>
      <c r="AE399" s="1759"/>
      <c r="AF399" s="1759"/>
      <c r="AG399" s="1759"/>
      <c r="AH399" s="1759"/>
      <c r="AI399" s="1759"/>
      <c r="AJ399" s="1759"/>
      <c r="AK399" s="1759"/>
      <c r="AL399" s="1759"/>
      <c r="AM399" s="1759"/>
      <c r="AN399" s="1759"/>
      <c r="AO399" s="1759"/>
      <c r="AP399" s="1759"/>
      <c r="AQ399" s="1759"/>
      <c r="AR399" s="1759"/>
      <c r="AS399" s="1759"/>
      <c r="AT399" s="1759"/>
      <c r="AU399" s="1759"/>
      <c r="AV399" s="1759"/>
      <c r="AW399" s="1759"/>
      <c r="AX399" s="1759"/>
      <c r="AY399" s="1759"/>
      <c r="AZ399" s="1759"/>
      <c r="BA399" s="1759"/>
      <c r="BB399" s="1759"/>
      <c r="BC399" s="1759"/>
      <c r="BD399" s="1759"/>
      <c r="BE399" s="1759"/>
      <c r="BF399" s="1759"/>
      <c r="BG399" s="1056"/>
    </row>
    <row r="400" spans="1:59" x14ac:dyDescent="0.15">
      <c r="A400" s="1050"/>
      <c r="B400" s="1064"/>
      <c r="C400" s="1759" t="str">
        <f>+Nyilatkozatok!DK115</f>
        <v xml:space="preserve">– a finanszírozást nem használom fel más hitel, lízing kiváltására, üzletrész, részvény, illetve más társasági részesedés vásárlására; </v>
      </c>
      <c r="D400" s="1759"/>
      <c r="E400" s="1759"/>
      <c r="F400" s="1759"/>
      <c r="G400" s="1759"/>
      <c r="H400" s="1759"/>
      <c r="I400" s="1759"/>
      <c r="J400" s="1759"/>
      <c r="K400" s="1759"/>
      <c r="L400" s="1759"/>
      <c r="M400" s="1759"/>
      <c r="N400" s="1759"/>
      <c r="O400" s="1759"/>
      <c r="P400" s="1759"/>
      <c r="Q400" s="1759"/>
      <c r="R400" s="1759"/>
      <c r="S400" s="1759"/>
      <c r="T400" s="1759"/>
      <c r="U400" s="1759"/>
      <c r="V400" s="1759"/>
      <c r="W400" s="1759"/>
      <c r="X400" s="1759"/>
      <c r="Y400" s="1759"/>
      <c r="Z400" s="1759"/>
      <c r="AA400" s="1759"/>
      <c r="AB400" s="1759"/>
      <c r="AC400" s="1759"/>
      <c r="AD400" s="1759"/>
      <c r="AE400" s="1759"/>
      <c r="AF400" s="1759"/>
      <c r="AG400" s="1759"/>
      <c r="AH400" s="1759"/>
      <c r="AI400" s="1759"/>
      <c r="AJ400" s="1759"/>
      <c r="AK400" s="1759"/>
      <c r="AL400" s="1759"/>
      <c r="AM400" s="1759"/>
      <c r="AN400" s="1759"/>
      <c r="AO400" s="1759"/>
      <c r="AP400" s="1759"/>
      <c r="AQ400" s="1759"/>
      <c r="AR400" s="1759"/>
      <c r="AS400" s="1759"/>
      <c r="AT400" s="1759"/>
      <c r="AU400" s="1759"/>
      <c r="AV400" s="1759"/>
      <c r="AW400" s="1759"/>
      <c r="AX400" s="1759"/>
      <c r="AY400" s="1759"/>
      <c r="AZ400" s="1759"/>
      <c r="BA400" s="1759"/>
      <c r="BB400" s="1759"/>
      <c r="BC400" s="1759"/>
      <c r="BD400" s="1759"/>
      <c r="BE400" s="1759"/>
      <c r="BF400" s="1759"/>
      <c r="BG400" s="1056"/>
    </row>
    <row r="401" spans="1:59" ht="27" customHeight="1" x14ac:dyDescent="0.15">
      <c r="A401" s="1050"/>
      <c r="B401" s="1064"/>
      <c r="C401" s="1759" t="str">
        <f>+Nyilatkozatok!DK116</f>
        <v xml:space="preserve">–a finanszírozást nem használom fel a finanszírozásról szóló döntés napján fizikailag már lezárt (befejezett) vagy teljes mértékben (fizikailag és pénzügyileg is) végrehajtott beruházás finanszírozására; </v>
      </c>
      <c r="D401" s="1759"/>
      <c r="E401" s="1759"/>
      <c r="F401" s="1759"/>
      <c r="G401" s="1759"/>
      <c r="H401" s="1759"/>
      <c r="I401" s="1759"/>
      <c r="J401" s="1759"/>
      <c r="K401" s="1759"/>
      <c r="L401" s="1759"/>
      <c r="M401" s="1759"/>
      <c r="N401" s="1759"/>
      <c r="O401" s="1759"/>
      <c r="P401" s="1759"/>
      <c r="Q401" s="1759"/>
      <c r="R401" s="1759"/>
      <c r="S401" s="1759"/>
      <c r="T401" s="1759"/>
      <c r="U401" s="1759"/>
      <c r="V401" s="1759"/>
      <c r="W401" s="1759"/>
      <c r="X401" s="1759"/>
      <c r="Y401" s="1759"/>
      <c r="Z401" s="1759"/>
      <c r="AA401" s="1759"/>
      <c r="AB401" s="1759"/>
      <c r="AC401" s="1759"/>
      <c r="AD401" s="1759"/>
      <c r="AE401" s="1759"/>
      <c r="AF401" s="1759"/>
      <c r="AG401" s="1759"/>
      <c r="AH401" s="1759"/>
      <c r="AI401" s="1759"/>
      <c r="AJ401" s="1759"/>
      <c r="AK401" s="1759"/>
      <c r="AL401" s="1759"/>
      <c r="AM401" s="1759"/>
      <c r="AN401" s="1759"/>
      <c r="AO401" s="1759"/>
      <c r="AP401" s="1759"/>
      <c r="AQ401" s="1759"/>
      <c r="AR401" s="1759"/>
      <c r="AS401" s="1759"/>
      <c r="AT401" s="1759"/>
      <c r="AU401" s="1759"/>
      <c r="AV401" s="1759"/>
      <c r="AW401" s="1759"/>
      <c r="AX401" s="1759"/>
      <c r="AY401" s="1759"/>
      <c r="AZ401" s="1759"/>
      <c r="BA401" s="1759"/>
      <c r="BB401" s="1759"/>
      <c r="BC401" s="1759"/>
      <c r="BD401" s="1759"/>
      <c r="BE401" s="1759"/>
      <c r="BF401" s="1759"/>
      <c r="BG401" s="1056"/>
    </row>
    <row r="402" spans="1:59" ht="42" customHeight="1" x14ac:dyDescent="0.15">
      <c r="A402" s="1050"/>
      <c r="B402" s="1064"/>
      <c r="C402" s="1759" t="str">
        <f>+Nyilatkozatok!DK117</f>
        <v>–a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v>
      </c>
      <c r="D402" s="1759"/>
      <c r="E402" s="1759"/>
      <c r="F402" s="1759"/>
      <c r="G402" s="1759"/>
      <c r="H402" s="1759"/>
      <c r="I402" s="1759"/>
      <c r="J402" s="1759"/>
      <c r="K402" s="1759"/>
      <c r="L402" s="1759"/>
      <c r="M402" s="1759"/>
      <c r="N402" s="1759"/>
      <c r="O402" s="1759"/>
      <c r="P402" s="1759"/>
      <c r="Q402" s="1759"/>
      <c r="R402" s="1759"/>
      <c r="S402" s="1759"/>
      <c r="T402" s="1759"/>
      <c r="U402" s="1759"/>
      <c r="V402" s="1759"/>
      <c r="W402" s="1759"/>
      <c r="X402" s="1759"/>
      <c r="Y402" s="1759"/>
      <c r="Z402" s="1759"/>
      <c r="AA402" s="1759"/>
      <c r="AB402" s="1759"/>
      <c r="AC402" s="1759"/>
      <c r="AD402" s="1759"/>
      <c r="AE402" s="1759"/>
      <c r="AF402" s="1759"/>
      <c r="AG402" s="1759"/>
      <c r="AH402" s="1759"/>
      <c r="AI402" s="1759"/>
      <c r="AJ402" s="1759"/>
      <c r="AK402" s="1759"/>
      <c r="AL402" s="1759"/>
      <c r="AM402" s="1759"/>
      <c r="AN402" s="1759"/>
      <c r="AO402" s="1759"/>
      <c r="AP402" s="1759"/>
      <c r="AQ402" s="1759"/>
      <c r="AR402" s="1759"/>
      <c r="AS402" s="1759"/>
      <c r="AT402" s="1759"/>
      <c r="AU402" s="1759"/>
      <c r="AV402" s="1759"/>
      <c r="AW402" s="1759"/>
      <c r="AX402" s="1759"/>
      <c r="AY402" s="1759"/>
      <c r="AZ402" s="1759"/>
      <c r="BA402" s="1759"/>
      <c r="BB402" s="1759"/>
      <c r="BC402" s="1759"/>
      <c r="BD402" s="1759"/>
      <c r="BE402" s="1759"/>
      <c r="BF402" s="1759"/>
      <c r="BG402" s="1056"/>
    </row>
    <row r="403" spans="1:59" x14ac:dyDescent="0.15">
      <c r="A403" s="1050"/>
      <c r="B403" s="1064"/>
      <c r="C403" s="1759" t="str">
        <f>+Nyilatkozatok!DK118</f>
        <v>–a finanszírozást nem használom fel olyan feltétellel, amely az európai uniós jog megsértését eredményezi,</v>
      </c>
      <c r="D403" s="1759"/>
      <c r="E403" s="1759"/>
      <c r="F403" s="1759"/>
      <c r="G403" s="1759"/>
      <c r="H403" s="1759"/>
      <c r="I403" s="1759"/>
      <c r="J403" s="1759"/>
      <c r="K403" s="1759"/>
      <c r="L403" s="1759"/>
      <c r="M403" s="1759"/>
      <c r="N403" s="1759"/>
      <c r="O403" s="1759"/>
      <c r="P403" s="1759"/>
      <c r="Q403" s="1759"/>
      <c r="R403" s="1759"/>
      <c r="S403" s="1759"/>
      <c r="T403" s="1759"/>
      <c r="U403" s="1759"/>
      <c r="V403" s="1759"/>
      <c r="W403" s="1759"/>
      <c r="X403" s="1759"/>
      <c r="Y403" s="1759"/>
      <c r="Z403" s="1759"/>
      <c r="AA403" s="1759"/>
      <c r="AB403" s="1759"/>
      <c r="AC403" s="1759"/>
      <c r="AD403" s="1759"/>
      <c r="AE403" s="1759"/>
      <c r="AF403" s="1759"/>
      <c r="AG403" s="1759"/>
      <c r="AH403" s="1759"/>
      <c r="AI403" s="1759"/>
      <c r="AJ403" s="1759"/>
      <c r="AK403" s="1759"/>
      <c r="AL403" s="1759"/>
      <c r="AM403" s="1759"/>
      <c r="AN403" s="1759"/>
      <c r="AO403" s="1759"/>
      <c r="AP403" s="1759"/>
      <c r="AQ403" s="1759"/>
      <c r="AR403" s="1759"/>
      <c r="AS403" s="1759"/>
      <c r="AT403" s="1759"/>
      <c r="AU403" s="1759"/>
      <c r="AV403" s="1759"/>
      <c r="AW403" s="1759"/>
      <c r="AX403" s="1759"/>
      <c r="AY403" s="1759"/>
      <c r="AZ403" s="1759"/>
      <c r="BA403" s="1759"/>
      <c r="BB403" s="1759"/>
      <c r="BC403" s="1759"/>
      <c r="BD403" s="1759"/>
      <c r="BE403" s="1759"/>
      <c r="BF403" s="1759"/>
      <c r="BG403" s="1056"/>
    </row>
    <row r="404" spans="1:59" x14ac:dyDescent="0.15">
      <c r="A404" s="1050"/>
      <c r="B404" s="1064"/>
      <c r="C404" s="1759" t="str">
        <f>+Nyilatkozatok!DK119</f>
        <v xml:space="preserve">–  a finanszírozást nem használom fel exporttal kapcsolatos tevékenység finanszírozására </v>
      </c>
      <c r="D404" s="1759"/>
      <c r="E404" s="1759"/>
      <c r="F404" s="1759"/>
      <c r="G404" s="1759"/>
      <c r="H404" s="1759"/>
      <c r="I404" s="1759"/>
      <c r="J404" s="1759"/>
      <c r="K404" s="1759"/>
      <c r="L404" s="1759"/>
      <c r="M404" s="1759"/>
      <c r="N404" s="1759"/>
      <c r="O404" s="1759"/>
      <c r="P404" s="1759"/>
      <c r="Q404" s="1759"/>
      <c r="R404" s="1759"/>
      <c r="S404" s="1759"/>
      <c r="T404" s="1759"/>
      <c r="U404" s="1759"/>
      <c r="V404" s="1759"/>
      <c r="W404" s="1759"/>
      <c r="X404" s="1759"/>
      <c r="Y404" s="1759"/>
      <c r="Z404" s="1759"/>
      <c r="AA404" s="1759"/>
      <c r="AB404" s="1759"/>
      <c r="AC404" s="1759"/>
      <c r="AD404" s="1759"/>
      <c r="AE404" s="1759"/>
      <c r="AF404" s="1759"/>
      <c r="AG404" s="1759"/>
      <c r="AH404" s="1759"/>
      <c r="AI404" s="1759"/>
      <c r="AJ404" s="1759"/>
      <c r="AK404" s="1759"/>
      <c r="AL404" s="1759"/>
      <c r="AM404" s="1759"/>
      <c r="AN404" s="1759"/>
      <c r="AO404" s="1759"/>
      <c r="AP404" s="1759"/>
      <c r="AQ404" s="1759"/>
      <c r="AR404" s="1759"/>
      <c r="AS404" s="1759"/>
      <c r="AT404" s="1759"/>
      <c r="AU404" s="1759"/>
      <c r="AV404" s="1759"/>
      <c r="AW404" s="1759"/>
      <c r="AX404" s="1759"/>
      <c r="AY404" s="1759"/>
      <c r="AZ404" s="1759"/>
      <c r="BA404" s="1759"/>
      <c r="BB404" s="1759"/>
      <c r="BC404" s="1759"/>
      <c r="BD404" s="1759"/>
      <c r="BE404" s="1759"/>
      <c r="BF404" s="1759"/>
      <c r="BG404" s="1056"/>
    </row>
    <row r="405" spans="1:59" x14ac:dyDescent="0.15">
      <c r="A405" s="1050"/>
      <c r="B405" s="1064"/>
      <c r="C405" s="1759" t="str">
        <f>+Nyilatkozatok!DK120</f>
        <v>– a finanszírozást nem használom fel az 1379/2013/EU rendelet  szerinti halászati és akvakultúra ágazattal kapcsolatos tevékenység finanszírozására,</v>
      </c>
      <c r="D405" s="1759"/>
      <c r="E405" s="1759"/>
      <c r="F405" s="1759"/>
      <c r="G405" s="1759"/>
      <c r="H405" s="1759"/>
      <c r="I405" s="1759"/>
      <c r="J405" s="1759"/>
      <c r="K405" s="1759"/>
      <c r="L405" s="1759"/>
      <c r="M405" s="1759"/>
      <c r="N405" s="1759"/>
      <c r="O405" s="1759"/>
      <c r="P405" s="1759"/>
      <c r="Q405" s="1759"/>
      <c r="R405" s="1759"/>
      <c r="S405" s="1759"/>
      <c r="T405" s="1759"/>
      <c r="U405" s="1759"/>
      <c r="V405" s="1759"/>
      <c r="W405" s="1759"/>
      <c r="X405" s="1759"/>
      <c r="Y405" s="1759"/>
      <c r="Z405" s="1759"/>
      <c r="AA405" s="1759"/>
      <c r="AB405" s="1759"/>
      <c r="AC405" s="1759"/>
      <c r="AD405" s="1759"/>
      <c r="AE405" s="1759"/>
      <c r="AF405" s="1759"/>
      <c r="AG405" s="1759"/>
      <c r="AH405" s="1759"/>
      <c r="AI405" s="1759"/>
      <c r="AJ405" s="1759"/>
      <c r="AK405" s="1759"/>
      <c r="AL405" s="1759"/>
      <c r="AM405" s="1759"/>
      <c r="AN405" s="1759"/>
      <c r="AO405" s="1759"/>
      <c r="AP405" s="1759"/>
      <c r="AQ405" s="1759"/>
      <c r="AR405" s="1759"/>
      <c r="AS405" s="1759"/>
      <c r="AT405" s="1759"/>
      <c r="AU405" s="1759"/>
      <c r="AV405" s="1759"/>
      <c r="AW405" s="1759"/>
      <c r="AX405" s="1759"/>
      <c r="AY405" s="1759"/>
      <c r="AZ405" s="1759"/>
      <c r="BA405" s="1759"/>
      <c r="BB405" s="1759"/>
      <c r="BC405" s="1759"/>
      <c r="BD405" s="1759"/>
      <c r="BE405" s="1759"/>
      <c r="BF405" s="1759"/>
      <c r="BG405" s="1056"/>
    </row>
    <row r="406" spans="1:59" x14ac:dyDescent="0.15">
      <c r="A406" s="1050"/>
      <c r="B406" s="1064"/>
      <c r="C406" s="1759" t="str">
        <f>+Nyilatkozatok!DK121</f>
        <v>–  a finanszírozást nem használom fel mezőgazdasági termékek elsődleges termelésével kapcsolatos tevékenység finanszírozására,</v>
      </c>
      <c r="D406" s="1759"/>
      <c r="E406" s="1759"/>
      <c r="F406" s="1759"/>
      <c r="G406" s="1759"/>
      <c r="H406" s="1759"/>
      <c r="I406" s="1759"/>
      <c r="J406" s="1759"/>
      <c r="K406" s="1759"/>
      <c r="L406" s="1759"/>
      <c r="M406" s="1759"/>
      <c r="N406" s="1759"/>
      <c r="O406" s="1759"/>
      <c r="P406" s="1759"/>
      <c r="Q406" s="1759"/>
      <c r="R406" s="1759"/>
      <c r="S406" s="1759"/>
      <c r="T406" s="1759"/>
      <c r="U406" s="1759"/>
      <c r="V406" s="1759"/>
      <c r="W406" s="1759"/>
      <c r="X406" s="1759"/>
      <c r="Y406" s="1759"/>
      <c r="Z406" s="1759"/>
      <c r="AA406" s="1759"/>
      <c r="AB406" s="1759"/>
      <c r="AC406" s="1759"/>
      <c r="AD406" s="1759"/>
      <c r="AE406" s="1759"/>
      <c r="AF406" s="1759"/>
      <c r="AG406" s="1759"/>
      <c r="AH406" s="1759"/>
      <c r="AI406" s="1759"/>
      <c r="AJ406" s="1759"/>
      <c r="AK406" s="1759"/>
      <c r="AL406" s="1759"/>
      <c r="AM406" s="1759"/>
      <c r="AN406" s="1759"/>
      <c r="AO406" s="1759"/>
      <c r="AP406" s="1759"/>
      <c r="AQ406" s="1759"/>
      <c r="AR406" s="1759"/>
      <c r="AS406" s="1759"/>
      <c r="AT406" s="1759"/>
      <c r="AU406" s="1759"/>
      <c r="AV406" s="1759"/>
      <c r="AW406" s="1759"/>
      <c r="AX406" s="1759"/>
      <c r="AY406" s="1759"/>
      <c r="AZ406" s="1759"/>
      <c r="BA406" s="1759"/>
      <c r="BB406" s="1759"/>
      <c r="BC406" s="1759"/>
      <c r="BD406" s="1759"/>
      <c r="BE406" s="1759"/>
      <c r="BF406" s="1759"/>
      <c r="BG406" s="1056"/>
    </row>
    <row r="407" spans="1:59" ht="26.25" customHeight="1" x14ac:dyDescent="0.15">
      <c r="A407" s="1050"/>
      <c r="B407" s="1064"/>
      <c r="C407" s="1759" t="str">
        <f>+Nyilatkozatok!DK122</f>
        <v>–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v>
      </c>
      <c r="D407" s="1759"/>
      <c r="E407" s="1759"/>
      <c r="F407" s="1759"/>
      <c r="G407" s="1759"/>
      <c r="H407" s="1759"/>
      <c r="I407" s="1759"/>
      <c r="J407" s="1759"/>
      <c r="K407" s="1759"/>
      <c r="L407" s="1759"/>
      <c r="M407" s="1759"/>
      <c r="N407" s="1759"/>
      <c r="O407" s="1759"/>
      <c r="P407" s="1759"/>
      <c r="Q407" s="1759"/>
      <c r="R407" s="1759"/>
      <c r="S407" s="1759"/>
      <c r="T407" s="1759"/>
      <c r="U407" s="1759"/>
      <c r="V407" s="1759"/>
      <c r="W407" s="1759"/>
      <c r="X407" s="1759"/>
      <c r="Y407" s="1759"/>
      <c r="Z407" s="1759"/>
      <c r="AA407" s="1759"/>
      <c r="AB407" s="1759"/>
      <c r="AC407" s="1759"/>
      <c r="AD407" s="1759"/>
      <c r="AE407" s="1759"/>
      <c r="AF407" s="1759"/>
      <c r="AG407" s="1759"/>
      <c r="AH407" s="1759"/>
      <c r="AI407" s="1759"/>
      <c r="AJ407" s="1759"/>
      <c r="AK407" s="1759"/>
      <c r="AL407" s="1759"/>
      <c r="AM407" s="1759"/>
      <c r="AN407" s="1759"/>
      <c r="AO407" s="1759"/>
      <c r="AP407" s="1759"/>
      <c r="AQ407" s="1759"/>
      <c r="AR407" s="1759"/>
      <c r="AS407" s="1759"/>
      <c r="AT407" s="1759"/>
      <c r="AU407" s="1759"/>
      <c r="AV407" s="1759"/>
      <c r="AW407" s="1759"/>
      <c r="AX407" s="1759"/>
      <c r="AY407" s="1759"/>
      <c r="AZ407" s="1759"/>
      <c r="BA407" s="1759"/>
      <c r="BB407" s="1759"/>
      <c r="BC407" s="1759"/>
      <c r="BD407" s="1759"/>
      <c r="BE407" s="1759"/>
      <c r="BF407" s="1759"/>
      <c r="BG407" s="1056"/>
    </row>
    <row r="408" spans="1:59" x14ac:dyDescent="0.15">
      <c r="A408" s="1050"/>
      <c r="B408" s="1064"/>
      <c r="C408" s="1759" t="str">
        <f>+Nyilatkozatok!DK123</f>
        <v>Továbbá kijelentem, hogy:</v>
      </c>
      <c r="D408" s="1759"/>
      <c r="E408" s="1759"/>
      <c r="F408" s="1759"/>
      <c r="G408" s="1759"/>
      <c r="H408" s="1759"/>
      <c r="I408" s="1759"/>
      <c r="J408" s="1759"/>
      <c r="K408" s="1759"/>
      <c r="L408" s="1759"/>
      <c r="M408" s="1759"/>
      <c r="N408" s="1759"/>
      <c r="O408" s="1759"/>
      <c r="P408" s="1759"/>
      <c r="Q408" s="1759"/>
      <c r="R408" s="1759"/>
      <c r="S408" s="1759"/>
      <c r="T408" s="1759"/>
      <c r="U408" s="1759"/>
      <c r="V408" s="1759"/>
      <c r="W408" s="1759"/>
      <c r="X408" s="1759"/>
      <c r="Y408" s="1759"/>
      <c r="Z408" s="1759"/>
      <c r="AA408" s="1759"/>
      <c r="AB408" s="1759"/>
      <c r="AC408" s="1759"/>
      <c r="AD408" s="1759"/>
      <c r="AE408" s="1759"/>
      <c r="AF408" s="1759"/>
      <c r="AG408" s="1759"/>
      <c r="AH408" s="1759"/>
      <c r="AI408" s="1759"/>
      <c r="AJ408" s="1759"/>
      <c r="AK408" s="1759"/>
      <c r="AL408" s="1759"/>
      <c r="AM408" s="1759"/>
      <c r="AN408" s="1759"/>
      <c r="AO408" s="1759"/>
      <c r="AP408" s="1759"/>
      <c r="AQ408" s="1759"/>
      <c r="AR408" s="1759"/>
      <c r="AS408" s="1759"/>
      <c r="AT408" s="1759"/>
      <c r="AU408" s="1759"/>
      <c r="AV408" s="1759"/>
      <c r="AW408" s="1759"/>
      <c r="AX408" s="1759"/>
      <c r="AY408" s="1759"/>
      <c r="AZ408" s="1759"/>
      <c r="BA408" s="1759"/>
      <c r="BB408" s="1759"/>
      <c r="BC408" s="1759"/>
      <c r="BD408" s="1759"/>
      <c r="BE408" s="1759"/>
      <c r="BF408" s="1759"/>
      <c r="BG408" s="1056"/>
    </row>
    <row r="409" spans="1:59" ht="27" customHeight="1" x14ac:dyDescent="0.15">
      <c r="A409" s="1050"/>
      <c r="B409" s="1064"/>
      <c r="C409" s="1759" t="str">
        <f>+Nyilatkozatok!DK124</f>
        <v>– a tervezett beruházás olyan induló beruházásnak minősül, amelyet a 37/2011. (III. 22.) Korm. rendelet (a továbbiakban: Atr.) 25. § (1) bekezdés a)-d) pontja szerinti régióban kis- és középvállalkozás valósít meg.
Induló beruházás az a tárgyi eszközök vagy immateriális javak beszerzésére irányuló beruházás, amely új létesítmény létrehozatalát, meglévő létesítmény kapacitásának bővítését, létesítmény termékkínálatának a létesítményben addig nem gyártott termékekkel történő bővítését vagy egy meglévő létesítmény teljes termelési folyamatának alapvető megváltoztatását eredményezi, valamint a részesedésszerzés kivételével olyan létesítmény eszközeinek az eladótól független harmadik fél beruházó általi felvásárlása, amely létesítmény bezárásra került vagy bezárásra került volna.</v>
      </c>
      <c r="D409" s="1759"/>
      <c r="E409" s="1759"/>
      <c r="F409" s="1759"/>
      <c r="G409" s="1759"/>
      <c r="H409" s="1759"/>
      <c r="I409" s="1759"/>
      <c r="J409" s="1759"/>
      <c r="K409" s="1759"/>
      <c r="L409" s="1759"/>
      <c r="M409" s="1759"/>
      <c r="N409" s="1759"/>
      <c r="O409" s="1759"/>
      <c r="P409" s="1759"/>
      <c r="Q409" s="1759"/>
      <c r="R409" s="1759"/>
      <c r="S409" s="1759"/>
      <c r="T409" s="1759"/>
      <c r="U409" s="1759"/>
      <c r="V409" s="1759"/>
      <c r="W409" s="1759"/>
      <c r="X409" s="1759"/>
      <c r="Y409" s="1759"/>
      <c r="Z409" s="1759"/>
      <c r="AA409" s="1759"/>
      <c r="AB409" s="1759"/>
      <c r="AC409" s="1759"/>
      <c r="AD409" s="1759"/>
      <c r="AE409" s="1759"/>
      <c r="AF409" s="1759"/>
      <c r="AG409" s="1759"/>
      <c r="AH409" s="1759"/>
      <c r="AI409" s="1759"/>
      <c r="AJ409" s="1759"/>
      <c r="AK409" s="1759"/>
      <c r="AL409" s="1759"/>
      <c r="AM409" s="1759"/>
      <c r="AN409" s="1759"/>
      <c r="AO409" s="1759"/>
      <c r="AP409" s="1759"/>
      <c r="AQ409" s="1759"/>
      <c r="AR409" s="1759"/>
      <c r="AS409" s="1759"/>
      <c r="AT409" s="1759"/>
      <c r="AU409" s="1759"/>
      <c r="AV409" s="1759"/>
      <c r="AW409" s="1759"/>
      <c r="AX409" s="1759"/>
      <c r="AY409" s="1759"/>
      <c r="AZ409" s="1759"/>
      <c r="BA409" s="1759"/>
      <c r="BB409" s="1759"/>
      <c r="BC409" s="1759"/>
      <c r="BD409" s="1759"/>
      <c r="BE409" s="1759"/>
      <c r="BF409" s="1759"/>
      <c r="BG409" s="1056"/>
    </row>
    <row r="410" spans="1:59" ht="32.25" customHeight="1" x14ac:dyDescent="0.15">
      <c r="A410" s="1050"/>
      <c r="B410" s="1064"/>
      <c r="C410" s="1759" t="str">
        <f>+Nyilatkozatok!DK125</f>
        <v>– az elszámolható költségek a beruházáshoz kapcsolódó tárgyi eszközök és immateriális javak költségeit, valamint  közvetlenül a beruházási projekt által létrehozott munkahelyek két évre számított, becsült bérköltségét tartalmazzák</v>
      </c>
      <c r="D410" s="1759"/>
      <c r="E410" s="1759"/>
      <c r="F410" s="1759"/>
      <c r="G410" s="1759"/>
      <c r="H410" s="1759"/>
      <c r="I410" s="1759"/>
      <c r="J410" s="1759"/>
      <c r="K410" s="1759"/>
      <c r="L410" s="1759"/>
      <c r="M410" s="1759"/>
      <c r="N410" s="1759"/>
      <c r="O410" s="1759"/>
      <c r="P410" s="1759"/>
      <c r="Q410" s="1759"/>
      <c r="R410" s="1759"/>
      <c r="S410" s="1759"/>
      <c r="T410" s="1759"/>
      <c r="U410" s="1759"/>
      <c r="V410" s="1759"/>
      <c r="W410" s="1759"/>
      <c r="X410" s="1759"/>
      <c r="Y410" s="1759"/>
      <c r="Z410" s="1759"/>
      <c r="AA410" s="1759"/>
      <c r="AB410" s="1759"/>
      <c r="AC410" s="1759"/>
      <c r="AD410" s="1759"/>
      <c r="AE410" s="1759"/>
      <c r="AF410" s="1759"/>
      <c r="AG410" s="1759"/>
      <c r="AH410" s="1759"/>
      <c r="AI410" s="1759"/>
      <c r="AJ410" s="1759"/>
      <c r="AK410" s="1759"/>
      <c r="AL410" s="1759"/>
      <c r="AM410" s="1759"/>
      <c r="AN410" s="1759"/>
      <c r="AO410" s="1759"/>
      <c r="AP410" s="1759"/>
      <c r="AQ410" s="1759"/>
      <c r="AR410" s="1759"/>
      <c r="AS410" s="1759"/>
      <c r="AT410" s="1759"/>
      <c r="AU410" s="1759"/>
      <c r="AV410" s="1759"/>
      <c r="AW410" s="1759"/>
      <c r="AX410" s="1759"/>
      <c r="AY410" s="1759"/>
      <c r="AZ410" s="1759"/>
      <c r="BA410" s="1759"/>
      <c r="BB410" s="1759"/>
      <c r="BC410" s="1759"/>
      <c r="BD410" s="1759"/>
      <c r="BE410" s="1759"/>
      <c r="BF410" s="1759"/>
      <c r="BG410" s="1056"/>
    </row>
    <row r="411" spans="1:59" x14ac:dyDescent="0.15">
      <c r="A411" s="1050"/>
      <c r="B411" s="1064"/>
      <c r="C411" s="1759" t="str">
        <f>+Nyilatkozatok!DK126</f>
        <v>Tudomásul veszem, hogy:</v>
      </c>
      <c r="D411" s="1759"/>
      <c r="E411" s="1759"/>
      <c r="F411" s="1759"/>
      <c r="G411" s="1759"/>
      <c r="H411" s="1759"/>
      <c r="I411" s="1759"/>
      <c r="J411" s="1759"/>
      <c r="K411" s="1759"/>
      <c r="L411" s="1759"/>
      <c r="M411" s="1759"/>
      <c r="N411" s="1759"/>
      <c r="O411" s="1759"/>
      <c r="P411" s="1759"/>
      <c r="Q411" s="1759"/>
      <c r="R411" s="1759"/>
      <c r="S411" s="1759"/>
      <c r="T411" s="1759"/>
      <c r="U411" s="1759"/>
      <c r="V411" s="1759"/>
      <c r="W411" s="1759"/>
      <c r="X411" s="1759"/>
      <c r="Y411" s="1759"/>
      <c r="Z411" s="1759"/>
      <c r="AA411" s="1759"/>
      <c r="AB411" s="1759"/>
      <c r="AC411" s="1759"/>
      <c r="AD411" s="1759"/>
      <c r="AE411" s="1759"/>
      <c r="AF411" s="1759"/>
      <c r="AG411" s="1759"/>
      <c r="AH411" s="1759"/>
      <c r="AI411" s="1759"/>
      <c r="AJ411" s="1759"/>
      <c r="AK411" s="1759"/>
      <c r="AL411" s="1759"/>
      <c r="AM411" s="1759"/>
      <c r="AN411" s="1759"/>
      <c r="AO411" s="1759"/>
      <c r="AP411" s="1759"/>
      <c r="AQ411" s="1759"/>
      <c r="AR411" s="1759"/>
      <c r="AS411" s="1759"/>
      <c r="AT411" s="1759"/>
      <c r="AU411" s="1759"/>
      <c r="AV411" s="1759"/>
      <c r="AW411" s="1759"/>
      <c r="AX411" s="1759"/>
      <c r="AY411" s="1759"/>
      <c r="AZ411" s="1759"/>
      <c r="BA411" s="1759"/>
      <c r="BB411" s="1759"/>
      <c r="BC411" s="1759"/>
      <c r="BD411" s="1759"/>
      <c r="BE411" s="1759"/>
      <c r="BF411" s="1759"/>
      <c r="BG411" s="1056"/>
    </row>
    <row r="412" spans="1:59" ht="32.25" customHeight="1" x14ac:dyDescent="0.15">
      <c r="A412" s="1050"/>
      <c r="B412" s="1064"/>
      <c r="C412" s="1759" t="str">
        <f>+Nyilatkozatok!DK127</f>
        <v>– ha egy kisvállalkozást az eredeti tulajdonos családtagjai vagy korábbi munkavállalók vesznek át, az eszközöknek a vevőtől független harmadik féltől való megvásárlására vonatkozó feltételnek nem kell teljesülnie. A vállalkozásban történő részesedésszerzés önmagában nem minősül beruházásnak.</v>
      </c>
      <c r="D412" s="1759"/>
      <c r="E412" s="1759"/>
      <c r="F412" s="1759"/>
      <c r="G412" s="1759"/>
      <c r="H412" s="1759"/>
      <c r="I412" s="1759"/>
      <c r="J412" s="1759"/>
      <c r="K412" s="1759"/>
      <c r="L412" s="1759"/>
      <c r="M412" s="1759"/>
      <c r="N412" s="1759"/>
      <c r="O412" s="1759"/>
      <c r="P412" s="1759"/>
      <c r="Q412" s="1759"/>
      <c r="R412" s="1759"/>
      <c r="S412" s="1759"/>
      <c r="T412" s="1759"/>
      <c r="U412" s="1759"/>
      <c r="V412" s="1759"/>
      <c r="W412" s="1759"/>
      <c r="X412" s="1759"/>
      <c r="Y412" s="1759"/>
      <c r="Z412" s="1759"/>
      <c r="AA412" s="1759"/>
      <c r="AB412" s="1759"/>
      <c r="AC412" s="1759"/>
      <c r="AD412" s="1759"/>
      <c r="AE412" s="1759"/>
      <c r="AF412" s="1759"/>
      <c r="AG412" s="1759"/>
      <c r="AH412" s="1759"/>
      <c r="AI412" s="1759"/>
      <c r="AJ412" s="1759"/>
      <c r="AK412" s="1759"/>
      <c r="AL412" s="1759"/>
      <c r="AM412" s="1759"/>
      <c r="AN412" s="1759"/>
      <c r="AO412" s="1759"/>
      <c r="AP412" s="1759"/>
      <c r="AQ412" s="1759"/>
      <c r="AR412" s="1759"/>
      <c r="AS412" s="1759"/>
      <c r="AT412" s="1759"/>
      <c r="AU412" s="1759"/>
      <c r="AV412" s="1759"/>
      <c r="AW412" s="1759"/>
      <c r="AX412" s="1759"/>
      <c r="AY412" s="1759"/>
      <c r="AZ412" s="1759"/>
      <c r="BA412" s="1759"/>
      <c r="BB412" s="1759"/>
      <c r="BC412" s="1759"/>
      <c r="BD412" s="1759"/>
      <c r="BE412" s="1759"/>
      <c r="BF412" s="1759"/>
      <c r="BG412" s="1056"/>
    </row>
    <row r="413" spans="1:59" ht="81.75" customHeight="1" x14ac:dyDescent="0.15">
      <c r="A413" s="1050"/>
      <c r="B413" s="1064"/>
      <c r="C413" s="1759" t="str">
        <f>+Nyilatkozatok!DK128</f>
        <v>–  az immateriális javak költsége akkor elszámolható, ha
a) azokat kizárólag a támogatásban részesült létesítményben használják fel,
b) az az Sztv. előírásai szerinti terv szerinti értékcsökkenési leírás alá esik,
c) azokat szokásos piaci feltételek mellett, a vevőtől független harmadik féltől vásárolják meg,
d) azok kis- és középvállalkozás esetén legalább három évig a beruházó eszközei között szerepelnek és ahhoz a projekthez kapcsolódnak, amelyhez a támogatást nyújtották</v>
      </c>
      <c r="D413" s="1759"/>
      <c r="E413" s="1759"/>
      <c r="F413" s="1759"/>
      <c r="G413" s="1759"/>
      <c r="H413" s="1759"/>
      <c r="I413" s="1759"/>
      <c r="J413" s="1759"/>
      <c r="K413" s="1759"/>
      <c r="L413" s="1759"/>
      <c r="M413" s="1759"/>
      <c r="N413" s="1759"/>
      <c r="O413" s="1759"/>
      <c r="P413" s="1759"/>
      <c r="Q413" s="1759"/>
      <c r="R413" s="1759"/>
      <c r="S413" s="1759"/>
      <c r="T413" s="1759"/>
      <c r="U413" s="1759"/>
      <c r="V413" s="1759"/>
      <c r="W413" s="1759"/>
      <c r="X413" s="1759"/>
      <c r="Y413" s="1759"/>
      <c r="Z413" s="1759"/>
      <c r="AA413" s="1759"/>
      <c r="AB413" s="1759"/>
      <c r="AC413" s="1759"/>
      <c r="AD413" s="1759"/>
      <c r="AE413" s="1759"/>
      <c r="AF413" s="1759"/>
      <c r="AG413" s="1759"/>
      <c r="AH413" s="1759"/>
      <c r="AI413" s="1759"/>
      <c r="AJ413" s="1759"/>
      <c r="AK413" s="1759"/>
      <c r="AL413" s="1759"/>
      <c r="AM413" s="1759"/>
      <c r="AN413" s="1759"/>
      <c r="AO413" s="1759"/>
      <c r="AP413" s="1759"/>
      <c r="AQ413" s="1759"/>
      <c r="AR413" s="1759"/>
      <c r="AS413" s="1759"/>
      <c r="AT413" s="1759"/>
      <c r="AU413" s="1759"/>
      <c r="AV413" s="1759"/>
      <c r="AW413" s="1759"/>
      <c r="AX413" s="1759"/>
      <c r="AY413" s="1759"/>
      <c r="AZ413" s="1759"/>
      <c r="BA413" s="1759"/>
      <c r="BB413" s="1759"/>
      <c r="BC413" s="1759"/>
      <c r="BD413" s="1759"/>
      <c r="BE413" s="1759"/>
      <c r="BF413" s="1759"/>
      <c r="BG413" s="1056"/>
    </row>
    <row r="414" spans="1:59" ht="61.5" customHeight="1" x14ac:dyDescent="0.15">
      <c r="A414" s="1050"/>
      <c r="B414" s="1064"/>
      <c r="C414" s="1759" t="str">
        <f>+Nyilatkozatok!DK129</f>
        <v>– A közvetlenül a beruházási projekt által létrehozott munkahelyekre vonatkozóan a következő feltételeknek kell teljesülniük: 
a) a munkahelyeket a beruházás befejezésétől számított három éven belül kell létrehozni;
b) az előző tizenkét hónap átlagához képest az érintett létesítményben foglalkoztatottak számának nettó növekedését kell eredményeznie;
c) a létrehozott munkahelyeket az álláshely első betöltésétől számított legalább három évig fenn kell tartani.</v>
      </c>
      <c r="D414" s="1759"/>
      <c r="E414" s="1759"/>
      <c r="F414" s="1759"/>
      <c r="G414" s="1759"/>
      <c r="H414" s="1759"/>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c r="AF414" s="1759"/>
      <c r="AG414" s="1759"/>
      <c r="AH414" s="1759"/>
      <c r="AI414" s="1759"/>
      <c r="AJ414" s="1759"/>
      <c r="AK414" s="1759"/>
      <c r="AL414" s="1759"/>
      <c r="AM414" s="1759"/>
      <c r="AN414" s="1759"/>
      <c r="AO414" s="1759"/>
      <c r="AP414" s="1759"/>
      <c r="AQ414" s="1759"/>
      <c r="AR414" s="1759"/>
      <c r="AS414" s="1759"/>
      <c r="AT414" s="1759"/>
      <c r="AU414" s="1759"/>
      <c r="AV414" s="1759"/>
      <c r="AW414" s="1759"/>
      <c r="AX414" s="1759"/>
      <c r="AY414" s="1759"/>
      <c r="AZ414" s="1759"/>
      <c r="BA414" s="1759"/>
      <c r="BB414" s="1759"/>
      <c r="BC414" s="1759"/>
      <c r="BD414" s="1759"/>
      <c r="BE414" s="1759"/>
      <c r="BF414" s="1759"/>
      <c r="BG414" s="1056"/>
    </row>
    <row r="415" spans="1:59" x14ac:dyDescent="0.15">
      <c r="A415" s="1050"/>
      <c r="B415" s="1064"/>
      <c r="C415" s="1759" t="str">
        <f>+Nyilatkozatok!DK130</f>
        <v/>
      </c>
      <c r="D415" s="1759"/>
      <c r="E415" s="1759"/>
      <c r="F415" s="1759"/>
      <c r="G415" s="1759"/>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c r="AF415" s="1759"/>
      <c r="AG415" s="1759"/>
      <c r="AH415" s="1759"/>
      <c r="AI415" s="1759"/>
      <c r="AJ415" s="1759"/>
      <c r="AK415" s="1759"/>
      <c r="AL415" s="1759"/>
      <c r="AM415" s="1759"/>
      <c r="AN415" s="1759"/>
      <c r="AO415" s="1759"/>
      <c r="AP415" s="1759"/>
      <c r="AQ415" s="1759"/>
      <c r="AR415" s="1759"/>
      <c r="AS415" s="1759"/>
      <c r="AT415" s="1759"/>
      <c r="AU415" s="1759"/>
      <c r="AV415" s="1759"/>
      <c r="AW415" s="1759"/>
      <c r="AX415" s="1759"/>
      <c r="AY415" s="1759"/>
      <c r="AZ415" s="1759"/>
      <c r="BA415" s="1759"/>
      <c r="BB415" s="1759"/>
      <c r="BC415" s="1759"/>
      <c r="BD415" s="1759"/>
      <c r="BE415" s="1759"/>
      <c r="BF415" s="1759"/>
      <c r="BG415" s="1056"/>
    </row>
    <row r="416" spans="1:59" x14ac:dyDescent="0.15">
      <c r="A416" s="1050"/>
      <c r="B416" s="1064"/>
      <c r="C416" s="1759" t="str">
        <f>+Nyilatkozatok!DK131</f>
        <v/>
      </c>
      <c r="D416" s="1759"/>
      <c r="E416" s="1759"/>
      <c r="F416" s="1759"/>
      <c r="G416" s="1759"/>
      <c r="H416" s="1759"/>
      <c r="I416" s="1759"/>
      <c r="J416" s="1759"/>
      <c r="K416" s="1759"/>
      <c r="L416" s="1759"/>
      <c r="M416" s="1759"/>
      <c r="N416" s="1759"/>
      <c r="O416" s="1759"/>
      <c r="P416" s="1759"/>
      <c r="Q416" s="1759"/>
      <c r="R416" s="1759"/>
      <c r="S416" s="1759"/>
      <c r="T416" s="1759"/>
      <c r="U416" s="1759"/>
      <c r="V416" s="1759"/>
      <c r="W416" s="1759"/>
      <c r="X416" s="1759"/>
      <c r="Y416" s="1759"/>
      <c r="Z416" s="1759"/>
      <c r="AA416" s="1759"/>
      <c r="AB416" s="1759"/>
      <c r="AC416" s="1759"/>
      <c r="AD416" s="1759"/>
      <c r="AE416" s="1759"/>
      <c r="AF416" s="1759"/>
      <c r="AG416" s="1759"/>
      <c r="AH416" s="1759"/>
      <c r="AI416" s="1759"/>
      <c r="AJ416" s="1759"/>
      <c r="AK416" s="1759"/>
      <c r="AL416" s="1759"/>
      <c r="AM416" s="1759"/>
      <c r="AN416" s="1759"/>
      <c r="AO416" s="1759"/>
      <c r="AP416" s="1759"/>
      <c r="AQ416" s="1759"/>
      <c r="AR416" s="1759"/>
      <c r="AS416" s="1759"/>
      <c r="AT416" s="1759"/>
      <c r="AU416" s="1759"/>
      <c r="AV416" s="1759"/>
      <c r="AW416" s="1759"/>
      <c r="AX416" s="1759"/>
      <c r="AY416" s="1759"/>
      <c r="AZ416" s="1759"/>
      <c r="BA416" s="1759"/>
      <c r="BB416" s="1759"/>
      <c r="BC416" s="1759"/>
      <c r="BD416" s="1759"/>
      <c r="BE416" s="1759"/>
      <c r="BF416" s="1759"/>
      <c r="BG416" s="1056"/>
    </row>
    <row r="417" spans="1:59" x14ac:dyDescent="0.15">
      <c r="A417" s="1050"/>
      <c r="B417" s="1064"/>
      <c r="C417" s="1759" t="str">
        <f>+Nyilatkozatok!DK132</f>
        <v/>
      </c>
      <c r="D417" s="1759"/>
      <c r="E417" s="1759"/>
      <c r="F417" s="1759"/>
      <c r="G417" s="1759"/>
      <c r="H417" s="1759"/>
      <c r="I417" s="1759"/>
      <c r="J417" s="1759"/>
      <c r="K417" s="1759"/>
      <c r="L417" s="1759"/>
      <c r="M417" s="1759"/>
      <c r="N417" s="1759"/>
      <c r="O417" s="1759"/>
      <c r="P417" s="1759"/>
      <c r="Q417" s="1759"/>
      <c r="R417" s="1759"/>
      <c r="S417" s="1759"/>
      <c r="T417" s="1759"/>
      <c r="U417" s="1759"/>
      <c r="V417" s="1759"/>
      <c r="W417" s="1759"/>
      <c r="X417" s="1759"/>
      <c r="Y417" s="1759"/>
      <c r="Z417" s="1759"/>
      <c r="AA417" s="1759"/>
      <c r="AB417" s="1759"/>
      <c r="AC417" s="1759"/>
      <c r="AD417" s="1759"/>
      <c r="AE417" s="1759"/>
      <c r="AF417" s="1759"/>
      <c r="AG417" s="1759"/>
      <c r="AH417" s="1759"/>
      <c r="AI417" s="1759"/>
      <c r="AJ417" s="1759"/>
      <c r="AK417" s="1759"/>
      <c r="AL417" s="1759"/>
      <c r="AM417" s="1759"/>
      <c r="AN417" s="1759"/>
      <c r="AO417" s="1759"/>
      <c r="AP417" s="1759"/>
      <c r="AQ417" s="1759"/>
      <c r="AR417" s="1759"/>
      <c r="AS417" s="1759"/>
      <c r="AT417" s="1759"/>
      <c r="AU417" s="1759"/>
      <c r="AV417" s="1759"/>
      <c r="AW417" s="1759"/>
      <c r="AX417" s="1759"/>
      <c r="AY417" s="1759"/>
      <c r="AZ417" s="1759"/>
      <c r="BA417" s="1759"/>
      <c r="BB417" s="1759"/>
      <c r="BC417" s="1759"/>
      <c r="BD417" s="1759"/>
      <c r="BE417" s="1759"/>
      <c r="BF417" s="1759"/>
      <c r="BG417" s="1056"/>
    </row>
    <row r="418" spans="1:59" x14ac:dyDescent="0.15">
      <c r="A418" s="1050"/>
      <c r="B418" s="1064"/>
      <c r="C418" s="1759" t="str">
        <f>+Nyilatkozatok!DK133</f>
        <v/>
      </c>
      <c r="D418" s="1759"/>
      <c r="E418" s="1759"/>
      <c r="F418" s="1759"/>
      <c r="G418" s="1759"/>
      <c r="H418" s="1759"/>
      <c r="I418" s="1759"/>
      <c r="J418" s="1759"/>
      <c r="K418" s="1759"/>
      <c r="L418" s="1759"/>
      <c r="M418" s="1759"/>
      <c r="N418" s="1759"/>
      <c r="O418" s="1759"/>
      <c r="P418" s="1759"/>
      <c r="Q418" s="1759"/>
      <c r="R418" s="1759"/>
      <c r="S418" s="1759"/>
      <c r="T418" s="1759"/>
      <c r="U418" s="1759"/>
      <c r="V418" s="1759"/>
      <c r="W418" s="1759"/>
      <c r="X418" s="1759"/>
      <c r="Y418" s="1759"/>
      <c r="Z418" s="1759"/>
      <c r="AA418" s="1759"/>
      <c r="AB418" s="1759"/>
      <c r="AC418" s="1759"/>
      <c r="AD418" s="1759"/>
      <c r="AE418" s="1759"/>
      <c r="AF418" s="1759"/>
      <c r="AG418" s="1759"/>
      <c r="AH418" s="1759"/>
      <c r="AI418" s="1759"/>
      <c r="AJ418" s="1759"/>
      <c r="AK418" s="1759"/>
      <c r="AL418" s="1759"/>
      <c r="AM418" s="1759"/>
      <c r="AN418" s="1759"/>
      <c r="AO418" s="1759"/>
      <c r="AP418" s="1759"/>
      <c r="AQ418" s="1759"/>
      <c r="AR418" s="1759"/>
      <c r="AS418" s="1759"/>
      <c r="AT418" s="1759"/>
      <c r="AU418" s="1759"/>
      <c r="AV418" s="1759"/>
      <c r="AW418" s="1759"/>
      <c r="AX418" s="1759"/>
      <c r="AY418" s="1759"/>
      <c r="AZ418" s="1759"/>
      <c r="BA418" s="1759"/>
      <c r="BB418" s="1759"/>
      <c r="BC418" s="1759"/>
      <c r="BD418" s="1759"/>
      <c r="BE418" s="1759"/>
      <c r="BF418" s="1759"/>
      <c r="BG418" s="1056"/>
    </row>
    <row r="419" spans="1:59" x14ac:dyDescent="0.15">
      <c r="A419" s="1050"/>
      <c r="B419" s="1064"/>
      <c r="C419" s="1759" t="str">
        <f>+Nyilatkozatok!DK134</f>
        <v/>
      </c>
      <c r="D419" s="1759"/>
      <c r="E419" s="1759"/>
      <c r="F419" s="1759"/>
      <c r="G419" s="1759"/>
      <c r="H419" s="1759"/>
      <c r="I419" s="1759"/>
      <c r="J419" s="1759"/>
      <c r="K419" s="1759"/>
      <c r="L419" s="1759"/>
      <c r="M419" s="1759"/>
      <c r="N419" s="1759"/>
      <c r="O419" s="1759"/>
      <c r="P419" s="1759"/>
      <c r="Q419" s="1759"/>
      <c r="R419" s="1759"/>
      <c r="S419" s="1759"/>
      <c r="T419" s="1759"/>
      <c r="U419" s="1759"/>
      <c r="V419" s="1759"/>
      <c r="W419" s="1759"/>
      <c r="X419" s="1759"/>
      <c r="Y419" s="1759"/>
      <c r="Z419" s="1759"/>
      <c r="AA419" s="1759"/>
      <c r="AB419" s="1759"/>
      <c r="AC419" s="1759"/>
      <c r="AD419" s="1759"/>
      <c r="AE419" s="1759"/>
      <c r="AF419" s="1759"/>
      <c r="AG419" s="1759"/>
      <c r="AH419" s="1759"/>
      <c r="AI419" s="1759"/>
      <c r="AJ419" s="1759"/>
      <c r="AK419" s="1759"/>
      <c r="AL419" s="1759"/>
      <c r="AM419" s="1759"/>
      <c r="AN419" s="1759"/>
      <c r="AO419" s="1759"/>
      <c r="AP419" s="1759"/>
      <c r="AQ419" s="1759"/>
      <c r="AR419" s="1759"/>
      <c r="AS419" s="1759"/>
      <c r="AT419" s="1759"/>
      <c r="AU419" s="1759"/>
      <c r="AV419" s="1759"/>
      <c r="AW419" s="1759"/>
      <c r="AX419" s="1759"/>
      <c r="AY419" s="1759"/>
      <c r="AZ419" s="1759"/>
      <c r="BA419" s="1759"/>
      <c r="BB419" s="1759"/>
      <c r="BC419" s="1759"/>
      <c r="BD419" s="1759"/>
      <c r="BE419" s="1759"/>
      <c r="BF419" s="1759"/>
      <c r="BG419" s="1056"/>
    </row>
    <row r="420" spans="1:59" x14ac:dyDescent="0.15">
      <c r="A420" s="1050"/>
      <c r="B420" s="1064"/>
      <c r="C420" s="1759" t="str">
        <f>+Nyilatkozatok!DK135</f>
        <v/>
      </c>
      <c r="D420" s="1759"/>
      <c r="E420" s="1759"/>
      <c r="F420" s="1759"/>
      <c r="G420" s="1759"/>
      <c r="H420" s="1759"/>
      <c r="I420" s="1759"/>
      <c r="J420" s="1759"/>
      <c r="K420" s="1759"/>
      <c r="L420" s="1759"/>
      <c r="M420" s="1759"/>
      <c r="N420" s="1759"/>
      <c r="O420" s="1759"/>
      <c r="P420" s="1759"/>
      <c r="Q420" s="1759"/>
      <c r="R420" s="1759"/>
      <c r="S420" s="1759"/>
      <c r="T420" s="1759"/>
      <c r="U420" s="1759"/>
      <c r="V420" s="1759"/>
      <c r="W420" s="1759"/>
      <c r="X420" s="1759"/>
      <c r="Y420" s="1759"/>
      <c r="Z420" s="1759"/>
      <c r="AA420" s="1759"/>
      <c r="AB420" s="1759"/>
      <c r="AC420" s="1759"/>
      <c r="AD420" s="1759"/>
      <c r="AE420" s="1759"/>
      <c r="AF420" s="1759"/>
      <c r="AG420" s="1759"/>
      <c r="AH420" s="1759"/>
      <c r="AI420" s="1759"/>
      <c r="AJ420" s="1759"/>
      <c r="AK420" s="1759"/>
      <c r="AL420" s="1759"/>
      <c r="AM420" s="1759"/>
      <c r="AN420" s="1759"/>
      <c r="AO420" s="1759"/>
      <c r="AP420" s="1759"/>
      <c r="AQ420" s="1759"/>
      <c r="AR420" s="1759"/>
      <c r="AS420" s="1759"/>
      <c r="AT420" s="1759"/>
      <c r="AU420" s="1759"/>
      <c r="AV420" s="1759"/>
      <c r="AW420" s="1759"/>
      <c r="AX420" s="1759"/>
      <c r="AY420" s="1759"/>
      <c r="AZ420" s="1759"/>
      <c r="BA420" s="1759"/>
      <c r="BB420" s="1759"/>
      <c r="BC420" s="1759"/>
      <c r="BD420" s="1759"/>
      <c r="BE420" s="1759"/>
      <c r="BF420" s="1759"/>
      <c r="BG420" s="1056"/>
    </row>
    <row r="421" spans="1:59" x14ac:dyDescent="0.15">
      <c r="A421" s="1050"/>
      <c r="B421" s="1064"/>
      <c r="C421" s="1759" t="str">
        <f>+Nyilatkozatok!DK136</f>
        <v/>
      </c>
      <c r="D421" s="1759"/>
      <c r="E421" s="1759"/>
      <c r="F421" s="1759"/>
      <c r="G421" s="1759"/>
      <c r="H421" s="1759"/>
      <c r="I421" s="1759"/>
      <c r="J421" s="1759"/>
      <c r="K421" s="1759"/>
      <c r="L421" s="1759"/>
      <c r="M421" s="1759"/>
      <c r="N421" s="1759"/>
      <c r="O421" s="1759"/>
      <c r="P421" s="1759"/>
      <c r="Q421" s="1759"/>
      <c r="R421" s="1759"/>
      <c r="S421" s="1759"/>
      <c r="T421" s="1759"/>
      <c r="U421" s="1759"/>
      <c r="V421" s="1759"/>
      <c r="W421" s="1759"/>
      <c r="X421" s="1759"/>
      <c r="Y421" s="1759"/>
      <c r="Z421" s="1759"/>
      <c r="AA421" s="1759"/>
      <c r="AB421" s="1759"/>
      <c r="AC421" s="1759"/>
      <c r="AD421" s="1759"/>
      <c r="AE421" s="1759"/>
      <c r="AF421" s="1759"/>
      <c r="AG421" s="1759"/>
      <c r="AH421" s="1759"/>
      <c r="AI421" s="1759"/>
      <c r="AJ421" s="1759"/>
      <c r="AK421" s="1759"/>
      <c r="AL421" s="1759"/>
      <c r="AM421" s="1759"/>
      <c r="AN421" s="1759"/>
      <c r="AO421" s="1759"/>
      <c r="AP421" s="1759"/>
      <c r="AQ421" s="1759"/>
      <c r="AR421" s="1759"/>
      <c r="AS421" s="1759"/>
      <c r="AT421" s="1759"/>
      <c r="AU421" s="1759"/>
      <c r="AV421" s="1759"/>
      <c r="AW421" s="1759"/>
      <c r="AX421" s="1759"/>
      <c r="AY421" s="1759"/>
      <c r="AZ421" s="1759"/>
      <c r="BA421" s="1759"/>
      <c r="BB421" s="1759"/>
      <c r="BC421" s="1759"/>
      <c r="BD421" s="1759"/>
      <c r="BE421" s="1759"/>
      <c r="BF421" s="1759"/>
      <c r="BG421" s="1056"/>
    </row>
    <row r="422" spans="1:59" x14ac:dyDescent="0.15">
      <c r="A422" s="1050"/>
      <c r="B422" s="1064"/>
      <c r="C422" s="1759" t="str">
        <f>+Nyilatkozatok!DK137</f>
        <v/>
      </c>
      <c r="D422" s="1759"/>
      <c r="E422" s="1759"/>
      <c r="F422" s="1759"/>
      <c r="G422" s="1759"/>
      <c r="H422" s="1759"/>
      <c r="I422" s="1759"/>
      <c r="J422" s="1759"/>
      <c r="K422" s="1759"/>
      <c r="L422" s="1759"/>
      <c r="M422" s="1759"/>
      <c r="N422" s="1759"/>
      <c r="O422" s="1759"/>
      <c r="P422" s="1759"/>
      <c r="Q422" s="1759"/>
      <c r="R422" s="1759"/>
      <c r="S422" s="1759"/>
      <c r="T422" s="1759"/>
      <c r="U422" s="1759"/>
      <c r="V422" s="1759"/>
      <c r="W422" s="1759"/>
      <c r="X422" s="1759"/>
      <c r="Y422" s="1759"/>
      <c r="Z422" s="1759"/>
      <c r="AA422" s="1759"/>
      <c r="AB422" s="1759"/>
      <c r="AC422" s="1759"/>
      <c r="AD422" s="1759"/>
      <c r="AE422" s="1759"/>
      <c r="AF422" s="1759"/>
      <c r="AG422" s="1759"/>
      <c r="AH422" s="1759"/>
      <c r="AI422" s="1759"/>
      <c r="AJ422" s="1759"/>
      <c r="AK422" s="1759"/>
      <c r="AL422" s="1759"/>
      <c r="AM422" s="1759"/>
      <c r="AN422" s="1759"/>
      <c r="AO422" s="1759"/>
      <c r="AP422" s="1759"/>
      <c r="AQ422" s="1759"/>
      <c r="AR422" s="1759"/>
      <c r="AS422" s="1759"/>
      <c r="AT422" s="1759"/>
      <c r="AU422" s="1759"/>
      <c r="AV422" s="1759"/>
      <c r="AW422" s="1759"/>
      <c r="AX422" s="1759"/>
      <c r="AY422" s="1759"/>
      <c r="AZ422" s="1759"/>
      <c r="BA422" s="1759"/>
      <c r="BB422" s="1759"/>
      <c r="BC422" s="1759"/>
      <c r="BD422" s="1759"/>
      <c r="BE422" s="1759"/>
      <c r="BF422" s="1759"/>
      <c r="BG422" s="1056"/>
    </row>
    <row r="423" spans="1:59" x14ac:dyDescent="0.15">
      <c r="A423" s="1050"/>
      <c r="B423" s="1064"/>
      <c r="C423" s="1779" t="s">
        <v>787</v>
      </c>
      <c r="D423" s="1761"/>
      <c r="E423" s="1761"/>
      <c r="F423" s="1761"/>
      <c r="G423" s="1761"/>
      <c r="H423" s="1761"/>
      <c r="I423" s="1761"/>
      <c r="J423" s="1761"/>
      <c r="K423" s="1761"/>
      <c r="L423" s="1761"/>
      <c r="M423" s="1761"/>
      <c r="N423" s="1761"/>
      <c r="O423" s="1761"/>
      <c r="P423" s="1761"/>
      <c r="Q423" s="1761"/>
      <c r="R423" s="1761"/>
      <c r="S423" s="1761"/>
      <c r="T423" s="1761"/>
      <c r="U423" s="1761"/>
      <c r="V423" s="1761"/>
      <c r="W423" s="1761"/>
      <c r="X423" s="1761"/>
      <c r="Y423" s="1761"/>
      <c r="Z423" s="1761"/>
      <c r="AA423" s="1761"/>
      <c r="AB423" s="1761"/>
      <c r="AC423" s="1761"/>
      <c r="AD423" s="1761"/>
      <c r="AE423" s="1761"/>
      <c r="AF423" s="1761"/>
      <c r="AG423" s="1761"/>
      <c r="AH423" s="1761"/>
      <c r="AI423" s="1761"/>
      <c r="AJ423" s="1761"/>
      <c r="AK423" s="1761"/>
      <c r="AL423" s="1761"/>
      <c r="AM423" s="1761"/>
      <c r="AN423" s="1761"/>
      <c r="AO423" s="1761"/>
      <c r="AP423" s="1761"/>
      <c r="AQ423" s="1761"/>
      <c r="AR423" s="1761"/>
      <c r="AS423" s="1761"/>
      <c r="AT423" s="1761"/>
      <c r="AU423" s="1761"/>
      <c r="AV423" s="1761"/>
      <c r="AW423" s="1761"/>
      <c r="AX423" s="1761"/>
      <c r="AY423" s="1761"/>
      <c r="AZ423" s="1761"/>
      <c r="BA423" s="1761"/>
      <c r="BB423" s="1761"/>
      <c r="BC423" s="1761"/>
      <c r="BD423" s="1761"/>
      <c r="BE423" s="1761"/>
      <c r="BF423" s="1761"/>
      <c r="BG423" s="1056"/>
    </row>
    <row r="424" spans="1:59" x14ac:dyDescent="0.15">
      <c r="A424" s="1050"/>
      <c r="B424" s="1053"/>
      <c r="C424" s="1760"/>
      <c r="D424" s="1760"/>
      <c r="E424" s="1760"/>
      <c r="F424" s="1760"/>
      <c r="G424" s="1760"/>
      <c r="H424" s="1760"/>
      <c r="I424" s="1760"/>
      <c r="J424" s="1760"/>
      <c r="K424" s="1760"/>
      <c r="L424" s="1760"/>
      <c r="M424" s="1760"/>
      <c r="N424" s="1760"/>
      <c r="O424" s="1760"/>
      <c r="P424" s="1760"/>
      <c r="Q424" s="1760"/>
      <c r="R424" s="1760"/>
      <c r="S424" s="1760"/>
      <c r="T424" s="1760"/>
      <c r="U424" s="1760"/>
      <c r="V424" s="1760"/>
      <c r="W424" s="1760"/>
      <c r="X424" s="1760"/>
      <c r="Y424" s="1760"/>
      <c r="Z424" s="1760"/>
      <c r="AA424" s="1760"/>
      <c r="AB424" s="1760"/>
      <c r="AC424" s="1760"/>
      <c r="AD424" s="1760"/>
      <c r="AE424" s="1760"/>
      <c r="AF424" s="1760"/>
      <c r="AG424" s="1760"/>
      <c r="AH424" s="1760"/>
      <c r="AI424" s="1760"/>
      <c r="AJ424" s="1760"/>
      <c r="AK424" s="1760"/>
      <c r="AL424" s="1760"/>
      <c r="AM424" s="1760"/>
      <c r="AN424" s="1760"/>
      <c r="AO424" s="1760"/>
      <c r="AP424" s="1760"/>
      <c r="AQ424" s="1760"/>
      <c r="AR424" s="1760"/>
      <c r="AS424" s="1760"/>
      <c r="AT424" s="1760"/>
      <c r="AU424" s="1760"/>
      <c r="AV424" s="1760"/>
      <c r="AW424" s="1760"/>
      <c r="AX424" s="1760"/>
      <c r="AY424" s="1760"/>
      <c r="AZ424" s="1760"/>
      <c r="BA424" s="1760"/>
      <c r="BB424" s="1760"/>
      <c r="BC424" s="1760"/>
      <c r="BD424" s="1760"/>
      <c r="BE424" s="1760"/>
      <c r="BF424" s="1760"/>
      <c r="BG424" s="1071"/>
    </row>
    <row r="425" spans="1:59" x14ac:dyDescent="0.15">
      <c r="A425" s="1050"/>
      <c r="B425" s="1064"/>
      <c r="C425" s="1760"/>
      <c r="D425" s="1760"/>
      <c r="E425" s="1760"/>
      <c r="F425" s="1760"/>
      <c r="G425" s="1760"/>
      <c r="H425" s="1760"/>
      <c r="I425" s="1760"/>
      <c r="J425" s="1760"/>
      <c r="K425" s="1760"/>
      <c r="L425" s="1760"/>
      <c r="M425" s="1760"/>
      <c r="N425" s="1760"/>
      <c r="O425" s="1760"/>
      <c r="P425" s="1760"/>
      <c r="Q425" s="1760"/>
      <c r="R425" s="1760"/>
      <c r="S425" s="1760"/>
      <c r="T425" s="1760"/>
      <c r="U425" s="1760"/>
      <c r="V425" s="1760"/>
      <c r="W425" s="1760"/>
      <c r="X425" s="1760"/>
      <c r="Y425" s="1760"/>
      <c r="Z425" s="1760"/>
      <c r="AA425" s="1760"/>
      <c r="AB425" s="1760"/>
      <c r="AC425" s="1760"/>
      <c r="AD425" s="1760"/>
      <c r="AE425" s="1760"/>
      <c r="AF425" s="1760"/>
      <c r="AG425" s="1760"/>
      <c r="AH425" s="1760"/>
      <c r="AI425" s="1760"/>
      <c r="AJ425" s="1760"/>
      <c r="AK425" s="1760"/>
      <c r="AL425" s="1760"/>
      <c r="AM425" s="1760"/>
      <c r="AN425" s="1760"/>
      <c r="AO425" s="1760"/>
      <c r="AP425" s="1760"/>
      <c r="AQ425" s="1760"/>
      <c r="AR425" s="1760"/>
      <c r="AS425" s="1760"/>
      <c r="AT425" s="1760"/>
      <c r="AU425" s="1760"/>
      <c r="AV425" s="1760"/>
      <c r="AW425" s="1760"/>
      <c r="AX425" s="1760"/>
      <c r="AY425" s="1760"/>
      <c r="AZ425" s="1760"/>
      <c r="BA425" s="1760"/>
      <c r="BB425" s="1760"/>
      <c r="BC425" s="1760"/>
      <c r="BD425" s="1760"/>
      <c r="BE425" s="1760"/>
      <c r="BF425" s="1760"/>
      <c r="BG425" s="1056"/>
    </row>
    <row r="426" spans="1:59" x14ac:dyDescent="0.15">
      <c r="A426" s="1050"/>
      <c r="B426" s="1064"/>
      <c r="C426" s="1054"/>
      <c r="D426" s="1054"/>
      <c r="E426" s="1054"/>
      <c r="F426" s="1054" t="s">
        <v>796</v>
      </c>
      <c r="G426" s="1054"/>
      <c r="H426" s="1780" t="str">
        <f>+IF(keltezes="","",keltezes)</f>
        <v/>
      </c>
      <c r="I426" s="1760"/>
      <c r="J426" s="1760"/>
      <c r="K426" s="1760"/>
      <c r="L426" s="1760"/>
      <c r="M426" s="1760"/>
      <c r="N426" s="1760"/>
      <c r="O426" s="1760"/>
      <c r="P426" s="1760"/>
      <c r="Q426" s="1760"/>
      <c r="R426" s="1760"/>
      <c r="S426" s="1760"/>
      <c r="T426" s="1760"/>
      <c r="U426" s="1054"/>
      <c r="V426" s="1054"/>
      <c r="W426" s="1054"/>
      <c r="X426" s="1054"/>
      <c r="Y426" s="1054"/>
      <c r="Z426" s="1054"/>
      <c r="AA426" s="1054"/>
      <c r="AB426" s="1054"/>
      <c r="AC426" s="1054"/>
      <c r="AD426" s="1054"/>
      <c r="AE426" s="1054"/>
      <c r="AF426" s="1054"/>
      <c r="AG426" s="1054"/>
      <c r="AH426" s="1054"/>
      <c r="AI426" s="1054"/>
      <c r="AJ426" s="1054"/>
      <c r="AK426" s="1054"/>
      <c r="AL426" s="1054"/>
      <c r="AM426" s="1054"/>
      <c r="AN426" s="1054"/>
      <c r="AO426" s="1054"/>
      <c r="AP426" s="1054"/>
      <c r="AQ426" s="1054"/>
      <c r="AR426" s="1054"/>
      <c r="AS426" s="1054"/>
      <c r="AT426" s="1054"/>
      <c r="AU426" s="1054"/>
      <c r="AV426" s="1054"/>
      <c r="AW426" s="1054"/>
      <c r="AX426" s="1054"/>
      <c r="AY426" s="1054"/>
      <c r="AZ426" s="1054"/>
      <c r="BA426" s="1054"/>
      <c r="BB426" s="1054"/>
      <c r="BC426" s="1054"/>
      <c r="BD426" s="1054"/>
      <c r="BE426" s="1054"/>
      <c r="BF426" s="1054"/>
      <c r="BG426" s="1056"/>
    </row>
    <row r="427" spans="1:59" x14ac:dyDescent="0.15">
      <c r="A427" s="1050"/>
      <c r="B427" s="1064"/>
      <c r="C427" s="1054"/>
      <c r="D427" s="1054"/>
      <c r="E427" s="1054"/>
      <c r="F427" s="1054"/>
      <c r="G427" s="1054"/>
      <c r="H427" s="1054"/>
      <c r="I427" s="1054"/>
      <c r="J427" s="1054"/>
      <c r="K427" s="1054"/>
      <c r="L427" s="1054"/>
      <c r="M427" s="1054"/>
      <c r="N427" s="1054"/>
      <c r="O427" s="1054"/>
      <c r="P427" s="1054"/>
      <c r="Q427" s="1054"/>
      <c r="R427" s="1054"/>
      <c r="S427" s="1054"/>
      <c r="T427" s="1054"/>
      <c r="U427" s="1054"/>
      <c r="V427" s="1054"/>
      <c r="W427" s="1054"/>
      <c r="X427" s="1054"/>
      <c r="Y427" s="1054"/>
      <c r="Z427" s="1054"/>
      <c r="AA427" s="1054"/>
      <c r="AB427" s="1054"/>
      <c r="AC427" s="1054"/>
      <c r="AD427" s="1054"/>
      <c r="AE427" s="1054"/>
      <c r="AF427" s="1054"/>
      <c r="AG427" s="1054"/>
      <c r="AH427" s="1054"/>
      <c r="AI427" s="1054"/>
      <c r="AJ427" s="1054"/>
      <c r="AK427" s="1054"/>
      <c r="AL427" s="1054"/>
      <c r="AM427" s="1054"/>
      <c r="AN427" s="1054"/>
      <c r="AO427" s="1054"/>
      <c r="AP427" s="1054"/>
      <c r="AQ427" s="1054"/>
      <c r="AR427" s="1054"/>
      <c r="AS427" s="1054"/>
      <c r="AT427" s="1054"/>
      <c r="AU427" s="1054"/>
      <c r="AV427" s="1054"/>
      <c r="AW427" s="1054"/>
      <c r="AX427" s="1054"/>
      <c r="AY427" s="1054"/>
      <c r="AZ427" s="1054"/>
      <c r="BA427" s="1054"/>
      <c r="BB427" s="1054"/>
      <c r="BC427" s="1054"/>
      <c r="BD427" s="1054"/>
      <c r="BE427" s="1054"/>
      <c r="BF427" s="1054"/>
      <c r="BG427" s="1056"/>
    </row>
    <row r="428" spans="1:59" x14ac:dyDescent="0.15">
      <c r="A428" s="1050"/>
      <c r="B428" s="1064"/>
      <c r="C428" s="1054"/>
      <c r="D428" s="1054"/>
      <c r="E428" s="1054"/>
      <c r="F428" s="1054"/>
      <c r="G428" s="1054"/>
      <c r="H428" s="1054"/>
      <c r="I428" s="1054"/>
      <c r="J428" s="1054"/>
      <c r="K428" s="1054"/>
      <c r="L428" s="1054"/>
      <c r="M428" s="1054"/>
      <c r="N428" s="1054"/>
      <c r="O428" s="1054"/>
      <c r="P428" s="1054"/>
      <c r="Q428" s="1054"/>
      <c r="R428" s="1054"/>
      <c r="S428" s="1054"/>
      <c r="T428" s="1054"/>
      <c r="U428" s="1054"/>
      <c r="V428" s="1054"/>
      <c r="W428" s="1054"/>
      <c r="X428" s="1054"/>
      <c r="Y428" s="1054"/>
      <c r="Z428" s="1054"/>
      <c r="AA428" s="1054"/>
      <c r="AB428" s="1054"/>
      <c r="AC428" s="1054"/>
      <c r="AD428" s="1054"/>
      <c r="AE428" s="1054"/>
      <c r="AF428" s="1747"/>
      <c r="AG428" s="1747"/>
      <c r="AH428" s="1747"/>
      <c r="AI428" s="1747"/>
      <c r="AJ428" s="1747"/>
      <c r="AK428" s="1747"/>
      <c r="AL428" s="1747"/>
      <c r="AM428" s="1747"/>
      <c r="AN428" s="1747"/>
      <c r="AO428" s="1747"/>
      <c r="AP428" s="1747"/>
      <c r="AQ428" s="1747"/>
      <c r="AR428" s="1747"/>
      <c r="AS428" s="1747"/>
      <c r="AT428" s="1747"/>
      <c r="AU428" s="1747"/>
      <c r="AV428" s="1747"/>
      <c r="AW428" s="1747"/>
      <c r="AX428" s="1747"/>
      <c r="AY428" s="1747"/>
      <c r="AZ428" s="1747"/>
      <c r="BA428" s="1747"/>
      <c r="BB428" s="1747"/>
      <c r="BC428" s="1747"/>
      <c r="BD428" s="1747"/>
      <c r="BE428" s="1054"/>
      <c r="BF428" s="1054"/>
      <c r="BG428" s="1056"/>
    </row>
    <row r="429" spans="1:59" ht="15" customHeight="1" x14ac:dyDescent="0.15">
      <c r="A429" s="1050"/>
      <c r="B429" s="1064"/>
      <c r="C429" s="1054"/>
      <c r="D429" s="1054"/>
      <c r="E429" s="1054"/>
      <c r="F429" s="1054"/>
      <c r="G429" s="1054"/>
      <c r="H429" s="1054"/>
      <c r="I429" s="1054"/>
      <c r="J429" s="1054"/>
      <c r="K429" s="1054"/>
      <c r="L429" s="1054"/>
      <c r="M429" s="1054"/>
      <c r="N429" s="1054"/>
      <c r="O429" s="1054"/>
      <c r="P429" s="1054"/>
      <c r="Q429" s="1054"/>
      <c r="R429" s="1054"/>
      <c r="S429" s="1054"/>
      <c r="T429" s="1054"/>
      <c r="U429" s="1054"/>
      <c r="V429" s="1054"/>
      <c r="W429" s="1054"/>
      <c r="X429" s="1054"/>
      <c r="Y429" s="1054"/>
      <c r="Z429" s="1054"/>
      <c r="AA429" s="1054"/>
      <c r="AB429" s="1054"/>
      <c r="AC429" s="1054"/>
      <c r="AD429" s="1054"/>
      <c r="AE429" s="1054"/>
      <c r="AF429" s="1072" t="str">
        <f>+IF('Támogatási Nyilatkozatok_all'!C367="","",'Támogatási Nyilatkozatok_all'!C367)</f>
        <v/>
      </c>
      <c r="AG429" s="1072"/>
      <c r="AH429" s="1072"/>
      <c r="AI429" s="1072"/>
      <c r="AJ429" s="1072"/>
      <c r="AK429" s="1072"/>
      <c r="AL429" s="1072"/>
      <c r="AM429" s="1072"/>
      <c r="AN429" s="1072"/>
      <c r="AO429" s="1072"/>
      <c r="AP429" s="1072"/>
      <c r="AQ429" s="1072"/>
      <c r="AR429" s="1072"/>
      <c r="AS429" s="1072"/>
      <c r="AT429" s="1072"/>
      <c r="AU429" s="1072"/>
      <c r="AV429" s="1072"/>
      <c r="AW429" s="1072"/>
      <c r="AX429" s="1072"/>
      <c r="AY429" s="1072"/>
      <c r="AZ429" s="1072"/>
      <c r="BA429" s="1072"/>
      <c r="BB429" s="1072"/>
      <c r="BC429" s="1072"/>
      <c r="BD429" s="1072"/>
      <c r="BE429" s="1054"/>
      <c r="BF429" s="1054"/>
      <c r="BG429" s="1056"/>
    </row>
    <row r="430" spans="1:59" x14ac:dyDescent="0.15">
      <c r="A430" s="1050"/>
      <c r="B430" s="1064"/>
      <c r="C430" s="1054"/>
      <c r="D430" s="1054"/>
      <c r="E430" s="1054"/>
      <c r="F430" s="1054"/>
      <c r="G430" s="1054"/>
      <c r="H430" s="1054"/>
      <c r="I430" s="1054"/>
      <c r="J430" s="1054"/>
      <c r="K430" s="1054"/>
      <c r="L430" s="1054"/>
      <c r="M430" s="1054"/>
      <c r="N430" s="1054"/>
      <c r="O430" s="1054"/>
      <c r="P430" s="1054"/>
      <c r="Q430" s="1054"/>
      <c r="R430" s="1054"/>
      <c r="S430" s="1054"/>
      <c r="T430" s="1054"/>
      <c r="U430" s="1054"/>
      <c r="V430" s="1054"/>
      <c r="W430" s="1054"/>
      <c r="X430" s="1054"/>
      <c r="Y430" s="1054"/>
      <c r="Z430" s="1054"/>
      <c r="AA430" s="1054"/>
      <c r="AB430" s="1054"/>
      <c r="AC430" s="1054"/>
      <c r="AD430" s="1054"/>
      <c r="AE430" s="1054"/>
      <c r="AF430" s="1054"/>
      <c r="AG430" s="1054"/>
      <c r="AH430" s="1054"/>
      <c r="AI430" s="1054"/>
      <c r="AJ430" s="1054"/>
      <c r="AK430" s="1054"/>
      <c r="AL430" s="1054"/>
      <c r="AM430" s="1054"/>
      <c r="AN430" s="1054"/>
      <c r="AO430" s="1054"/>
      <c r="AP430" s="1054"/>
      <c r="AQ430" s="1054"/>
      <c r="AR430" s="1054"/>
      <c r="AS430" s="1054"/>
      <c r="AT430" s="1054"/>
      <c r="AU430" s="1054"/>
      <c r="AV430" s="1054"/>
      <c r="AW430" s="1054"/>
      <c r="AX430" s="1054"/>
      <c r="AY430" s="1054"/>
      <c r="AZ430" s="1054"/>
      <c r="BA430" s="1054"/>
      <c r="BB430" s="1054"/>
      <c r="BC430" s="1054"/>
      <c r="BD430" s="1054"/>
      <c r="BE430" s="1054"/>
      <c r="BF430" s="1054"/>
      <c r="BG430" s="1056"/>
    </row>
    <row r="431" spans="1:59" x14ac:dyDescent="0.15">
      <c r="A431" s="1050"/>
      <c r="B431" s="1064"/>
      <c r="C431" s="1054"/>
      <c r="D431" s="1054"/>
      <c r="E431" s="1054"/>
      <c r="F431" s="1054"/>
      <c r="G431" s="1054"/>
      <c r="H431" s="1054"/>
      <c r="I431" s="1054"/>
      <c r="J431" s="1054"/>
      <c r="K431" s="1054"/>
      <c r="L431" s="1054"/>
      <c r="M431" s="1054"/>
      <c r="N431" s="1054"/>
      <c r="O431" s="1054"/>
      <c r="P431" s="1054"/>
      <c r="Q431" s="1054"/>
      <c r="R431" s="1054"/>
      <c r="S431" s="1054"/>
      <c r="T431" s="1054"/>
      <c r="U431" s="1054"/>
      <c r="V431" s="1054"/>
      <c r="W431" s="1054"/>
      <c r="X431" s="1054"/>
      <c r="Y431" s="1054"/>
      <c r="Z431" s="1054"/>
      <c r="AA431" s="1054"/>
      <c r="AB431" s="1054"/>
      <c r="AC431" s="1054"/>
      <c r="AD431" s="1054"/>
      <c r="AE431" s="1054"/>
      <c r="AF431" s="1054"/>
      <c r="AG431" s="1054"/>
      <c r="AH431" s="1054"/>
      <c r="AI431" s="1054"/>
      <c r="AJ431" s="1054"/>
      <c r="AK431" s="1054"/>
      <c r="AL431" s="1054"/>
      <c r="AM431" s="1054"/>
      <c r="AN431" s="1054"/>
      <c r="AO431" s="1054"/>
      <c r="AP431" s="1054"/>
      <c r="AQ431" s="1054"/>
      <c r="AR431" s="1054"/>
      <c r="AS431" s="1054"/>
      <c r="AT431" s="1054"/>
      <c r="AU431" s="1054"/>
      <c r="AV431" s="1054"/>
      <c r="AW431" s="1054"/>
      <c r="AX431" s="1054"/>
      <c r="AY431" s="1054"/>
      <c r="AZ431" s="1054"/>
      <c r="BA431" s="1054"/>
      <c r="BB431" s="1054"/>
      <c r="BC431" s="1054"/>
      <c r="BD431" s="1054"/>
      <c r="BE431" s="1054"/>
      <c r="BF431" s="1054"/>
      <c r="BG431" s="1056"/>
    </row>
    <row r="432" spans="1:59" x14ac:dyDescent="0.15">
      <c r="A432" s="1050"/>
      <c r="B432" s="1064"/>
      <c r="C432" s="1054"/>
      <c r="D432" s="1054"/>
      <c r="E432" s="1054" t="s">
        <v>797</v>
      </c>
      <c r="F432" s="1054"/>
      <c r="G432" s="1054"/>
      <c r="H432" s="1054"/>
      <c r="I432" s="1054"/>
      <c r="J432" s="1054"/>
      <c r="K432" s="1054"/>
      <c r="L432" s="1054"/>
      <c r="M432" s="1054"/>
      <c r="N432" s="1054"/>
      <c r="O432" s="1054"/>
      <c r="P432" s="1054"/>
      <c r="Q432" s="1054"/>
      <c r="R432" s="1054"/>
      <c r="S432" s="1054"/>
      <c r="T432" s="1054"/>
      <c r="U432" s="1054"/>
      <c r="V432" s="1054"/>
      <c r="W432" s="1054"/>
      <c r="X432" s="1054"/>
      <c r="Y432" s="1054"/>
      <c r="Z432" s="1054"/>
      <c r="AA432" s="1054"/>
      <c r="AB432" s="1054"/>
      <c r="AC432" s="1054"/>
      <c r="AD432" s="1054"/>
      <c r="AE432" s="1054"/>
      <c r="AF432" s="1054"/>
      <c r="AG432" s="1054"/>
      <c r="AH432" s="1054"/>
      <c r="AI432" s="1054"/>
      <c r="AJ432" s="1054"/>
      <c r="AK432" s="1054"/>
      <c r="AL432" s="1054"/>
      <c r="AM432" s="1054"/>
      <c r="AN432" s="1054"/>
      <c r="AO432" s="1054"/>
      <c r="AP432" s="1054"/>
      <c r="AQ432" s="1054"/>
      <c r="AR432" s="1054"/>
      <c r="AS432" s="1054"/>
      <c r="AT432" s="1054"/>
      <c r="AU432" s="1054"/>
      <c r="AV432" s="1054"/>
      <c r="AW432" s="1054"/>
      <c r="AX432" s="1054"/>
      <c r="AY432" s="1054"/>
      <c r="AZ432" s="1054"/>
      <c r="BA432" s="1054"/>
      <c r="BB432" s="1054"/>
      <c r="BC432" s="1054"/>
      <c r="BD432" s="1054"/>
      <c r="BE432" s="1054"/>
      <c r="BF432" s="1054"/>
      <c r="BG432" s="1056"/>
    </row>
    <row r="433" spans="1:59" x14ac:dyDescent="0.15">
      <c r="A433" s="1050"/>
      <c r="B433" s="1064"/>
      <c r="C433" s="1054"/>
      <c r="D433" s="1054"/>
      <c r="E433" s="1054" t="s">
        <v>798</v>
      </c>
      <c r="F433" s="1054"/>
      <c r="G433" s="1054"/>
      <c r="H433" s="1054"/>
      <c r="I433" s="1054"/>
      <c r="J433" s="1054"/>
      <c r="K433" s="1054"/>
      <c r="L433" s="1054"/>
      <c r="M433" s="1054"/>
      <c r="N433" s="1054"/>
      <c r="O433" s="1054"/>
      <c r="P433" s="1054"/>
      <c r="Q433" s="1054"/>
      <c r="R433" s="1054"/>
      <c r="S433" s="1054"/>
      <c r="T433" s="1054"/>
      <c r="U433" s="1054"/>
      <c r="V433" s="1054"/>
      <c r="W433" s="1054"/>
      <c r="X433" s="1054"/>
      <c r="Y433" s="1054"/>
      <c r="Z433" s="1054"/>
      <c r="AA433" s="1054"/>
      <c r="AB433" s="1054"/>
      <c r="AC433" s="1054"/>
      <c r="AD433" s="1054"/>
      <c r="AE433" s="1054"/>
      <c r="AF433" s="1054"/>
      <c r="AG433" s="1054"/>
      <c r="AH433" s="1054"/>
      <c r="AI433" s="1054"/>
      <c r="AJ433" s="1054"/>
      <c r="AK433" s="1054"/>
      <c r="AL433" s="1054"/>
      <c r="AM433" s="1054"/>
      <c r="AN433" s="1054"/>
      <c r="AO433" s="1054"/>
      <c r="AP433" s="1054"/>
      <c r="AQ433" s="1054"/>
      <c r="AR433" s="1054"/>
      <c r="AS433" s="1054"/>
      <c r="AT433" s="1054"/>
      <c r="AU433" s="1054"/>
      <c r="AV433" s="1054"/>
      <c r="AW433" s="1054"/>
      <c r="AX433" s="1054"/>
      <c r="AY433" s="1054"/>
      <c r="AZ433" s="1054"/>
      <c r="BA433" s="1054"/>
      <c r="BB433" s="1054"/>
      <c r="BC433" s="1054"/>
      <c r="BD433" s="1054"/>
      <c r="BE433" s="1054"/>
      <c r="BF433" s="1054"/>
      <c r="BG433" s="1056"/>
    </row>
    <row r="434" spans="1:59" x14ac:dyDescent="0.15">
      <c r="A434" s="1050"/>
      <c r="B434" s="1064"/>
      <c r="C434" s="1054"/>
      <c r="D434" s="1054"/>
      <c r="E434" s="1054"/>
      <c r="F434" s="1054"/>
      <c r="G434" s="1054"/>
      <c r="H434" s="1054"/>
      <c r="I434" s="1054"/>
      <c r="J434" s="1054"/>
      <c r="K434" s="1054"/>
      <c r="L434" s="1054"/>
      <c r="M434" s="1054"/>
      <c r="N434" s="1054"/>
      <c r="O434" s="1054"/>
      <c r="P434" s="1054"/>
      <c r="Q434" s="1054"/>
      <c r="R434" s="1054"/>
      <c r="S434" s="1054"/>
      <c r="T434" s="1054"/>
      <c r="U434" s="1054"/>
      <c r="V434" s="1054"/>
      <c r="W434" s="1054"/>
      <c r="X434" s="1054"/>
      <c r="Y434" s="1054"/>
      <c r="Z434" s="1054"/>
      <c r="AA434" s="1054"/>
      <c r="AB434" s="1054"/>
      <c r="AC434" s="1054"/>
      <c r="AD434" s="1054"/>
      <c r="AE434" s="1054"/>
      <c r="AF434" s="1054"/>
      <c r="AG434" s="1054"/>
      <c r="AH434" s="1054"/>
      <c r="AI434" s="1054"/>
      <c r="AJ434" s="1054"/>
      <c r="AK434" s="1054"/>
      <c r="AL434" s="1054"/>
      <c r="AM434" s="1054"/>
      <c r="AN434" s="1054"/>
      <c r="AO434" s="1054"/>
      <c r="AP434" s="1054"/>
      <c r="AQ434" s="1054"/>
      <c r="AR434" s="1054"/>
      <c r="AS434" s="1054"/>
      <c r="AT434" s="1054"/>
      <c r="AU434" s="1054"/>
      <c r="AV434" s="1054"/>
      <c r="AW434" s="1054"/>
      <c r="AX434" s="1054"/>
      <c r="AY434" s="1054"/>
      <c r="AZ434" s="1054"/>
      <c r="BA434" s="1054"/>
      <c r="BB434" s="1054"/>
      <c r="BC434" s="1054"/>
      <c r="BD434" s="1054"/>
      <c r="BE434" s="1054"/>
      <c r="BF434" s="1054"/>
      <c r="BG434" s="1056"/>
    </row>
    <row r="435" spans="1:59" x14ac:dyDescent="0.15">
      <c r="A435" s="1050"/>
      <c r="B435" s="1064"/>
      <c r="C435" s="1055"/>
      <c r="D435" s="1055"/>
      <c r="E435" s="1055" t="s">
        <v>799</v>
      </c>
      <c r="F435" s="1055"/>
      <c r="G435" s="1055"/>
      <c r="H435" s="1055"/>
      <c r="I435" s="1055"/>
      <c r="J435" s="1747"/>
      <c r="K435" s="1747"/>
      <c r="L435" s="1747"/>
      <c r="M435" s="1747"/>
      <c r="N435" s="1747"/>
      <c r="O435" s="1747"/>
      <c r="P435" s="1747"/>
      <c r="Q435" s="1747"/>
      <c r="R435" s="1747"/>
      <c r="S435" s="1747"/>
      <c r="T435" s="1747"/>
      <c r="U435" s="1747"/>
      <c r="V435" s="1747"/>
      <c r="W435" s="1747"/>
      <c r="X435" s="1747"/>
      <c r="Y435" s="1747"/>
      <c r="Z435" s="1747"/>
      <c r="AA435" s="1747"/>
      <c r="AB435" s="1747"/>
      <c r="AC435" s="1055"/>
      <c r="AD435" s="1055"/>
      <c r="AE435" s="1055"/>
      <c r="AF435" s="1055" t="s">
        <v>800</v>
      </c>
      <c r="AG435" s="1055"/>
      <c r="AH435" s="1055"/>
      <c r="AI435" s="1055"/>
      <c r="AJ435" s="1747"/>
      <c r="AK435" s="1747"/>
      <c r="AL435" s="1747"/>
      <c r="AM435" s="1747"/>
      <c r="AN435" s="1747"/>
      <c r="AO435" s="1747"/>
      <c r="AP435" s="1747"/>
      <c r="AQ435" s="1747"/>
      <c r="AR435" s="1747"/>
      <c r="AS435" s="1747"/>
      <c r="AT435" s="1747"/>
      <c r="AU435" s="1747"/>
      <c r="AV435" s="1747"/>
      <c r="AW435" s="1747"/>
      <c r="AX435" s="1747"/>
      <c r="AY435" s="1747"/>
      <c r="AZ435" s="1747"/>
      <c r="BA435" s="1747"/>
      <c r="BB435" s="1747"/>
      <c r="BC435" s="1055"/>
      <c r="BD435" s="1055"/>
      <c r="BE435" s="1055"/>
      <c r="BF435" s="1055"/>
      <c r="BG435" s="1056"/>
    </row>
    <row r="436" spans="1:59" x14ac:dyDescent="0.15">
      <c r="A436" s="1050"/>
      <c r="B436" s="1064"/>
      <c r="C436" s="1055"/>
      <c r="D436" s="1055"/>
      <c r="E436" s="1055"/>
      <c r="F436" s="1055"/>
      <c r="G436" s="1055"/>
      <c r="H436" s="1055"/>
      <c r="I436" s="1055"/>
      <c r="J436" s="1055"/>
      <c r="K436" s="1055"/>
      <c r="L436" s="1055"/>
      <c r="M436" s="1055"/>
      <c r="N436" s="1746" t="s">
        <v>315</v>
      </c>
      <c r="O436" s="1746"/>
      <c r="P436" s="1746"/>
      <c r="Q436" s="1746"/>
      <c r="R436" s="1746"/>
      <c r="S436" s="1746"/>
      <c r="T436" s="1746"/>
      <c r="U436" s="1746"/>
      <c r="V436" s="1746"/>
      <c r="W436" s="1746"/>
      <c r="X436" s="1746"/>
      <c r="Y436" s="1055"/>
      <c r="Z436" s="1055"/>
      <c r="AA436" s="1055"/>
      <c r="AB436" s="1055"/>
      <c r="AC436" s="1055"/>
      <c r="AD436" s="1055"/>
      <c r="AE436" s="1055"/>
      <c r="AF436" s="1055"/>
      <c r="AG436" s="1055"/>
      <c r="AH436" s="1055"/>
      <c r="AI436" s="1055"/>
      <c r="AJ436" s="1055"/>
      <c r="AK436" s="1055"/>
      <c r="AL436" s="1055"/>
      <c r="AM436" s="1055"/>
      <c r="AN436" s="1746" t="s">
        <v>315</v>
      </c>
      <c r="AO436" s="1746"/>
      <c r="AP436" s="1746"/>
      <c r="AQ436" s="1746"/>
      <c r="AR436" s="1746"/>
      <c r="AS436" s="1746"/>
      <c r="AT436" s="1746"/>
      <c r="AU436" s="1746"/>
      <c r="AV436" s="1746"/>
      <c r="AW436" s="1746"/>
      <c r="AX436" s="1746"/>
      <c r="AY436" s="1055"/>
      <c r="AZ436" s="1055"/>
      <c r="BA436" s="1055"/>
      <c r="BB436" s="1055"/>
      <c r="BC436" s="1055"/>
      <c r="BD436" s="1055"/>
      <c r="BE436" s="1055"/>
      <c r="BF436" s="1055"/>
      <c r="BG436" s="1056"/>
    </row>
    <row r="437" spans="1:59" x14ac:dyDescent="0.15">
      <c r="A437" s="1050"/>
      <c r="B437" s="1064"/>
      <c r="C437" s="1055"/>
      <c r="D437" s="1055"/>
      <c r="E437" s="1055"/>
      <c r="F437" s="1055"/>
      <c r="G437" s="1055"/>
      <c r="H437" s="1055"/>
      <c r="I437" s="1055"/>
      <c r="J437" s="1055"/>
      <c r="K437" s="1055"/>
      <c r="L437" s="1055"/>
      <c r="M437" s="1055"/>
      <c r="N437" s="1055"/>
      <c r="O437" s="1055"/>
      <c r="P437" s="1055"/>
      <c r="Q437" s="1055"/>
      <c r="R437" s="1055"/>
      <c r="S437" s="1055"/>
      <c r="T437" s="1055"/>
      <c r="U437" s="1055"/>
      <c r="V437" s="1055"/>
      <c r="W437" s="1055"/>
      <c r="X437" s="1055"/>
      <c r="Y437" s="1055"/>
      <c r="Z437" s="1055"/>
      <c r="AA437" s="1055"/>
      <c r="AB437" s="1055"/>
      <c r="AC437" s="1055"/>
      <c r="AD437" s="1055"/>
      <c r="AE437" s="1055"/>
      <c r="AF437" s="1055"/>
      <c r="AG437" s="1055"/>
      <c r="AH437" s="1055"/>
      <c r="AI437" s="1055"/>
      <c r="AJ437" s="1055"/>
      <c r="AK437" s="1055"/>
      <c r="AL437" s="1055"/>
      <c r="AM437" s="1055"/>
      <c r="AN437" s="1055"/>
      <c r="AO437" s="1055"/>
      <c r="AP437" s="1055"/>
      <c r="AQ437" s="1055"/>
      <c r="AR437" s="1055"/>
      <c r="AS437" s="1055"/>
      <c r="AT437" s="1055"/>
      <c r="AU437" s="1055"/>
      <c r="AV437" s="1055"/>
      <c r="AW437" s="1055"/>
      <c r="AX437" s="1055"/>
      <c r="AY437" s="1055"/>
      <c r="AZ437" s="1055"/>
      <c r="BA437" s="1055"/>
      <c r="BB437" s="1055"/>
      <c r="BC437" s="1055"/>
      <c r="BD437" s="1055"/>
      <c r="BE437" s="1055"/>
      <c r="BF437" s="1055"/>
      <c r="BG437" s="1056"/>
    </row>
    <row r="438" spans="1:59" x14ac:dyDescent="0.15">
      <c r="A438" s="1050"/>
      <c r="B438" s="1064"/>
      <c r="C438" s="1055"/>
      <c r="D438" s="1055"/>
      <c r="E438" s="1055"/>
      <c r="F438" s="1055"/>
      <c r="G438" s="1055"/>
      <c r="H438" s="1055"/>
      <c r="I438" s="1055"/>
      <c r="J438" s="1055"/>
      <c r="K438" s="1055"/>
      <c r="L438" s="1055"/>
      <c r="M438" s="1055"/>
      <c r="N438" s="1055"/>
      <c r="O438" s="1055"/>
      <c r="P438" s="1055"/>
      <c r="Q438" s="1055"/>
      <c r="R438" s="1055"/>
      <c r="S438" s="1055"/>
      <c r="T438" s="1055"/>
      <c r="U438" s="1055"/>
      <c r="V438" s="1055"/>
      <c r="W438" s="1055"/>
      <c r="X438" s="1055"/>
      <c r="Y438" s="1055"/>
      <c r="Z438" s="1055"/>
      <c r="AA438" s="1055"/>
      <c r="AB438" s="1055"/>
      <c r="AC438" s="1055"/>
      <c r="AD438" s="1055"/>
      <c r="AE438" s="1055"/>
      <c r="AF438" s="1055"/>
      <c r="AG438" s="1055"/>
      <c r="AH438" s="1055"/>
      <c r="AI438" s="1055"/>
      <c r="AJ438" s="1055"/>
      <c r="AK438" s="1055"/>
      <c r="AL438" s="1055"/>
      <c r="AM438" s="1055"/>
      <c r="AN438" s="1055"/>
      <c r="AO438" s="1055"/>
      <c r="AP438" s="1055"/>
      <c r="AQ438" s="1055"/>
      <c r="AR438" s="1055"/>
      <c r="AS438" s="1055"/>
      <c r="AT438" s="1055"/>
      <c r="AU438" s="1055"/>
      <c r="AV438" s="1055"/>
      <c r="AW438" s="1055"/>
      <c r="AX438" s="1055"/>
      <c r="AY438" s="1055"/>
      <c r="AZ438" s="1055"/>
      <c r="BA438" s="1055"/>
      <c r="BB438" s="1055"/>
      <c r="BC438" s="1055"/>
      <c r="BD438" s="1055"/>
      <c r="BE438" s="1055"/>
      <c r="BF438" s="1055"/>
      <c r="BG438" s="1056"/>
    </row>
    <row r="439" spans="1:59" x14ac:dyDescent="0.15">
      <c r="A439" s="1050"/>
      <c r="B439" s="1064"/>
      <c r="C439" s="1055"/>
      <c r="D439" s="1055"/>
      <c r="E439" s="1055"/>
      <c r="F439" s="1055"/>
      <c r="G439" s="1055"/>
      <c r="H439" s="1055"/>
      <c r="I439" s="1055"/>
      <c r="J439" s="1747"/>
      <c r="K439" s="1747"/>
      <c r="L439" s="1747"/>
      <c r="M439" s="1747"/>
      <c r="N439" s="1747"/>
      <c r="O439" s="1747"/>
      <c r="P439" s="1747"/>
      <c r="Q439" s="1747"/>
      <c r="R439" s="1747"/>
      <c r="S439" s="1747"/>
      <c r="T439" s="1747"/>
      <c r="U439" s="1747"/>
      <c r="V439" s="1747"/>
      <c r="W439" s="1747"/>
      <c r="X439" s="1747"/>
      <c r="Y439" s="1747"/>
      <c r="Z439" s="1747"/>
      <c r="AA439" s="1747"/>
      <c r="AB439" s="1747"/>
      <c r="AC439" s="1055"/>
      <c r="AD439" s="1055"/>
      <c r="AE439" s="1055"/>
      <c r="AF439" s="1055"/>
      <c r="AG439" s="1055"/>
      <c r="AH439" s="1055"/>
      <c r="AI439" s="1055"/>
      <c r="AJ439" s="1747"/>
      <c r="AK439" s="1747"/>
      <c r="AL439" s="1747"/>
      <c r="AM439" s="1747"/>
      <c r="AN439" s="1747"/>
      <c r="AO439" s="1747"/>
      <c r="AP439" s="1747"/>
      <c r="AQ439" s="1747"/>
      <c r="AR439" s="1747"/>
      <c r="AS439" s="1747"/>
      <c r="AT439" s="1747"/>
      <c r="AU439" s="1747"/>
      <c r="AV439" s="1747"/>
      <c r="AW439" s="1747"/>
      <c r="AX439" s="1747"/>
      <c r="AY439" s="1747"/>
      <c r="AZ439" s="1747"/>
      <c r="BA439" s="1747"/>
      <c r="BB439" s="1747"/>
      <c r="BC439" s="1055"/>
      <c r="BD439" s="1055"/>
      <c r="BE439" s="1055"/>
      <c r="BF439" s="1055"/>
      <c r="BG439" s="1056"/>
    </row>
    <row r="440" spans="1:59" x14ac:dyDescent="0.15">
      <c r="A440" s="1050"/>
      <c r="B440" s="1064"/>
      <c r="C440" s="1055"/>
      <c r="D440" s="1055"/>
      <c r="E440" s="1055"/>
      <c r="F440" s="1055"/>
      <c r="G440" s="1055"/>
      <c r="H440" s="1055"/>
      <c r="I440" s="1055"/>
      <c r="J440" s="1055"/>
      <c r="K440" s="1055"/>
      <c r="L440" s="1055"/>
      <c r="M440" s="1055"/>
      <c r="N440" s="1746" t="s">
        <v>316</v>
      </c>
      <c r="O440" s="1746"/>
      <c r="P440" s="1746"/>
      <c r="Q440" s="1746"/>
      <c r="R440" s="1746"/>
      <c r="S440" s="1746"/>
      <c r="T440" s="1746"/>
      <c r="U440" s="1746"/>
      <c r="V440" s="1746"/>
      <c r="W440" s="1746"/>
      <c r="X440" s="1746"/>
      <c r="Y440" s="1055"/>
      <c r="Z440" s="1055"/>
      <c r="AA440" s="1055"/>
      <c r="AB440" s="1055"/>
      <c r="AC440" s="1055"/>
      <c r="AD440" s="1055"/>
      <c r="AE440" s="1055"/>
      <c r="AF440" s="1055"/>
      <c r="AG440" s="1055"/>
      <c r="AH440" s="1055"/>
      <c r="AI440" s="1055"/>
      <c r="AJ440" s="1055"/>
      <c r="AK440" s="1055"/>
      <c r="AL440" s="1055"/>
      <c r="AM440" s="1055"/>
      <c r="AN440" s="1746" t="s">
        <v>316</v>
      </c>
      <c r="AO440" s="1746"/>
      <c r="AP440" s="1746"/>
      <c r="AQ440" s="1746"/>
      <c r="AR440" s="1746"/>
      <c r="AS440" s="1746"/>
      <c r="AT440" s="1746"/>
      <c r="AU440" s="1746"/>
      <c r="AV440" s="1746"/>
      <c r="AW440" s="1746"/>
      <c r="AX440" s="1746"/>
      <c r="AY440" s="1055"/>
      <c r="AZ440" s="1055"/>
      <c r="BA440" s="1055"/>
      <c r="BB440" s="1055"/>
      <c r="BC440" s="1055"/>
      <c r="BD440" s="1055"/>
      <c r="BE440" s="1055"/>
      <c r="BF440" s="1055"/>
      <c r="BG440" s="1056"/>
    </row>
    <row r="441" spans="1:59" x14ac:dyDescent="0.15">
      <c r="A441" s="1050"/>
      <c r="B441" s="1064"/>
      <c r="C441" s="1055"/>
      <c r="D441" s="1055"/>
      <c r="E441" s="1055"/>
      <c r="F441" s="1055"/>
      <c r="G441" s="1055"/>
      <c r="H441" s="1055"/>
      <c r="I441" s="1055"/>
      <c r="J441" s="1055"/>
      <c r="K441" s="1055"/>
      <c r="L441" s="1055"/>
      <c r="M441" s="1055"/>
      <c r="N441" s="1055"/>
      <c r="O441" s="1055"/>
      <c r="P441" s="1055"/>
      <c r="Q441" s="1055"/>
      <c r="R441" s="1055"/>
      <c r="S441" s="1055"/>
      <c r="T441" s="1055"/>
      <c r="U441" s="1055"/>
      <c r="V441" s="1055"/>
      <c r="W441" s="1055"/>
      <c r="X441" s="1055"/>
      <c r="Y441" s="1055"/>
      <c r="Z441" s="1055"/>
      <c r="AA441" s="1055"/>
      <c r="AB441" s="1055"/>
      <c r="AC441" s="1055"/>
      <c r="AD441" s="1055"/>
      <c r="AE441" s="1055"/>
      <c r="AF441" s="1055"/>
      <c r="AG441" s="1055"/>
      <c r="AH441" s="1055"/>
      <c r="AI441" s="1055"/>
      <c r="AJ441" s="1055"/>
      <c r="AK441" s="1055"/>
      <c r="AL441" s="1055"/>
      <c r="AM441" s="1055"/>
      <c r="AN441" s="1055"/>
      <c r="AO441" s="1055"/>
      <c r="AP441" s="1055"/>
      <c r="AQ441" s="1055"/>
      <c r="AR441" s="1055"/>
      <c r="AS441" s="1055"/>
      <c r="AT441" s="1055"/>
      <c r="AU441" s="1055"/>
      <c r="AV441" s="1055"/>
      <c r="AW441" s="1055"/>
      <c r="AX441" s="1055"/>
      <c r="AY441" s="1055"/>
      <c r="AZ441" s="1055"/>
      <c r="BA441" s="1055"/>
      <c r="BB441" s="1055"/>
      <c r="BC441" s="1055"/>
      <c r="BD441" s="1055"/>
      <c r="BE441" s="1055"/>
      <c r="BF441" s="1055"/>
      <c r="BG441" s="1056"/>
    </row>
    <row r="442" spans="1:59" x14ac:dyDescent="0.15">
      <c r="A442" s="1050"/>
      <c r="B442" s="1064"/>
      <c r="C442" s="1055"/>
      <c r="D442" s="1055"/>
      <c r="E442" s="1055"/>
      <c r="F442" s="1055"/>
      <c r="G442" s="1055"/>
      <c r="H442" s="1055"/>
      <c r="I442" s="1055"/>
      <c r="J442" s="1055"/>
      <c r="K442" s="1055"/>
      <c r="L442" s="1055"/>
      <c r="M442" s="1055"/>
      <c r="N442" s="1055"/>
      <c r="O442" s="1055"/>
      <c r="P442" s="1055"/>
      <c r="Q442" s="1055"/>
      <c r="R442" s="1055"/>
      <c r="S442" s="1055"/>
      <c r="T442" s="1055"/>
      <c r="U442" s="1055"/>
      <c r="V442" s="1055"/>
      <c r="W442" s="1055"/>
      <c r="X442" s="1055"/>
      <c r="Y442" s="1055"/>
      <c r="Z442" s="1055"/>
      <c r="AA442" s="1055"/>
      <c r="AB442" s="1055"/>
      <c r="AC442" s="1055"/>
      <c r="AD442" s="1055"/>
      <c r="AE442" s="1055"/>
      <c r="AF442" s="1055"/>
      <c r="AG442" s="1055"/>
      <c r="AH442" s="1055"/>
      <c r="AI442" s="1055"/>
      <c r="AJ442" s="1055"/>
      <c r="AK442" s="1055"/>
      <c r="AL442" s="1055"/>
      <c r="AM442" s="1055"/>
      <c r="AN442" s="1055"/>
      <c r="AO442" s="1055"/>
      <c r="AP442" s="1055"/>
      <c r="AQ442" s="1055"/>
      <c r="AR442" s="1055"/>
      <c r="AS442" s="1055"/>
      <c r="AT442" s="1055"/>
      <c r="AU442" s="1055"/>
      <c r="AV442" s="1055"/>
      <c r="AW442" s="1055"/>
      <c r="AX442" s="1055"/>
      <c r="AY442" s="1055"/>
      <c r="AZ442" s="1055"/>
      <c r="BA442" s="1055"/>
      <c r="BB442" s="1055"/>
      <c r="BC442" s="1055"/>
      <c r="BD442" s="1055"/>
      <c r="BE442" s="1055"/>
      <c r="BF442" s="1055"/>
      <c r="BG442" s="1056"/>
    </row>
    <row r="443" spans="1:59" x14ac:dyDescent="0.15">
      <c r="A443" s="1050"/>
      <c r="B443" s="1064"/>
      <c r="C443" s="1055"/>
      <c r="D443" s="1055"/>
      <c r="E443" s="1055"/>
      <c r="F443" s="1055"/>
      <c r="G443" s="1055"/>
      <c r="H443" s="1055"/>
      <c r="I443" s="1055"/>
      <c r="J443" s="1747"/>
      <c r="K443" s="1747"/>
      <c r="L443" s="1747"/>
      <c r="M443" s="1747"/>
      <c r="N443" s="1747"/>
      <c r="O443" s="1747"/>
      <c r="P443" s="1747"/>
      <c r="Q443" s="1747"/>
      <c r="R443" s="1747"/>
      <c r="S443" s="1747"/>
      <c r="T443" s="1747"/>
      <c r="U443" s="1747"/>
      <c r="V443" s="1747"/>
      <c r="W443" s="1747"/>
      <c r="X443" s="1747"/>
      <c r="Y443" s="1747"/>
      <c r="Z443" s="1747"/>
      <c r="AA443" s="1747"/>
      <c r="AB443" s="1747"/>
      <c r="AC443" s="1055"/>
      <c r="AD443" s="1055"/>
      <c r="AE443" s="1055"/>
      <c r="AF443" s="1055"/>
      <c r="AG443" s="1055"/>
      <c r="AH443" s="1055"/>
      <c r="AI443" s="1055"/>
      <c r="AJ443" s="1747"/>
      <c r="AK443" s="1747"/>
      <c r="AL443" s="1747"/>
      <c r="AM443" s="1747"/>
      <c r="AN443" s="1747"/>
      <c r="AO443" s="1747"/>
      <c r="AP443" s="1747"/>
      <c r="AQ443" s="1747"/>
      <c r="AR443" s="1747"/>
      <c r="AS443" s="1747"/>
      <c r="AT443" s="1747"/>
      <c r="AU443" s="1747"/>
      <c r="AV443" s="1747"/>
      <c r="AW443" s="1747"/>
      <c r="AX443" s="1747"/>
      <c r="AY443" s="1747"/>
      <c r="AZ443" s="1747"/>
      <c r="BA443" s="1747"/>
      <c r="BB443" s="1747"/>
      <c r="BC443" s="1055"/>
      <c r="BD443" s="1055"/>
      <c r="BE443" s="1055"/>
      <c r="BF443" s="1055"/>
      <c r="BG443" s="1056"/>
    </row>
    <row r="444" spans="1:59" x14ac:dyDescent="0.15">
      <c r="A444" s="1050"/>
      <c r="B444" s="1064"/>
      <c r="C444" s="1055"/>
      <c r="D444" s="1055"/>
      <c r="E444" s="1055"/>
      <c r="F444" s="1055"/>
      <c r="G444" s="1055"/>
      <c r="H444" s="1055"/>
      <c r="I444" s="1055"/>
      <c r="J444" s="1055"/>
      <c r="K444" s="1055"/>
      <c r="L444" s="1055"/>
      <c r="M444" s="1055"/>
      <c r="N444" s="1746" t="s">
        <v>801</v>
      </c>
      <c r="O444" s="1746"/>
      <c r="P444" s="1746"/>
      <c r="Q444" s="1746"/>
      <c r="R444" s="1746"/>
      <c r="S444" s="1746"/>
      <c r="T444" s="1746"/>
      <c r="U444" s="1746"/>
      <c r="V444" s="1746"/>
      <c r="W444" s="1746"/>
      <c r="X444" s="1746"/>
      <c r="Y444" s="1055"/>
      <c r="Z444" s="1055"/>
      <c r="AA444" s="1055"/>
      <c r="AB444" s="1055"/>
      <c r="AC444" s="1055"/>
      <c r="AD444" s="1055"/>
      <c r="AE444" s="1055"/>
      <c r="AF444" s="1055"/>
      <c r="AG444" s="1055"/>
      <c r="AH444" s="1055"/>
      <c r="AI444" s="1055"/>
      <c r="AJ444" s="1055"/>
      <c r="AK444" s="1055"/>
      <c r="AL444" s="1055"/>
      <c r="AM444" s="1055"/>
      <c r="AN444" s="1746" t="s">
        <v>801</v>
      </c>
      <c r="AO444" s="1746"/>
      <c r="AP444" s="1746"/>
      <c r="AQ444" s="1746"/>
      <c r="AR444" s="1746"/>
      <c r="AS444" s="1746"/>
      <c r="AT444" s="1746"/>
      <c r="AU444" s="1746"/>
      <c r="AV444" s="1746"/>
      <c r="AW444" s="1746"/>
      <c r="AX444" s="1746"/>
      <c r="AY444" s="1055"/>
      <c r="AZ444" s="1055"/>
      <c r="BA444" s="1055"/>
      <c r="BB444" s="1055"/>
      <c r="BC444" s="1055"/>
      <c r="BD444" s="1055"/>
      <c r="BE444" s="1055"/>
      <c r="BF444" s="1055"/>
      <c r="BG444" s="1056"/>
    </row>
    <row r="445" spans="1:59" x14ac:dyDescent="0.15">
      <c r="A445" s="1050"/>
      <c r="B445" s="1064"/>
      <c r="C445" s="1055"/>
      <c r="D445" s="1055"/>
      <c r="E445" s="1055"/>
      <c r="F445" s="1055"/>
      <c r="G445" s="1055"/>
      <c r="H445" s="1055"/>
      <c r="I445" s="1055"/>
      <c r="J445" s="1055"/>
      <c r="K445" s="1055"/>
      <c r="L445" s="1055"/>
      <c r="M445" s="1055"/>
      <c r="N445" s="1055"/>
      <c r="O445" s="1055"/>
      <c r="P445" s="1055"/>
      <c r="Q445" s="1055"/>
      <c r="R445" s="1055"/>
      <c r="S445" s="1055"/>
      <c r="T445" s="1055"/>
      <c r="U445" s="1055"/>
      <c r="V445" s="1055"/>
      <c r="W445" s="1055"/>
      <c r="X445" s="1055"/>
      <c r="Y445" s="1055"/>
      <c r="Z445" s="1055"/>
      <c r="AA445" s="1055"/>
      <c r="AB445" s="1055"/>
      <c r="AC445" s="1055"/>
      <c r="AD445" s="1055"/>
      <c r="AE445" s="1055"/>
      <c r="AF445" s="1055"/>
      <c r="AG445" s="1055"/>
      <c r="AH445" s="1055"/>
      <c r="AI445" s="1055"/>
      <c r="AJ445" s="1055"/>
      <c r="AK445" s="1055"/>
      <c r="AL445" s="1055"/>
      <c r="AM445" s="1055"/>
      <c r="AN445" s="1055"/>
      <c r="AO445" s="1055"/>
      <c r="AP445" s="1055"/>
      <c r="AQ445" s="1055"/>
      <c r="AR445" s="1055"/>
      <c r="AS445" s="1055"/>
      <c r="AT445" s="1055"/>
      <c r="AU445" s="1055"/>
      <c r="AV445" s="1055"/>
      <c r="AW445" s="1055"/>
      <c r="AX445" s="1055"/>
      <c r="AY445" s="1055"/>
      <c r="AZ445" s="1055"/>
      <c r="BA445" s="1055"/>
      <c r="BB445" s="1055"/>
      <c r="BC445" s="1055"/>
      <c r="BD445" s="1055"/>
      <c r="BE445" s="1055"/>
      <c r="BF445" s="1055"/>
      <c r="BG445" s="1056"/>
    </row>
    <row r="446" spans="1:59" x14ac:dyDescent="0.15">
      <c r="A446" s="1050"/>
      <c r="B446" s="1064"/>
      <c r="C446" s="1055"/>
      <c r="D446" s="1055"/>
      <c r="E446" s="1055"/>
      <c r="F446" s="1055"/>
      <c r="G446" s="1055"/>
      <c r="H446" s="1055"/>
      <c r="I446" s="1055"/>
      <c r="J446" s="1055"/>
      <c r="K446" s="1055"/>
      <c r="L446" s="1055"/>
      <c r="M446" s="1055"/>
      <c r="N446" s="1055"/>
      <c r="O446" s="1055"/>
      <c r="P446" s="1055"/>
      <c r="Q446" s="1055"/>
      <c r="R446" s="1055"/>
      <c r="S446" s="1055"/>
      <c r="T446" s="1055"/>
      <c r="U446" s="1055"/>
      <c r="V446" s="1055"/>
      <c r="W446" s="1055"/>
      <c r="X446" s="1055"/>
      <c r="Y446" s="1055"/>
      <c r="Z446" s="1055"/>
      <c r="AA446" s="1055"/>
      <c r="AB446" s="1055"/>
      <c r="AC446" s="1055"/>
      <c r="AD446" s="1055"/>
      <c r="AE446" s="1055"/>
      <c r="AF446" s="1055"/>
      <c r="AG446" s="1055"/>
      <c r="AH446" s="1055"/>
      <c r="AI446" s="1055"/>
      <c r="AJ446" s="1055"/>
      <c r="AK446" s="1055"/>
      <c r="AL446" s="1055"/>
      <c r="AM446" s="1055"/>
      <c r="AN446" s="1055"/>
      <c r="AO446" s="1055"/>
      <c r="AP446" s="1055"/>
      <c r="AQ446" s="1055"/>
      <c r="AR446" s="1055"/>
      <c r="AS446" s="1055"/>
      <c r="AT446" s="1055"/>
      <c r="AU446" s="1055"/>
      <c r="AV446" s="1055"/>
      <c r="AW446" s="1055"/>
      <c r="AX446" s="1055"/>
      <c r="AY446" s="1055"/>
      <c r="AZ446" s="1055"/>
      <c r="BA446" s="1055"/>
      <c r="BB446" s="1055"/>
      <c r="BC446" s="1055"/>
      <c r="BD446" s="1055"/>
      <c r="BE446" s="1055"/>
      <c r="BF446" s="1055"/>
      <c r="BG446" s="1056"/>
    </row>
    <row r="447" spans="1:59" x14ac:dyDescent="0.15">
      <c r="A447" s="1050"/>
      <c r="B447" s="1064"/>
      <c r="C447" s="1055"/>
      <c r="D447" s="1055"/>
      <c r="E447" s="1055"/>
      <c r="F447" s="1055"/>
      <c r="G447" s="1055"/>
      <c r="H447" s="1055"/>
      <c r="I447" s="1055"/>
      <c r="J447" s="1747"/>
      <c r="K447" s="1747"/>
      <c r="L447" s="1747"/>
      <c r="M447" s="1747"/>
      <c r="N447" s="1747"/>
      <c r="O447" s="1747"/>
      <c r="P447" s="1747"/>
      <c r="Q447" s="1747"/>
      <c r="R447" s="1747"/>
      <c r="S447" s="1747"/>
      <c r="T447" s="1747"/>
      <c r="U447" s="1747"/>
      <c r="V447" s="1747"/>
      <c r="W447" s="1747"/>
      <c r="X447" s="1747"/>
      <c r="Y447" s="1747"/>
      <c r="Z447" s="1747"/>
      <c r="AA447" s="1747"/>
      <c r="AB447" s="1747"/>
      <c r="AC447" s="1055"/>
      <c r="AD447" s="1055"/>
      <c r="AE447" s="1055"/>
      <c r="AF447" s="1055"/>
      <c r="AG447" s="1055"/>
      <c r="AH447" s="1055"/>
      <c r="AI447" s="1055"/>
      <c r="AJ447" s="1747"/>
      <c r="AK447" s="1747"/>
      <c r="AL447" s="1747"/>
      <c r="AM447" s="1747"/>
      <c r="AN447" s="1747"/>
      <c r="AO447" s="1747"/>
      <c r="AP447" s="1747"/>
      <c r="AQ447" s="1747"/>
      <c r="AR447" s="1747"/>
      <c r="AS447" s="1747"/>
      <c r="AT447" s="1747"/>
      <c r="AU447" s="1747"/>
      <c r="AV447" s="1747"/>
      <c r="AW447" s="1747"/>
      <c r="AX447" s="1747"/>
      <c r="AY447" s="1747"/>
      <c r="AZ447" s="1747"/>
      <c r="BA447" s="1747"/>
      <c r="BB447" s="1747"/>
      <c r="BC447" s="1055"/>
      <c r="BD447" s="1055"/>
      <c r="BE447" s="1055"/>
      <c r="BF447" s="1055"/>
      <c r="BG447" s="1056"/>
    </row>
    <row r="448" spans="1:59" x14ac:dyDescent="0.15">
      <c r="A448" s="1050"/>
      <c r="B448" s="1064"/>
      <c r="C448" s="1055"/>
      <c r="D448" s="1055"/>
      <c r="E448" s="1055"/>
      <c r="F448" s="1055"/>
      <c r="G448" s="1055"/>
      <c r="H448" s="1055"/>
      <c r="I448" s="1055"/>
      <c r="J448" s="1055"/>
      <c r="K448" s="1055"/>
      <c r="L448" s="1055"/>
      <c r="M448" s="1055"/>
      <c r="N448" s="1746" t="s">
        <v>802</v>
      </c>
      <c r="O448" s="1746"/>
      <c r="P448" s="1746"/>
      <c r="Q448" s="1746"/>
      <c r="R448" s="1746"/>
      <c r="S448" s="1746"/>
      <c r="T448" s="1746"/>
      <c r="U448" s="1746"/>
      <c r="V448" s="1746"/>
      <c r="W448" s="1746"/>
      <c r="X448" s="1746"/>
      <c r="Y448" s="1055"/>
      <c r="Z448" s="1055"/>
      <c r="AA448" s="1055"/>
      <c r="AB448" s="1055"/>
      <c r="AC448" s="1055"/>
      <c r="AD448" s="1055"/>
      <c r="AE448" s="1055"/>
      <c r="AF448" s="1055"/>
      <c r="AG448" s="1055"/>
      <c r="AH448" s="1055"/>
      <c r="AI448" s="1055"/>
      <c r="AJ448" s="1055"/>
      <c r="AK448" s="1055"/>
      <c r="AL448" s="1055"/>
      <c r="AM448" s="1055"/>
      <c r="AN448" s="1746" t="s">
        <v>802</v>
      </c>
      <c r="AO448" s="1746"/>
      <c r="AP448" s="1746"/>
      <c r="AQ448" s="1746"/>
      <c r="AR448" s="1746"/>
      <c r="AS448" s="1746"/>
      <c r="AT448" s="1746"/>
      <c r="AU448" s="1746"/>
      <c r="AV448" s="1746"/>
      <c r="AW448" s="1746"/>
      <c r="AX448" s="1746"/>
      <c r="AY448" s="1055"/>
      <c r="AZ448" s="1055"/>
      <c r="BA448" s="1055"/>
      <c r="BB448" s="1055"/>
      <c r="BC448" s="1055"/>
      <c r="BD448" s="1055"/>
      <c r="BE448" s="1055"/>
      <c r="BF448" s="1055"/>
      <c r="BG448" s="1056"/>
    </row>
    <row r="449" spans="1:59" x14ac:dyDescent="0.15">
      <c r="A449" s="1050"/>
      <c r="B449" s="1064"/>
      <c r="C449" s="1760"/>
      <c r="D449" s="1760"/>
      <c r="E449" s="1760"/>
      <c r="F449" s="1760"/>
      <c r="G449" s="1760"/>
      <c r="H449" s="1760"/>
      <c r="I449" s="1760"/>
      <c r="J449" s="1760"/>
      <c r="K449" s="1760"/>
      <c r="L449" s="1760"/>
      <c r="M449" s="1760"/>
      <c r="N449" s="1760"/>
      <c r="O449" s="1760"/>
      <c r="P449" s="1760"/>
      <c r="Q449" s="1760"/>
      <c r="R449" s="1760"/>
      <c r="S449" s="1760"/>
      <c r="T449" s="1760"/>
      <c r="U449" s="1760"/>
      <c r="V449" s="1760"/>
      <c r="W449" s="1760"/>
      <c r="X449" s="1760"/>
      <c r="Y449" s="1760"/>
      <c r="Z449" s="1760"/>
      <c r="AA449" s="1760"/>
      <c r="AB449" s="1760"/>
      <c r="AC449" s="1760"/>
      <c r="AD449" s="1760"/>
      <c r="AE449" s="1760"/>
      <c r="AF449" s="1760"/>
      <c r="AG449" s="1760"/>
      <c r="AH449" s="1760"/>
      <c r="AI449" s="1760"/>
      <c r="AJ449" s="1760"/>
      <c r="AK449" s="1760"/>
      <c r="AL449" s="1760"/>
      <c r="AM449" s="1760"/>
      <c r="AN449" s="1760"/>
      <c r="AO449" s="1760"/>
      <c r="AP449" s="1760"/>
      <c r="AQ449" s="1760"/>
      <c r="AR449" s="1760"/>
      <c r="AS449" s="1760"/>
      <c r="AT449" s="1760"/>
      <c r="AU449" s="1760"/>
      <c r="AV449" s="1760"/>
      <c r="AW449" s="1760"/>
      <c r="AX449" s="1760"/>
      <c r="AY449" s="1760"/>
      <c r="AZ449" s="1760"/>
      <c r="BA449" s="1760"/>
      <c r="BB449" s="1760"/>
      <c r="BC449" s="1760"/>
      <c r="BD449" s="1760"/>
      <c r="BE449" s="1760"/>
      <c r="BF449" s="1760"/>
      <c r="BG449" s="1056"/>
    </row>
    <row r="450" spans="1:59" x14ac:dyDescent="0.15">
      <c r="A450" s="1050"/>
      <c r="B450" s="1065"/>
      <c r="C450" s="1747"/>
      <c r="D450" s="1747"/>
      <c r="E450" s="1747"/>
      <c r="F450" s="1747"/>
      <c r="G450" s="1747"/>
      <c r="H450" s="1747"/>
      <c r="I450" s="1747"/>
      <c r="J450" s="1747"/>
      <c r="K450" s="1747"/>
      <c r="L450" s="1747"/>
      <c r="M450" s="1747"/>
      <c r="N450" s="1747"/>
      <c r="O450" s="1747"/>
      <c r="P450" s="1747"/>
      <c r="Q450" s="1747"/>
      <c r="R450" s="1747"/>
      <c r="S450" s="1747"/>
      <c r="T450" s="1747"/>
      <c r="U450" s="1747"/>
      <c r="V450" s="1747"/>
      <c r="W450" s="1747"/>
      <c r="X450" s="1747"/>
      <c r="Y450" s="1747"/>
      <c r="Z450" s="1747"/>
      <c r="AA450" s="1747"/>
      <c r="AB450" s="1747"/>
      <c r="AC450" s="1747"/>
      <c r="AD450" s="1747"/>
      <c r="AE450" s="1747"/>
      <c r="AF450" s="1747"/>
      <c r="AG450" s="1747"/>
      <c r="AH450" s="1747"/>
      <c r="AI450" s="1747"/>
      <c r="AJ450" s="1747"/>
      <c r="AK450" s="1747"/>
      <c r="AL450" s="1747"/>
      <c r="AM450" s="1747"/>
      <c r="AN450" s="1747"/>
      <c r="AO450" s="1747"/>
      <c r="AP450" s="1747"/>
      <c r="AQ450" s="1747"/>
      <c r="AR450" s="1747"/>
      <c r="AS450" s="1747"/>
      <c r="AT450" s="1747"/>
      <c r="AU450" s="1747"/>
      <c r="AV450" s="1747"/>
      <c r="AW450" s="1747"/>
      <c r="AX450" s="1747"/>
      <c r="AY450" s="1747"/>
      <c r="AZ450" s="1747"/>
      <c r="BA450" s="1747"/>
      <c r="BB450" s="1747"/>
      <c r="BC450" s="1747"/>
      <c r="BD450" s="1747"/>
      <c r="BE450" s="1747"/>
      <c r="BF450" s="1747"/>
      <c r="BG450" s="1067"/>
    </row>
    <row r="451" spans="1:59" x14ac:dyDescent="0.15">
      <c r="A451" s="1050"/>
      <c r="B451" s="1050"/>
      <c r="C451" s="1050"/>
      <c r="D451" s="1050"/>
      <c r="E451" s="1050"/>
      <c r="F451" s="1050"/>
      <c r="G451" s="1050"/>
      <c r="H451" s="1050"/>
      <c r="I451" s="1050"/>
      <c r="J451" s="1050"/>
      <c r="K451" s="1050"/>
      <c r="L451" s="1050"/>
      <c r="M451" s="1050"/>
      <c r="N451" s="1050"/>
      <c r="O451" s="1050"/>
      <c r="P451" s="1050"/>
      <c r="Q451" s="1050"/>
      <c r="R451" s="1050"/>
      <c r="S451" s="1050"/>
      <c r="T451" s="1050"/>
      <c r="U451" s="1050"/>
      <c r="V451" s="1050"/>
      <c r="W451" s="1050"/>
      <c r="X451" s="1050"/>
      <c r="Y451" s="1050"/>
      <c r="Z451" s="1050"/>
      <c r="AA451" s="1050"/>
      <c r="AB451" s="1050"/>
      <c r="AC451" s="1050"/>
      <c r="AD451" s="1050"/>
      <c r="AE451" s="1050"/>
      <c r="AF451" s="1050"/>
      <c r="AG451" s="1050"/>
      <c r="AH451" s="1050"/>
      <c r="AI451" s="1050"/>
      <c r="AJ451" s="1050"/>
      <c r="AK451" s="1050"/>
      <c r="AL451" s="1050"/>
      <c r="AM451" s="1050"/>
      <c r="AN451" s="1050"/>
      <c r="AO451" s="1050"/>
      <c r="AP451" s="1050"/>
      <c r="AQ451" s="1050"/>
      <c r="AR451" s="1050"/>
      <c r="AS451" s="1050"/>
      <c r="AT451" s="1050"/>
      <c r="AU451" s="1050"/>
      <c r="AV451" s="1050"/>
      <c r="AW451" s="1050"/>
      <c r="AX451" s="1050"/>
      <c r="AY451" s="1050"/>
      <c r="AZ451" s="1050"/>
      <c r="BA451" s="1050"/>
      <c r="BB451" s="1050"/>
      <c r="BC451" s="1050"/>
      <c r="BD451" s="1050"/>
      <c r="BE451" s="1050"/>
      <c r="BF451" s="1050"/>
      <c r="BG451" s="1050"/>
    </row>
    <row r="452" spans="1:59" x14ac:dyDescent="0.15">
      <c r="A452" s="1050"/>
      <c r="B452" s="1762" t="str">
        <f>+IF(Hitelprog_Rovid="","",Hitelprog_Rovid)</f>
        <v/>
      </c>
      <c r="C452" s="1762"/>
      <c r="D452" s="1762"/>
      <c r="E452" s="1762"/>
      <c r="F452" s="1762"/>
      <c r="G452" s="1762"/>
      <c r="H452" s="1762"/>
      <c r="I452" s="1762"/>
      <c r="J452" s="1762"/>
      <c r="K452" s="1762"/>
      <c r="L452" s="1762"/>
      <c r="M452" s="1762"/>
      <c r="N452" s="1762"/>
      <c r="O452" s="1762"/>
      <c r="P452" s="1762"/>
      <c r="Q452" s="1762"/>
      <c r="R452" s="1762"/>
      <c r="S452" s="1762"/>
      <c r="T452" s="1762"/>
      <c r="U452" s="1762"/>
      <c r="V452" s="1762"/>
      <c r="W452" s="1762"/>
      <c r="X452" s="1762"/>
      <c r="Y452" s="1762"/>
      <c r="Z452" s="1762"/>
      <c r="AA452" s="1762"/>
      <c r="AB452" s="1762"/>
      <c r="AC452" s="1762"/>
      <c r="AD452" s="1762"/>
      <c r="AE452" s="1762"/>
      <c r="AF452" s="1762"/>
      <c r="AG452" s="1762"/>
      <c r="AH452" s="1762"/>
      <c r="AI452" s="1762"/>
      <c r="AJ452" s="1762"/>
      <c r="AK452" s="1762"/>
      <c r="AL452" s="1762"/>
      <c r="AM452" s="1762"/>
      <c r="AN452" s="1762"/>
      <c r="AO452" s="1762"/>
      <c r="AP452" s="1762"/>
      <c r="AQ452" s="1762"/>
      <c r="AR452" s="1762"/>
      <c r="AS452" s="1762"/>
      <c r="AT452" s="1762"/>
      <c r="AU452" s="1762"/>
      <c r="AV452" s="1762"/>
      <c r="AW452" s="1762"/>
      <c r="AX452" s="1762"/>
      <c r="AY452" s="1762"/>
      <c r="AZ452" s="1762"/>
      <c r="BA452" s="1762"/>
      <c r="BB452" s="1762"/>
      <c r="BC452" s="1762"/>
      <c r="BD452" s="1762"/>
      <c r="BE452" s="1762"/>
      <c r="BF452" s="1762"/>
      <c r="BG452" s="1762"/>
    </row>
    <row r="453" spans="1:59" x14ac:dyDescent="0.15">
      <c r="A453" s="1050"/>
      <c r="B453" s="1762"/>
      <c r="C453" s="1762"/>
      <c r="D453" s="1762"/>
      <c r="E453" s="1762"/>
      <c r="F453" s="1762"/>
      <c r="G453" s="1762"/>
      <c r="H453" s="1762"/>
      <c r="I453" s="1762"/>
      <c r="J453" s="1762"/>
      <c r="K453" s="1762"/>
      <c r="L453" s="1762"/>
      <c r="M453" s="1762"/>
      <c r="N453" s="1762"/>
      <c r="O453" s="1762"/>
      <c r="P453" s="1762"/>
      <c r="Q453" s="1762"/>
      <c r="R453" s="1762"/>
      <c r="S453" s="1762"/>
      <c r="T453" s="1762"/>
      <c r="U453" s="1762"/>
      <c r="V453" s="1762"/>
      <c r="W453" s="1762"/>
      <c r="X453" s="1762"/>
      <c r="Y453" s="1762"/>
      <c r="Z453" s="1762"/>
      <c r="AA453" s="1762"/>
      <c r="AB453" s="1762"/>
      <c r="AC453" s="1762"/>
      <c r="AD453" s="1762"/>
      <c r="AE453" s="1762"/>
      <c r="AF453" s="1762"/>
      <c r="AG453" s="1762"/>
      <c r="AH453" s="1762"/>
      <c r="AI453" s="1762"/>
      <c r="AJ453" s="1762"/>
      <c r="AK453" s="1762"/>
      <c r="AL453" s="1762"/>
      <c r="AM453" s="1762"/>
      <c r="AN453" s="1762"/>
      <c r="AO453" s="1762"/>
      <c r="AP453" s="1762"/>
      <c r="AQ453" s="1762"/>
      <c r="AR453" s="1762"/>
      <c r="AS453" s="1762"/>
      <c r="AT453" s="1762"/>
      <c r="AU453" s="1762"/>
      <c r="AV453" s="1762"/>
      <c r="AW453" s="1762"/>
      <c r="AX453" s="1762"/>
      <c r="AY453" s="1762"/>
      <c r="AZ453" s="1762"/>
      <c r="BA453" s="1762"/>
      <c r="BB453" s="1762"/>
      <c r="BC453" s="1762"/>
      <c r="BD453" s="1762"/>
      <c r="BE453" s="1762"/>
      <c r="BF453" s="1762"/>
      <c r="BG453" s="1762"/>
    </row>
    <row r="454" spans="1:59" x14ac:dyDescent="0.15">
      <c r="A454" s="1752"/>
      <c r="B454" s="1752"/>
      <c r="C454" s="1752"/>
      <c r="D454" s="1752"/>
      <c r="E454" s="1050"/>
      <c r="F454" s="1050"/>
      <c r="G454" s="1050"/>
      <c r="H454" s="1050"/>
      <c r="I454" s="1050"/>
      <c r="J454" s="1050"/>
      <c r="K454" s="1050"/>
      <c r="L454" s="1050"/>
      <c r="M454" s="1050"/>
      <c r="N454" s="1050"/>
      <c r="O454" s="1050"/>
      <c r="P454" s="1050"/>
      <c r="Q454" s="1050"/>
      <c r="R454" s="1050"/>
      <c r="S454" s="1050"/>
      <c r="T454" s="1050"/>
      <c r="U454" s="1050"/>
      <c r="V454" s="1050"/>
      <c r="W454" s="1050"/>
      <c r="X454" s="1050"/>
      <c r="Y454" s="1050"/>
      <c r="Z454" s="1050"/>
      <c r="AA454" s="1050"/>
      <c r="AB454" s="1050"/>
      <c r="AC454" s="1050"/>
      <c r="AD454" s="1050"/>
      <c r="AE454" s="1050"/>
      <c r="AF454" s="1050"/>
      <c r="AG454" s="1050"/>
      <c r="AH454" s="1050"/>
      <c r="AI454" s="1050"/>
      <c r="AJ454" s="1050"/>
      <c r="AK454" s="1050"/>
      <c r="AL454" s="1050"/>
      <c r="AM454" s="1050"/>
      <c r="AN454" s="1050"/>
      <c r="AO454" s="1050"/>
      <c r="AP454" s="1050"/>
      <c r="AQ454" s="1050"/>
      <c r="AR454" s="1050"/>
      <c r="AS454" s="1050"/>
      <c r="AT454" s="1050"/>
      <c r="AU454" s="1050"/>
      <c r="AV454" s="1050"/>
      <c r="AW454" s="1050"/>
      <c r="AX454" s="1050"/>
      <c r="AY454" s="1050"/>
      <c r="AZ454" s="1050"/>
      <c r="BA454" s="1050"/>
      <c r="BB454" s="1050"/>
      <c r="BC454" s="1050"/>
      <c r="BD454" s="1050"/>
      <c r="BE454" s="1050"/>
      <c r="BF454" s="1050"/>
      <c r="BG454" s="1050"/>
    </row>
    <row r="455" spans="1:59" ht="15" thickBot="1" x14ac:dyDescent="0.2">
      <c r="A455" s="1752"/>
      <c r="B455" s="1752"/>
      <c r="C455" s="1752"/>
      <c r="D455" s="1752"/>
      <c r="E455" s="1050"/>
      <c r="F455" s="1050"/>
      <c r="G455" s="1050"/>
      <c r="H455" s="1050"/>
      <c r="I455" s="1050"/>
      <c r="J455" s="1050"/>
      <c r="K455" s="1050"/>
      <c r="L455" s="1050"/>
      <c r="M455" s="1050"/>
      <c r="N455" s="1050"/>
      <c r="O455" s="1050"/>
      <c r="P455" s="1050"/>
      <c r="Q455" s="1050"/>
      <c r="R455" s="1050"/>
      <c r="S455" s="1050"/>
      <c r="T455" s="1050"/>
      <c r="U455" s="1050"/>
      <c r="V455" s="1050"/>
      <c r="W455" s="1050"/>
      <c r="X455" s="1050"/>
      <c r="Y455" s="1050"/>
      <c r="Z455" s="1050"/>
      <c r="AA455" s="1050"/>
      <c r="AB455" s="1050"/>
      <c r="AC455" s="1050"/>
      <c r="AD455" s="1050"/>
      <c r="AE455" s="1050"/>
      <c r="AF455" s="1050"/>
      <c r="AG455" s="1050"/>
      <c r="AH455" s="1050"/>
      <c r="AI455" s="1050"/>
      <c r="AJ455" s="1050"/>
      <c r="AK455" s="1050"/>
      <c r="AL455" s="1050"/>
      <c r="AM455" s="1050"/>
      <c r="AN455" s="1050"/>
      <c r="AO455" s="1050"/>
      <c r="AP455" s="1050"/>
      <c r="AQ455" s="1050"/>
      <c r="AR455" s="1050"/>
      <c r="AS455" s="1050"/>
      <c r="AT455" s="1050"/>
      <c r="AU455" s="1050"/>
      <c r="AV455" s="1050"/>
      <c r="AW455" s="1050"/>
      <c r="AX455" s="1050"/>
      <c r="AY455" s="1050"/>
      <c r="AZ455" s="1050"/>
      <c r="BA455" s="1050"/>
      <c r="BB455" s="1050"/>
      <c r="BC455" s="1050"/>
      <c r="BD455" s="1050"/>
      <c r="BE455" s="1050"/>
      <c r="BF455" s="1050"/>
      <c r="BG455" s="1050"/>
    </row>
    <row r="456" spans="1:59" ht="28.5" customHeight="1" thickBot="1" x14ac:dyDescent="0.2">
      <c r="A456" s="1752"/>
      <c r="B456" s="1752"/>
      <c r="C456" s="1752"/>
      <c r="D456" s="1752"/>
      <c r="E456" s="1050"/>
      <c r="F456" s="1050"/>
      <c r="G456" s="1050"/>
      <c r="H456" s="1050"/>
      <c r="I456" s="1050"/>
      <c r="J456" s="1050"/>
      <c r="K456" s="1050"/>
      <c r="L456" s="1050"/>
      <c r="M456" s="1050"/>
      <c r="N456" s="1050"/>
      <c r="O456" s="1050"/>
      <c r="P456" s="1050"/>
      <c r="Q456" s="1766" t="str">
        <f>+IF(B452="MFB NHP Fix Lízing Refinanszírozási Program","FINANSZÍROZÁSI KATEGÓRIA NYILATKOZAT","TÁMOGATÁSI KATEGÓRIA NYILATKOZAT")</f>
        <v>TÁMOGATÁSI KATEGÓRIA NYILATKOZAT</v>
      </c>
      <c r="R456" s="1767"/>
      <c r="S456" s="1767"/>
      <c r="T456" s="1767"/>
      <c r="U456" s="1767"/>
      <c r="V456" s="1767"/>
      <c r="W456" s="1767"/>
      <c r="X456" s="1767"/>
      <c r="Y456" s="1767"/>
      <c r="Z456" s="1767"/>
      <c r="AA456" s="1767"/>
      <c r="AB456" s="1767"/>
      <c r="AC456" s="1767"/>
      <c r="AD456" s="1767"/>
      <c r="AE456" s="1767"/>
      <c r="AF456" s="1767"/>
      <c r="AG456" s="1767"/>
      <c r="AH456" s="1767"/>
      <c r="AI456" s="1767"/>
      <c r="AJ456" s="1767"/>
      <c r="AK456" s="1767"/>
      <c r="AL456" s="1767"/>
      <c r="AM456" s="1767"/>
      <c r="AN456" s="1767"/>
      <c r="AO456" s="1767"/>
      <c r="AP456" s="1767"/>
      <c r="AQ456" s="1767"/>
      <c r="AR456" s="1767"/>
      <c r="AS456" s="1768"/>
      <c r="AT456" s="1050"/>
      <c r="AU456" s="1050"/>
      <c r="AV456" s="1050"/>
      <c r="AW456" s="1050"/>
      <c r="AX456" s="1050"/>
      <c r="AY456" s="1050"/>
      <c r="AZ456" s="1050"/>
      <c r="BA456" s="1050"/>
      <c r="BB456" s="1050"/>
      <c r="BC456" s="1050"/>
      <c r="BD456" s="1050"/>
      <c r="BE456" s="1050"/>
      <c r="BF456" s="1050"/>
      <c r="BG456" s="1050"/>
    </row>
    <row r="457" spans="1:59" x14ac:dyDescent="0.15">
      <c r="A457" s="1752"/>
      <c r="B457" s="1752"/>
      <c r="C457" s="1752"/>
      <c r="D457" s="1752"/>
      <c r="E457" s="1050"/>
      <c r="F457" s="1050"/>
      <c r="G457" s="1050"/>
      <c r="H457" s="1050"/>
      <c r="I457" s="1050"/>
      <c r="J457" s="1050"/>
      <c r="K457" s="1050"/>
      <c r="L457" s="1050"/>
      <c r="M457" s="1050"/>
      <c r="N457" s="1050"/>
      <c r="O457" s="1050"/>
      <c r="P457" s="1050"/>
      <c r="Q457" s="1050"/>
      <c r="R457" s="1050"/>
      <c r="S457" s="1050"/>
      <c r="T457" s="1050"/>
      <c r="U457" s="1050"/>
      <c r="V457" s="1050"/>
      <c r="W457" s="1050"/>
      <c r="X457" s="1050"/>
      <c r="Y457" s="1050"/>
      <c r="Z457" s="1050"/>
      <c r="AA457" s="1050"/>
      <c r="AB457" s="1050"/>
      <c r="AC457" s="1050"/>
      <c r="AD457" s="1050"/>
      <c r="AE457" s="1050"/>
      <c r="AF457" s="1050"/>
      <c r="AG457" s="1050"/>
      <c r="AH457" s="1050"/>
      <c r="AI457" s="1050"/>
      <c r="AJ457" s="1050"/>
      <c r="AK457" s="1050"/>
      <c r="AL457" s="1050"/>
      <c r="AM457" s="1050"/>
      <c r="AN457" s="1050"/>
      <c r="AO457" s="1050"/>
      <c r="AP457" s="1050"/>
      <c r="AQ457" s="1050"/>
      <c r="AR457" s="1050"/>
      <c r="AS457" s="1050"/>
      <c r="AT457" s="1050"/>
      <c r="AU457" s="1050"/>
      <c r="AV457" s="1050"/>
      <c r="AW457" s="1050"/>
      <c r="AX457" s="1050"/>
      <c r="AY457" s="1050"/>
      <c r="AZ457" s="1050"/>
      <c r="BA457" s="1050"/>
      <c r="BB457" s="1050"/>
      <c r="BC457" s="1050"/>
      <c r="BD457" s="1050"/>
      <c r="BE457" s="1050"/>
      <c r="BF457" s="1050"/>
      <c r="BG457" s="1050"/>
    </row>
    <row r="458" spans="1:59" x14ac:dyDescent="0.15">
      <c r="A458" s="1052"/>
      <c r="B458" s="1753" t="s">
        <v>841</v>
      </c>
      <c r="C458" s="1754"/>
      <c r="D458" s="1754"/>
      <c r="E458" s="1754"/>
      <c r="F458" s="1754"/>
      <c r="G458" s="1754"/>
      <c r="H458" s="1754"/>
      <c r="I458" s="1754"/>
      <c r="J458" s="1754"/>
      <c r="K458" s="1754"/>
      <c r="L458" s="1754"/>
      <c r="M458" s="1754"/>
      <c r="N458" s="1754"/>
      <c r="O458" s="1754"/>
      <c r="P458" s="1754"/>
      <c r="Q458" s="1754"/>
      <c r="R458" s="1754"/>
      <c r="S458" s="1754"/>
      <c r="T458" s="1754"/>
      <c r="U458" s="1754"/>
      <c r="V458" s="1754"/>
      <c r="W458" s="1754"/>
      <c r="X458" s="1754"/>
      <c r="Y458" s="1754"/>
      <c r="Z458" s="1754"/>
      <c r="AA458" s="1754"/>
      <c r="AB458" s="1754"/>
      <c r="AC458" s="1754"/>
      <c r="AD458" s="1754"/>
      <c r="AE458" s="1754"/>
      <c r="AF458" s="1754"/>
      <c r="AG458" s="1754"/>
      <c r="AH458" s="1754"/>
      <c r="AI458" s="1754"/>
      <c r="AJ458" s="1754"/>
      <c r="AK458" s="1754"/>
      <c r="AL458" s="1754"/>
      <c r="AM458" s="1754"/>
      <c r="AN458" s="1754"/>
      <c r="AO458" s="1754"/>
      <c r="AP458" s="1754"/>
      <c r="AQ458" s="1754"/>
      <c r="AR458" s="1754"/>
      <c r="AS458" s="1754"/>
      <c r="AT458" s="1754"/>
      <c r="AU458" s="1754"/>
      <c r="AV458" s="1754"/>
      <c r="AW458" s="1754"/>
      <c r="AX458" s="1754"/>
      <c r="AY458" s="1754"/>
      <c r="AZ458" s="1754"/>
      <c r="BA458" s="1754"/>
      <c r="BB458" s="1754"/>
      <c r="BC458" s="1754"/>
      <c r="BD458" s="1754"/>
      <c r="BE458" s="1754"/>
      <c r="BF458" s="1754"/>
      <c r="BG458" s="1755"/>
    </row>
    <row r="459" spans="1:59" ht="15" thickBot="1" x14ac:dyDescent="0.2">
      <c r="A459" s="1052"/>
      <c r="B459" s="1053"/>
      <c r="C459" s="1054"/>
      <c r="D459" s="1054"/>
      <c r="E459" s="1055"/>
      <c r="F459" s="1055"/>
      <c r="G459" s="1055"/>
      <c r="H459" s="1055"/>
      <c r="I459" s="1055"/>
      <c r="J459" s="1055"/>
      <c r="K459" s="1055"/>
      <c r="L459" s="1055"/>
      <c r="M459" s="1055"/>
      <c r="N459" s="1055"/>
      <c r="O459" s="1055"/>
      <c r="P459" s="1055"/>
      <c r="Q459" s="1055"/>
      <c r="R459" s="1055"/>
      <c r="S459" s="1055"/>
      <c r="T459" s="1055"/>
      <c r="U459" s="1055"/>
      <c r="V459" s="1055"/>
      <c r="W459" s="1055"/>
      <c r="X459" s="1055"/>
      <c r="Y459" s="1055"/>
      <c r="Z459" s="1055"/>
      <c r="AA459" s="1055"/>
      <c r="AB459" s="1055"/>
      <c r="AC459" s="1055"/>
      <c r="AD459" s="1055"/>
      <c r="AE459" s="1055"/>
      <c r="AF459" s="1055"/>
      <c r="AG459" s="1055"/>
      <c r="AH459" s="1055"/>
      <c r="AI459" s="1055"/>
      <c r="AJ459" s="1055"/>
      <c r="AK459" s="1055"/>
      <c r="AL459" s="1055"/>
      <c r="AM459" s="1055"/>
      <c r="AN459" s="1055"/>
      <c r="AO459" s="1055"/>
      <c r="AP459" s="1055"/>
      <c r="AQ459" s="1055"/>
      <c r="AR459" s="1055"/>
      <c r="AS459" s="1055"/>
      <c r="AT459" s="1055"/>
      <c r="AU459" s="1055"/>
      <c r="AV459" s="1055"/>
      <c r="AW459" s="1055"/>
      <c r="AX459" s="1055"/>
      <c r="AY459" s="1055"/>
      <c r="AZ459" s="1055"/>
      <c r="BA459" s="1055"/>
      <c r="BB459" s="1055"/>
      <c r="BC459" s="1055"/>
      <c r="BD459" s="1055"/>
      <c r="BE459" s="1055"/>
      <c r="BF459" s="1055"/>
      <c r="BG459" s="1056"/>
    </row>
    <row r="460" spans="1:59" ht="15" thickBot="1" x14ac:dyDescent="0.2">
      <c r="A460" s="1052"/>
      <c r="B460" s="1053"/>
      <c r="C460" s="1785" t="str">
        <f>+IF(Ugyfelnyil="","",Ugyfelnyil)</f>
        <v/>
      </c>
      <c r="D460" s="1786"/>
      <c r="E460" s="1786"/>
      <c r="F460" s="1786"/>
      <c r="G460" s="1786"/>
      <c r="H460" s="1786"/>
      <c r="I460" s="1786"/>
      <c r="J460" s="1786"/>
      <c r="K460" s="1786"/>
      <c r="L460" s="1786"/>
      <c r="M460" s="1786"/>
      <c r="N460" s="1786"/>
      <c r="O460" s="1786"/>
      <c r="P460" s="1786"/>
      <c r="Q460" s="1786"/>
      <c r="R460" s="1786"/>
      <c r="S460" s="1786"/>
      <c r="T460" s="1786"/>
      <c r="U460" s="1786"/>
      <c r="V460" s="1786"/>
      <c r="W460" s="1786"/>
      <c r="X460" s="1786"/>
      <c r="Y460" s="1786"/>
      <c r="Z460" s="1786"/>
      <c r="AA460" s="1786"/>
      <c r="AB460" s="1786"/>
      <c r="AC460" s="1786"/>
      <c r="AD460" s="1786"/>
      <c r="AE460" s="1786"/>
      <c r="AF460" s="1786"/>
      <c r="AG460" s="1786"/>
      <c r="AH460" s="1786"/>
      <c r="AI460" s="1786"/>
      <c r="AJ460" s="1786"/>
      <c r="AK460" s="1786"/>
      <c r="AL460" s="1786"/>
      <c r="AM460" s="1786"/>
      <c r="AN460" s="1786"/>
      <c r="AO460" s="1786"/>
      <c r="AP460" s="1786"/>
      <c r="AQ460" s="1786"/>
      <c r="AR460" s="1786"/>
      <c r="AS460" s="1786"/>
      <c r="AT460" s="1786"/>
      <c r="AU460" s="1786"/>
      <c r="AV460" s="1786"/>
      <c r="AW460" s="1786"/>
      <c r="AX460" s="1786"/>
      <c r="AY460" s="1786"/>
      <c r="AZ460" s="1786"/>
      <c r="BA460" s="1786"/>
      <c r="BB460" s="1786"/>
      <c r="BC460" s="1786"/>
      <c r="BD460" s="1786"/>
      <c r="BE460" s="1786"/>
      <c r="BF460" s="1787"/>
      <c r="BG460" s="1056"/>
    </row>
    <row r="461" spans="1:59" x14ac:dyDescent="0.15">
      <c r="A461" s="1052"/>
      <c r="B461" s="1053"/>
      <c r="C461" s="1054"/>
      <c r="D461" s="1057" t="s">
        <v>370</v>
      </c>
      <c r="E461" s="1055"/>
      <c r="F461" s="1055"/>
      <c r="G461" s="1055"/>
      <c r="H461" s="1055"/>
      <c r="I461" s="1055"/>
      <c r="J461" s="1055"/>
      <c r="K461" s="1055"/>
      <c r="L461" s="1055"/>
      <c r="M461" s="1055"/>
      <c r="N461" s="1055"/>
      <c r="O461" s="1055"/>
      <c r="P461" s="1055"/>
      <c r="Q461" s="1055"/>
      <c r="R461" s="1055"/>
      <c r="S461" s="1055"/>
      <c r="T461" s="1055"/>
      <c r="U461" s="1055"/>
      <c r="V461" s="1055"/>
      <c r="W461" s="1055"/>
      <c r="X461" s="1055"/>
      <c r="Y461" s="1055"/>
      <c r="Z461" s="1055"/>
      <c r="AA461" s="1055"/>
      <c r="AB461" s="1055"/>
      <c r="AC461" s="1055"/>
      <c r="AD461" s="1055"/>
      <c r="AE461" s="1055"/>
      <c r="AF461" s="1055"/>
      <c r="AG461" s="1055"/>
      <c r="AH461" s="1055"/>
      <c r="AI461" s="1055"/>
      <c r="AJ461" s="1055"/>
      <c r="AK461" s="1055"/>
      <c r="AL461" s="1055"/>
      <c r="AM461" s="1055"/>
      <c r="AN461" s="1055"/>
      <c r="AO461" s="1055"/>
      <c r="AP461" s="1055"/>
      <c r="AQ461" s="1055"/>
      <c r="AR461" s="1055"/>
      <c r="AS461" s="1055"/>
      <c r="AT461" s="1055"/>
      <c r="AU461" s="1055"/>
      <c r="AV461" s="1055"/>
      <c r="AW461" s="1055"/>
      <c r="AX461" s="1055"/>
      <c r="AY461" s="1055"/>
      <c r="AZ461" s="1055"/>
      <c r="BA461" s="1055"/>
      <c r="BB461" s="1055"/>
      <c r="BC461" s="1055"/>
      <c r="BD461" s="1055"/>
      <c r="BE461" s="1055"/>
      <c r="BF461" s="1055"/>
      <c r="BG461" s="1056"/>
    </row>
    <row r="462" spans="1:59" ht="15" thickBot="1" x14ac:dyDescent="0.2">
      <c r="A462" s="1052"/>
      <c r="B462" s="1053"/>
      <c r="C462" s="1054"/>
      <c r="D462" s="1054"/>
      <c r="E462" s="1055"/>
      <c r="F462" s="1055"/>
      <c r="G462" s="1055"/>
      <c r="H462" s="1055"/>
      <c r="I462" s="1055"/>
      <c r="J462" s="1055"/>
      <c r="K462" s="1055"/>
      <c r="L462" s="1055"/>
      <c r="M462" s="1055"/>
      <c r="N462" s="1055"/>
      <c r="O462" s="1055"/>
      <c r="P462" s="1055"/>
      <c r="Q462" s="1055"/>
      <c r="R462" s="1055"/>
      <c r="S462" s="1055"/>
      <c r="T462" s="1055"/>
      <c r="U462" s="1055"/>
      <c r="V462" s="1055"/>
      <c r="W462" s="1055"/>
      <c r="X462" s="1055"/>
      <c r="Y462" s="1055"/>
      <c r="Z462" s="1055"/>
      <c r="AA462" s="1055"/>
      <c r="AB462" s="1055"/>
      <c r="AC462" s="1055"/>
      <c r="AD462" s="1055"/>
      <c r="AE462" s="1055"/>
      <c r="AF462" s="1055"/>
      <c r="AG462" s="1055"/>
      <c r="AH462" s="1055"/>
      <c r="AI462" s="1055"/>
      <c r="AJ462" s="1055"/>
      <c r="AK462" s="1055"/>
      <c r="AL462" s="1055"/>
      <c r="AM462" s="1055"/>
      <c r="AN462" s="1055"/>
      <c r="AO462" s="1055"/>
      <c r="AP462" s="1055"/>
      <c r="AQ462" s="1055"/>
      <c r="AR462" s="1055"/>
      <c r="AS462" s="1055"/>
      <c r="AT462" s="1055"/>
      <c r="AU462" s="1055"/>
      <c r="AV462" s="1055"/>
      <c r="AW462" s="1055"/>
      <c r="AX462" s="1055"/>
      <c r="AY462" s="1055"/>
      <c r="AZ462" s="1055"/>
      <c r="BA462" s="1055"/>
      <c r="BB462" s="1055"/>
      <c r="BC462" s="1055"/>
      <c r="BD462" s="1055"/>
      <c r="BE462" s="1055"/>
      <c r="BF462" s="1055"/>
      <c r="BG462" s="1056"/>
    </row>
    <row r="463" spans="1:59" ht="15" thickBot="1" x14ac:dyDescent="0.2">
      <c r="A463" s="1052"/>
      <c r="B463" s="1053"/>
      <c r="C463" s="1763" t="str">
        <f>+IF(anyanyil="","",anyanyil)</f>
        <v/>
      </c>
      <c r="D463" s="1764"/>
      <c r="E463" s="1764"/>
      <c r="F463" s="1764"/>
      <c r="G463" s="1764"/>
      <c r="H463" s="1764"/>
      <c r="I463" s="1764"/>
      <c r="J463" s="1764"/>
      <c r="K463" s="1764"/>
      <c r="L463" s="1764"/>
      <c r="M463" s="1764"/>
      <c r="N463" s="1764"/>
      <c r="O463" s="1764"/>
      <c r="P463" s="1764"/>
      <c r="Q463" s="1764"/>
      <c r="R463" s="1764"/>
      <c r="S463" s="1764"/>
      <c r="T463" s="1765"/>
      <c r="U463" s="1055"/>
      <c r="V463" s="1055"/>
      <c r="W463" s="1055"/>
      <c r="X463" s="1763" t="str">
        <f>+IF(szülnyil="","",szülnyil)</f>
        <v/>
      </c>
      <c r="Y463" s="1764"/>
      <c r="Z463" s="1764"/>
      <c r="AA463" s="1764"/>
      <c r="AB463" s="1764"/>
      <c r="AC463" s="1764"/>
      <c r="AD463" s="1764"/>
      <c r="AE463" s="1764"/>
      <c r="AF463" s="1764"/>
      <c r="AG463" s="1764"/>
      <c r="AH463" s="1764"/>
      <c r="AI463" s="1764"/>
      <c r="AJ463" s="1764"/>
      <c r="AK463" s="1764"/>
      <c r="AL463" s="1764"/>
      <c r="AM463" s="1764"/>
      <c r="AN463" s="1765"/>
      <c r="AO463" s="1054"/>
      <c r="AP463" s="1054"/>
      <c r="AQ463" s="1055"/>
      <c r="AR463" s="1763" t="str">
        <f>+IF(szülidonyil="","",szülidonyil)</f>
        <v/>
      </c>
      <c r="AS463" s="1764"/>
      <c r="AT463" s="1764"/>
      <c r="AU463" s="1764"/>
      <c r="AV463" s="1764"/>
      <c r="AW463" s="1764"/>
      <c r="AX463" s="1764"/>
      <c r="AY463" s="1764"/>
      <c r="AZ463" s="1764"/>
      <c r="BA463" s="1764"/>
      <c r="BB463" s="1764"/>
      <c r="BC463" s="1764"/>
      <c r="BD463" s="1765"/>
      <c r="BE463" s="1055"/>
      <c r="BF463" s="1055"/>
      <c r="BG463" s="1056"/>
    </row>
    <row r="464" spans="1:59" x14ac:dyDescent="0.15">
      <c r="A464" s="1052"/>
      <c r="B464" s="1053"/>
      <c r="C464" s="1054" t="s">
        <v>581</v>
      </c>
      <c r="D464" s="1054"/>
      <c r="E464" s="1055"/>
      <c r="F464" s="1055"/>
      <c r="G464" s="1055"/>
      <c r="H464" s="1055"/>
      <c r="I464" s="1055"/>
      <c r="J464" s="1055"/>
      <c r="K464" s="1055"/>
      <c r="L464" s="1055"/>
      <c r="M464" s="1055"/>
      <c r="N464" s="1055"/>
      <c r="O464" s="1055"/>
      <c r="P464" s="1055"/>
      <c r="Q464" s="1055"/>
      <c r="R464" s="1055"/>
      <c r="S464" s="1055"/>
      <c r="T464" s="1055"/>
      <c r="U464" s="1055"/>
      <c r="V464" s="1055"/>
      <c r="W464" s="1055"/>
      <c r="X464" s="1055" t="s">
        <v>582</v>
      </c>
      <c r="Y464" s="1055"/>
      <c r="Z464" s="1055"/>
      <c r="AA464" s="1055"/>
      <c r="AB464" s="1055"/>
      <c r="AC464" s="1055"/>
      <c r="AD464" s="1055"/>
      <c r="AE464" s="1055"/>
      <c r="AF464" s="1055"/>
      <c r="AG464" s="1055"/>
      <c r="AH464" s="1055"/>
      <c r="AI464" s="1055"/>
      <c r="AJ464" s="1055"/>
      <c r="AK464" s="1055"/>
      <c r="AL464" s="1055"/>
      <c r="AM464" s="1055"/>
      <c r="AN464" s="1055"/>
      <c r="AO464" s="1055"/>
      <c r="AP464" s="1055"/>
      <c r="AQ464" s="1055"/>
      <c r="AR464" s="1055" t="s">
        <v>583</v>
      </c>
      <c r="AS464" s="1055"/>
      <c r="AT464" s="1055"/>
      <c r="AU464" s="1055"/>
      <c r="AV464" s="1055"/>
      <c r="AW464" s="1055"/>
      <c r="AX464" s="1055"/>
      <c r="AY464" s="1055"/>
      <c r="AZ464" s="1055"/>
      <c r="BA464" s="1055"/>
      <c r="BB464" s="1055"/>
      <c r="BC464" s="1055"/>
      <c r="BD464" s="1055"/>
      <c r="BE464" s="1055"/>
      <c r="BF464" s="1055"/>
      <c r="BG464" s="1056"/>
    </row>
    <row r="465" spans="1:59" ht="15" thickBot="1" x14ac:dyDescent="0.2">
      <c r="A465" s="1052"/>
      <c r="B465" s="1053"/>
      <c r="C465" s="1054"/>
      <c r="D465" s="1054"/>
      <c r="E465" s="1055"/>
      <c r="F465" s="1055"/>
      <c r="G465" s="1055"/>
      <c r="H465" s="1055"/>
      <c r="I465" s="1055"/>
      <c r="J465" s="1055"/>
      <c r="K465" s="1055"/>
      <c r="L465" s="1055"/>
      <c r="M465" s="1055"/>
      <c r="N465" s="1055"/>
      <c r="O465" s="1055"/>
      <c r="P465" s="1055"/>
      <c r="Q465" s="1055"/>
      <c r="R465" s="1055"/>
      <c r="S465" s="1055"/>
      <c r="T465" s="1055"/>
      <c r="U465" s="1055"/>
      <c r="V465" s="1055"/>
      <c r="W465" s="1055"/>
      <c r="X465" s="1055"/>
      <c r="Y465" s="1055"/>
      <c r="Z465" s="1055"/>
      <c r="AA465" s="1055"/>
      <c r="AB465" s="1055"/>
      <c r="AC465" s="1055"/>
      <c r="AD465" s="1055"/>
      <c r="AE465" s="1055"/>
      <c r="AF465" s="1055"/>
      <c r="AG465" s="1055"/>
      <c r="AH465" s="1055"/>
      <c r="AI465" s="1055"/>
      <c r="AJ465" s="1055"/>
      <c r="AK465" s="1055"/>
      <c r="AL465" s="1055"/>
      <c r="AM465" s="1055"/>
      <c r="AN465" s="1055"/>
      <c r="AO465" s="1055"/>
      <c r="AP465" s="1055"/>
      <c r="AQ465" s="1055"/>
      <c r="AR465" s="1055"/>
      <c r="AS465" s="1055"/>
      <c r="AT465" s="1055"/>
      <c r="AU465" s="1055"/>
      <c r="AV465" s="1055"/>
      <c r="AW465" s="1055"/>
      <c r="AX465" s="1055"/>
      <c r="AY465" s="1055"/>
      <c r="AZ465" s="1055"/>
      <c r="BA465" s="1055"/>
      <c r="BB465" s="1055"/>
      <c r="BC465" s="1055"/>
      <c r="BD465" s="1055"/>
      <c r="BE465" s="1055"/>
      <c r="BF465" s="1055"/>
      <c r="BG465" s="1056"/>
    </row>
    <row r="466" spans="1:59" ht="15" thickBot="1" x14ac:dyDescent="0.2">
      <c r="A466" s="1052"/>
      <c r="B466" s="1053"/>
      <c r="C466" s="1054"/>
      <c r="D466" s="1054"/>
      <c r="E466" s="1055"/>
      <c r="F466" s="1055"/>
      <c r="G466" s="1055"/>
      <c r="H466" s="1055"/>
      <c r="I466" s="1055"/>
      <c r="J466" s="1055"/>
      <c r="K466" s="1055"/>
      <c r="L466" s="1055"/>
      <c r="M466" s="1055"/>
      <c r="N466" s="1055"/>
      <c r="O466" s="1055"/>
      <c r="P466" s="1763" t="str">
        <f>+IF(orszagnyil="","",orszagnyil)</f>
        <v>HU</v>
      </c>
      <c r="Q466" s="1764"/>
      <c r="R466" s="1764"/>
      <c r="S466" s="1765"/>
      <c r="T466" s="1055"/>
      <c r="U466" s="1055"/>
      <c r="V466" s="1055"/>
      <c r="W466" s="1055"/>
      <c r="X466" s="1055"/>
      <c r="Y466" s="1055"/>
      <c r="Z466" s="1055"/>
      <c r="AA466" s="1055"/>
      <c r="AB466" s="1055"/>
      <c r="AC466" s="1055"/>
      <c r="AD466" s="1055"/>
      <c r="AE466" s="1055"/>
      <c r="AF466" s="1055"/>
      <c r="AG466" s="1055"/>
      <c r="AH466" s="1055"/>
      <c r="AI466" s="1055"/>
      <c r="AJ466" s="1055"/>
      <c r="AK466" s="1055"/>
      <c r="AL466" s="1055"/>
      <c r="AM466" s="1055"/>
      <c r="AN466" s="1055"/>
      <c r="AO466" s="1055"/>
      <c r="AP466" s="1055"/>
      <c r="AQ466" s="1055"/>
      <c r="AR466" s="1055"/>
      <c r="AS466" s="1055"/>
      <c r="AT466" s="1055"/>
      <c r="AU466" s="1055"/>
      <c r="AV466" s="1055"/>
      <c r="AW466" s="1055"/>
      <c r="AX466" s="1055"/>
      <c r="AY466" s="1055"/>
      <c r="AZ466" s="1055"/>
      <c r="BA466" s="1055"/>
      <c r="BB466" s="1055"/>
      <c r="BC466" s="1055"/>
      <c r="BD466" s="1055"/>
      <c r="BE466" s="1055"/>
      <c r="BF466" s="1055"/>
      <c r="BG466" s="1056"/>
    </row>
    <row r="467" spans="1:59" ht="15" thickBot="1" x14ac:dyDescent="0.2">
      <c r="A467" s="1052"/>
      <c r="B467" s="1053"/>
      <c r="C467" s="1054"/>
      <c r="D467" s="1769" t="s">
        <v>584</v>
      </c>
      <c r="E467" s="1769"/>
      <c r="F467" s="1769"/>
      <c r="G467" s="1769"/>
      <c r="H467" s="1769"/>
      <c r="I467" s="1769"/>
      <c r="J467" s="1769"/>
      <c r="K467" s="1769"/>
      <c r="L467" s="1769"/>
      <c r="M467" s="1769"/>
      <c r="N467" s="1769"/>
      <c r="O467" s="1058"/>
      <c r="P467" s="1058" t="s">
        <v>297</v>
      </c>
      <c r="Q467" s="1058"/>
      <c r="R467" s="1058"/>
      <c r="S467" s="1057"/>
      <c r="T467" s="1058"/>
      <c r="U467" s="1058"/>
      <c r="V467" s="1057"/>
      <c r="W467" s="1057"/>
      <c r="X467" s="1057"/>
      <c r="Y467" s="1057"/>
      <c r="Z467" s="1057"/>
      <c r="AA467" s="1057"/>
      <c r="AB467" s="1057"/>
      <c r="AC467" s="1057"/>
      <c r="AD467" s="1057"/>
      <c r="AE467" s="1057"/>
      <c r="AF467" s="1057"/>
      <c r="AG467" s="1057"/>
      <c r="AH467" s="1057"/>
      <c r="AI467" s="1057"/>
      <c r="AJ467" s="1057"/>
      <c r="AK467" s="1057"/>
      <c r="AL467" s="1057"/>
      <c r="AM467" s="1057"/>
      <c r="AN467" s="1057"/>
      <c r="AO467" s="1057"/>
      <c r="AP467" s="1057"/>
      <c r="AQ467" s="1057"/>
      <c r="AR467" s="1057"/>
      <c r="AS467" s="1057"/>
      <c r="AT467" s="1057"/>
      <c r="AU467" s="1057"/>
      <c r="AV467" s="1057"/>
      <c r="AW467" s="1057"/>
      <c r="AX467" s="1057"/>
      <c r="AY467" s="1057"/>
      <c r="AZ467" s="1057"/>
      <c r="BA467" s="1057"/>
      <c r="BB467" s="1057"/>
      <c r="BC467" s="1057"/>
      <c r="BD467" s="1057"/>
      <c r="BE467" s="1057"/>
      <c r="BF467" s="1057"/>
      <c r="BG467" s="1056"/>
    </row>
    <row r="468" spans="1:59" ht="15" thickBot="1" x14ac:dyDescent="0.2">
      <c r="A468" s="1052"/>
      <c r="B468" s="1053"/>
      <c r="C468" s="1054"/>
      <c r="D468" s="1769"/>
      <c r="E468" s="1769"/>
      <c r="F468" s="1769"/>
      <c r="G468" s="1769"/>
      <c r="H468" s="1769"/>
      <c r="I468" s="1769"/>
      <c r="J468" s="1769"/>
      <c r="K468" s="1769"/>
      <c r="L468" s="1769"/>
      <c r="M468" s="1769"/>
      <c r="N468" s="1769"/>
      <c r="O468" s="1059"/>
      <c r="P468" s="1770" t="str">
        <f>+IF(irszamnyil="","",irszamnyil)</f>
        <v/>
      </c>
      <c r="Q468" s="1771"/>
      <c r="R468" s="1771"/>
      <c r="S468" s="1772"/>
      <c r="T468" s="1057"/>
      <c r="U468" s="1773" t="str">
        <f>+IF(helysegnyil="","",helysegnyil)</f>
        <v/>
      </c>
      <c r="V468" s="1774"/>
      <c r="W468" s="1774"/>
      <c r="X468" s="1774"/>
      <c r="Y468" s="1774"/>
      <c r="Z468" s="1774"/>
      <c r="AA468" s="1774"/>
      <c r="AB468" s="1774"/>
      <c r="AC468" s="1774"/>
      <c r="AD468" s="1774"/>
      <c r="AE468" s="1774"/>
      <c r="AF468" s="1774"/>
      <c r="AG468" s="1774"/>
      <c r="AH468" s="1774"/>
      <c r="AI468" s="1774"/>
      <c r="AJ468" s="1774"/>
      <c r="AK468" s="1774"/>
      <c r="AL468" s="1774"/>
      <c r="AM468" s="1774"/>
      <c r="AN468" s="1774"/>
      <c r="AO468" s="1774"/>
      <c r="AP468" s="1774"/>
      <c r="AQ468" s="1774"/>
      <c r="AR468" s="1774"/>
      <c r="AS468" s="1774"/>
      <c r="AT468" s="1774"/>
      <c r="AU468" s="1774"/>
      <c r="AV468" s="1774"/>
      <c r="AW468" s="1774"/>
      <c r="AX468" s="1774"/>
      <c r="AY468" s="1775"/>
      <c r="AZ468" s="1057"/>
      <c r="BA468" s="1770" t="str">
        <f>+IF(postafioknyil="","",postafioknyil)</f>
        <v/>
      </c>
      <c r="BB468" s="1771"/>
      <c r="BC468" s="1771"/>
      <c r="BD468" s="1771"/>
      <c r="BE468" s="1771"/>
      <c r="BF468" s="1772"/>
      <c r="BG468" s="1056"/>
    </row>
    <row r="469" spans="1:59" x14ac:dyDescent="0.15">
      <c r="A469" s="1052"/>
      <c r="B469" s="1053"/>
      <c r="C469" s="1054"/>
      <c r="D469" s="1769"/>
      <c r="E469" s="1769"/>
      <c r="F469" s="1769"/>
      <c r="G469" s="1769"/>
      <c r="H469" s="1769"/>
      <c r="I469" s="1769"/>
      <c r="J469" s="1769"/>
      <c r="K469" s="1769"/>
      <c r="L469" s="1769"/>
      <c r="M469" s="1769"/>
      <c r="N469" s="1769"/>
      <c r="O469" s="1057"/>
      <c r="P469" s="1057" t="s">
        <v>146</v>
      </c>
      <c r="Q469" s="1057"/>
      <c r="R469" s="1057"/>
      <c r="S469" s="1057"/>
      <c r="T469" s="1057"/>
      <c r="U469" s="1057" t="s">
        <v>147</v>
      </c>
      <c r="V469" s="1057"/>
      <c r="W469" s="1057"/>
      <c r="X469" s="1057"/>
      <c r="Y469" s="1057"/>
      <c r="Z469" s="1057"/>
      <c r="AA469" s="1057"/>
      <c r="AB469" s="1057"/>
      <c r="AC469" s="1057"/>
      <c r="AD469" s="1057"/>
      <c r="AE469" s="1057"/>
      <c r="AF469" s="1057"/>
      <c r="AG469" s="1057"/>
      <c r="AH469" s="1057"/>
      <c r="AI469" s="1057"/>
      <c r="AJ469" s="1057"/>
      <c r="AK469" s="1057"/>
      <c r="AL469" s="1057"/>
      <c r="AM469" s="1057"/>
      <c r="AN469" s="1057"/>
      <c r="AO469" s="1057"/>
      <c r="AP469" s="1057"/>
      <c r="AQ469" s="1057"/>
      <c r="AR469" s="1057"/>
      <c r="AS469" s="1057"/>
      <c r="AT469" s="1057"/>
      <c r="AU469" s="1057"/>
      <c r="AV469" s="1057"/>
      <c r="AW469" s="1057"/>
      <c r="AX469" s="1057"/>
      <c r="AY469" s="1057"/>
      <c r="AZ469" s="1057"/>
      <c r="BA469" s="1057" t="s">
        <v>148</v>
      </c>
      <c r="BB469" s="1057"/>
      <c r="BC469" s="1057"/>
      <c r="BD469" s="1057"/>
      <c r="BE469" s="1057"/>
      <c r="BF469" s="1057"/>
      <c r="BG469" s="1056"/>
    </row>
    <row r="470" spans="1:59" ht="15" thickBot="1" x14ac:dyDescent="0.2">
      <c r="A470" s="1052"/>
      <c r="B470" s="1053"/>
      <c r="C470" s="1054"/>
      <c r="D470" s="1060"/>
      <c r="E470" s="1060"/>
      <c r="F470" s="1060"/>
      <c r="G470" s="1060"/>
      <c r="H470" s="1060"/>
      <c r="I470" s="1060"/>
      <c r="J470" s="1060"/>
      <c r="K470" s="1060"/>
      <c r="L470" s="1060"/>
      <c r="M470" s="1060"/>
      <c r="N470" s="1060"/>
      <c r="O470" s="1061"/>
      <c r="P470" s="1057"/>
      <c r="Q470" s="1057"/>
      <c r="R470" s="1057"/>
      <c r="S470" s="1057"/>
      <c r="T470" s="1057"/>
      <c r="U470" s="1057"/>
      <c r="V470" s="1057"/>
      <c r="W470" s="1057"/>
      <c r="X470" s="1057"/>
      <c r="Y470" s="1057"/>
      <c r="Z470" s="1057"/>
      <c r="AA470" s="1057"/>
      <c r="AB470" s="1057"/>
      <c r="AC470" s="1057"/>
      <c r="AD470" s="1057"/>
      <c r="AE470" s="1057"/>
      <c r="AF470" s="1057"/>
      <c r="AG470" s="1057"/>
      <c r="AH470" s="1057"/>
      <c r="AI470" s="1057"/>
      <c r="AJ470" s="1057"/>
      <c r="AK470" s="1057"/>
      <c r="AL470" s="1057"/>
      <c r="AM470" s="1057"/>
      <c r="AN470" s="1057"/>
      <c r="AO470" s="1057"/>
      <c r="AP470" s="1057"/>
      <c r="AQ470" s="1057"/>
      <c r="AR470" s="1057"/>
      <c r="AS470" s="1057"/>
      <c r="AT470" s="1057"/>
      <c r="AU470" s="1057"/>
      <c r="AV470" s="1057"/>
      <c r="AW470" s="1057"/>
      <c r="AX470" s="1057"/>
      <c r="AY470" s="1057"/>
      <c r="AZ470" s="1057"/>
      <c r="BA470" s="1057"/>
      <c r="BB470" s="1057"/>
      <c r="BC470" s="1057"/>
      <c r="BD470" s="1057"/>
      <c r="BE470" s="1057"/>
      <c r="BF470" s="1057"/>
      <c r="BG470" s="1056"/>
    </row>
    <row r="471" spans="1:59" ht="15" thickBot="1" x14ac:dyDescent="0.2">
      <c r="A471" s="1052"/>
      <c r="B471" s="1053"/>
      <c r="C471" s="1054"/>
      <c r="D471" s="1770" t="str">
        <f>+IF(kozternevenyil="","",kozternevenyil)</f>
        <v/>
      </c>
      <c r="E471" s="1771"/>
      <c r="F471" s="1771"/>
      <c r="G471" s="1771"/>
      <c r="H471" s="1771"/>
      <c r="I471" s="1771"/>
      <c r="J471" s="1771"/>
      <c r="K471" s="1771"/>
      <c r="L471" s="1771"/>
      <c r="M471" s="1771"/>
      <c r="N471" s="1771"/>
      <c r="O471" s="1771"/>
      <c r="P471" s="1771"/>
      <c r="Q471" s="1771"/>
      <c r="R471" s="1771"/>
      <c r="S471" s="1771"/>
      <c r="T471" s="1771"/>
      <c r="U471" s="1771"/>
      <c r="V471" s="1771"/>
      <c r="W471" s="1771"/>
      <c r="X471" s="1771"/>
      <c r="Y471" s="1771"/>
      <c r="Z471" s="1771"/>
      <c r="AA471" s="1771"/>
      <c r="AB471" s="1771"/>
      <c r="AC471" s="1772"/>
      <c r="AD471" s="1062"/>
      <c r="AE471" s="1063"/>
      <c r="AF471" s="1770" t="str">
        <f>+IF(jellegnyil="","",jellegnyil)</f>
        <v>legördülő cella</v>
      </c>
      <c r="AG471" s="1771"/>
      <c r="AH471" s="1771"/>
      <c r="AI471" s="1771"/>
      <c r="AJ471" s="1771"/>
      <c r="AK471" s="1771"/>
      <c r="AL471" s="1771"/>
      <c r="AM471" s="1771"/>
      <c r="AN471" s="1771"/>
      <c r="AO471" s="1771"/>
      <c r="AP471" s="1772"/>
      <c r="AQ471" s="1062"/>
      <c r="AR471" s="1059"/>
      <c r="AS471" s="1059"/>
      <c r="AT471" s="1059"/>
      <c r="AU471" s="1059"/>
      <c r="AV471" s="1059"/>
      <c r="AW471" s="1059"/>
      <c r="AX471" s="1776" t="str">
        <f>+IF(ajtonyil="","",ajtonyil)</f>
        <v/>
      </c>
      <c r="AY471" s="1777"/>
      <c r="AZ471" s="1777"/>
      <c r="BA471" s="1777"/>
      <c r="BB471" s="1777"/>
      <c r="BC471" s="1777"/>
      <c r="BD471" s="1777"/>
      <c r="BE471" s="1777"/>
      <c r="BF471" s="1778"/>
      <c r="BG471" s="1056"/>
    </row>
    <row r="472" spans="1:59" x14ac:dyDescent="0.15">
      <c r="A472" s="1052"/>
      <c r="B472" s="1053"/>
      <c r="C472" s="1054"/>
      <c r="D472" s="1057" t="s">
        <v>149</v>
      </c>
      <c r="E472" s="1057"/>
      <c r="F472" s="1057"/>
      <c r="G472" s="1057"/>
      <c r="H472" s="1057"/>
      <c r="I472" s="1057"/>
      <c r="J472" s="1057"/>
      <c r="K472" s="1057"/>
      <c r="L472" s="1057"/>
      <c r="M472" s="1057"/>
      <c r="N472" s="1057"/>
      <c r="O472" s="1057"/>
      <c r="P472" s="1057"/>
      <c r="Q472" s="1057"/>
      <c r="R472" s="1057"/>
      <c r="S472" s="1057"/>
      <c r="T472" s="1057"/>
      <c r="U472" s="1057"/>
      <c r="V472" s="1057"/>
      <c r="W472" s="1057"/>
      <c r="X472" s="1057"/>
      <c r="Y472" s="1057"/>
      <c r="Z472" s="1057"/>
      <c r="AA472" s="1057"/>
      <c r="AB472" s="1057"/>
      <c r="AC472" s="1057"/>
      <c r="AD472" s="1057"/>
      <c r="AE472" s="1057"/>
      <c r="AF472" s="1057" t="s">
        <v>150</v>
      </c>
      <c r="AG472" s="1057"/>
      <c r="AH472" s="1057"/>
      <c r="AI472" s="1057"/>
      <c r="AJ472" s="1063"/>
      <c r="AK472" s="1057"/>
      <c r="AL472" s="1057"/>
      <c r="AM472" s="1057"/>
      <c r="AN472" s="1057"/>
      <c r="AO472" s="1057"/>
      <c r="AP472" s="1057"/>
      <c r="AQ472" s="1063"/>
      <c r="AR472" s="1057"/>
      <c r="AS472" s="1057"/>
      <c r="AT472" s="1057"/>
      <c r="AU472" s="1057"/>
      <c r="AV472" s="1057"/>
      <c r="AW472" s="1057"/>
      <c r="AX472" s="1058" t="s">
        <v>151</v>
      </c>
      <c r="AY472" s="1058"/>
      <c r="AZ472" s="1058"/>
      <c r="BA472" s="1058"/>
      <c r="BB472" s="1058"/>
      <c r="BC472" s="1058"/>
      <c r="BD472" s="1058"/>
      <c r="BE472" s="1058"/>
      <c r="BF472" s="1058"/>
      <c r="BG472" s="1056"/>
    </row>
    <row r="473" spans="1:59" x14ac:dyDescent="0.15">
      <c r="A473" s="1050"/>
      <c r="B473" s="1064"/>
      <c r="C473" s="1055"/>
      <c r="D473" s="1060"/>
      <c r="E473" s="1060"/>
      <c r="F473" s="1060"/>
      <c r="G473" s="1060"/>
      <c r="H473" s="1060"/>
      <c r="I473" s="1060"/>
      <c r="J473" s="1060"/>
      <c r="K473" s="1060"/>
      <c r="L473" s="1060"/>
      <c r="M473" s="1060"/>
      <c r="N473" s="1060"/>
      <c r="O473" s="1061"/>
      <c r="P473" s="1057"/>
      <c r="Q473" s="1057"/>
      <c r="R473" s="1057"/>
      <c r="S473" s="1057"/>
      <c r="T473" s="1057"/>
      <c r="U473" s="1057"/>
      <c r="V473" s="1057"/>
      <c r="W473" s="1057"/>
      <c r="X473" s="1057"/>
      <c r="Y473" s="1057"/>
      <c r="Z473" s="1057"/>
      <c r="AA473" s="1057"/>
      <c r="AB473" s="1057"/>
      <c r="AC473" s="1057"/>
      <c r="AD473" s="1057"/>
      <c r="AE473" s="1057"/>
      <c r="AF473" s="1057"/>
      <c r="AG473" s="1057"/>
      <c r="AH473" s="1057"/>
      <c r="AI473" s="1057"/>
      <c r="AJ473" s="1057"/>
      <c r="AK473" s="1057"/>
      <c r="AL473" s="1057"/>
      <c r="AM473" s="1057"/>
      <c r="AN473" s="1057"/>
      <c r="AO473" s="1057"/>
      <c r="AP473" s="1057"/>
      <c r="AQ473" s="1057"/>
      <c r="AR473" s="1057"/>
      <c r="AS473" s="1057"/>
      <c r="AT473" s="1057"/>
      <c r="AU473" s="1057"/>
      <c r="AV473" s="1057"/>
      <c r="AW473" s="1057"/>
      <c r="AX473" s="1057"/>
      <c r="AY473" s="1057"/>
      <c r="AZ473" s="1057"/>
      <c r="BA473" s="1057"/>
      <c r="BB473" s="1057"/>
      <c r="BC473" s="1057"/>
      <c r="BD473" s="1057"/>
      <c r="BE473" s="1057"/>
      <c r="BF473" s="1057"/>
      <c r="BG473" s="1056"/>
    </row>
    <row r="474" spans="1:59" ht="15" thickBot="1" x14ac:dyDescent="0.2">
      <c r="A474" s="1050"/>
      <c r="B474" s="1064"/>
      <c r="C474" s="1055"/>
      <c r="D474" s="1055"/>
      <c r="E474" s="1055"/>
      <c r="F474" s="1055"/>
      <c r="G474" s="1055"/>
      <c r="H474" s="1055"/>
      <c r="I474" s="1055"/>
      <c r="J474" s="1055"/>
      <c r="K474" s="1055"/>
      <c r="L474" s="1055"/>
      <c r="M474" s="1055"/>
      <c r="N474" s="1055"/>
      <c r="O474" s="1055"/>
      <c r="P474" s="1055"/>
      <c r="Q474" s="1055"/>
      <c r="R474" s="1055"/>
      <c r="S474" s="1055"/>
      <c r="T474" s="1055"/>
      <c r="U474" s="1055"/>
      <c r="V474" s="1055"/>
      <c r="W474" s="1055"/>
      <c r="X474" s="1055"/>
      <c r="Y474" s="1055"/>
      <c r="Z474" s="1055"/>
      <c r="AA474" s="1055"/>
      <c r="AB474" s="1055"/>
      <c r="AC474" s="1055"/>
      <c r="AD474" s="1055"/>
      <c r="AE474" s="1055"/>
      <c r="AF474" s="1055"/>
      <c r="AG474" s="1055"/>
      <c r="AH474" s="1055"/>
      <c r="AI474" s="1055"/>
      <c r="AJ474" s="1055"/>
      <c r="AK474" s="1055"/>
      <c r="AL474" s="1055"/>
      <c r="AM474" s="1055"/>
      <c r="AN474" s="1055"/>
      <c r="AO474" s="1055"/>
      <c r="AP474" s="1055"/>
      <c r="AQ474" s="1055"/>
      <c r="AR474" s="1055"/>
      <c r="AS474" s="1055"/>
      <c r="AT474" s="1055"/>
      <c r="AU474" s="1055"/>
      <c r="AV474" s="1055"/>
      <c r="AW474" s="1055"/>
      <c r="AX474" s="1055"/>
      <c r="AY474" s="1055"/>
      <c r="AZ474" s="1055"/>
      <c r="BA474" s="1055"/>
      <c r="BB474" s="1055"/>
      <c r="BC474" s="1055"/>
      <c r="BD474" s="1055"/>
      <c r="BE474" s="1055"/>
      <c r="BF474" s="1055"/>
      <c r="BG474" s="1056"/>
    </row>
    <row r="475" spans="1:59" ht="15" thickBot="1" x14ac:dyDescent="0.2">
      <c r="A475" s="1050"/>
      <c r="B475" s="1064"/>
      <c r="C475" s="1763" t="str">
        <f>+IF(adoszamnyil="","",adoszamnyil)</f>
        <v/>
      </c>
      <c r="D475" s="1764"/>
      <c r="E475" s="1764"/>
      <c r="F475" s="1764"/>
      <c r="G475" s="1764"/>
      <c r="H475" s="1764"/>
      <c r="I475" s="1764"/>
      <c r="J475" s="1764"/>
      <c r="K475" s="1764"/>
      <c r="L475" s="1764"/>
      <c r="M475" s="1764"/>
      <c r="N475" s="1764"/>
      <c r="O475" s="1764"/>
      <c r="P475" s="1764"/>
      <c r="Q475" s="1764"/>
      <c r="R475" s="1764"/>
      <c r="S475" s="1764"/>
      <c r="T475" s="1765"/>
      <c r="U475" s="1055"/>
      <c r="V475" s="1055"/>
      <c r="W475" s="1055"/>
      <c r="X475" s="1763" t="str">
        <f>+IF(evnyil="","",evnyil)</f>
        <v/>
      </c>
      <c r="Y475" s="1764"/>
      <c r="Z475" s="1764"/>
      <c r="AA475" s="1764"/>
      <c r="AB475" s="1764"/>
      <c r="AC475" s="1764"/>
      <c r="AD475" s="1764"/>
      <c r="AE475" s="1764"/>
      <c r="AF475" s="1764"/>
      <c r="AG475" s="1764"/>
      <c r="AH475" s="1764"/>
      <c r="AI475" s="1764"/>
      <c r="AJ475" s="1764"/>
      <c r="AK475" s="1764"/>
      <c r="AL475" s="1765"/>
      <c r="AM475" s="1055"/>
      <c r="AN475" s="1055"/>
      <c r="AO475" s="1763" t="str">
        <f>+IF(evszamnyil="","",evszamnyil)</f>
        <v/>
      </c>
      <c r="AP475" s="1764"/>
      <c r="AQ475" s="1764"/>
      <c r="AR475" s="1764"/>
      <c r="AS475" s="1764"/>
      <c r="AT475" s="1764"/>
      <c r="AU475" s="1764"/>
      <c r="AV475" s="1764"/>
      <c r="AW475" s="1764"/>
      <c r="AX475" s="1764"/>
      <c r="AY475" s="1764"/>
      <c r="AZ475" s="1764"/>
      <c r="BA475" s="1764"/>
      <c r="BB475" s="1764"/>
      <c r="BC475" s="1764"/>
      <c r="BD475" s="1764"/>
      <c r="BE475" s="1764"/>
      <c r="BF475" s="1765"/>
      <c r="BG475" s="1056"/>
    </row>
    <row r="476" spans="1:59" x14ac:dyDescent="0.15">
      <c r="A476" s="1050"/>
      <c r="B476" s="1064"/>
      <c r="C476" s="1055" t="s">
        <v>590</v>
      </c>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t="s">
        <v>591</v>
      </c>
      <c r="Y476" s="1055"/>
      <c r="Z476" s="1055"/>
      <c r="AA476" s="1055"/>
      <c r="AB476" s="1055"/>
      <c r="AC476" s="1055"/>
      <c r="AD476" s="1055"/>
      <c r="AE476" s="1055"/>
      <c r="AF476" s="1055"/>
      <c r="AG476" s="1055"/>
      <c r="AH476" s="1055"/>
      <c r="AI476" s="1055"/>
      <c r="AJ476" s="1055"/>
      <c r="AK476" s="1055"/>
      <c r="AL476" s="1055"/>
      <c r="AM476" s="1055"/>
      <c r="AN476" s="1055"/>
      <c r="AO476" s="1055" t="s">
        <v>592</v>
      </c>
      <c r="AP476" s="1055"/>
      <c r="AQ476" s="1055"/>
      <c r="AR476" s="1055"/>
      <c r="AS476" s="1055"/>
      <c r="AT476" s="1055"/>
      <c r="AU476" s="1055"/>
      <c r="AV476" s="1055"/>
      <c r="AW476" s="1055"/>
      <c r="AX476" s="1055"/>
      <c r="AY476" s="1055"/>
      <c r="AZ476" s="1055"/>
      <c r="BA476" s="1055"/>
      <c r="BB476" s="1055"/>
      <c r="BC476" s="1055"/>
      <c r="BD476" s="1055"/>
      <c r="BE476" s="1055"/>
      <c r="BF476" s="1055"/>
      <c r="BG476" s="1056"/>
    </row>
    <row r="477" spans="1:59" ht="15" thickBot="1" x14ac:dyDescent="0.2">
      <c r="A477" s="1050"/>
      <c r="B477" s="1064"/>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1055"/>
      <c r="AV477" s="1055"/>
      <c r="AW477" s="1055"/>
      <c r="AX477" s="1055"/>
      <c r="AY477" s="1055"/>
      <c r="AZ477" s="1055"/>
      <c r="BA477" s="1055"/>
      <c r="BB477" s="1055"/>
      <c r="BC477" s="1055"/>
      <c r="BD477" s="1055"/>
      <c r="BE477" s="1055"/>
      <c r="BF477" s="1055"/>
      <c r="BG477" s="1056"/>
    </row>
    <row r="478" spans="1:59" ht="15" thickBot="1" x14ac:dyDescent="0.2">
      <c r="A478" s="1050"/>
      <c r="B478" s="1064"/>
      <c r="C478" s="1763" t="str">
        <f>+IF(KKVnyil="","",KKVnyil)</f>
        <v>legördülő cella</v>
      </c>
      <c r="D478" s="1764"/>
      <c r="E478" s="1764"/>
      <c r="F478" s="1764"/>
      <c r="G478" s="1764"/>
      <c r="H478" s="1764"/>
      <c r="I478" s="1764"/>
      <c r="J478" s="1764"/>
      <c r="K478" s="1764"/>
      <c r="L478" s="1764"/>
      <c r="M478" s="1764"/>
      <c r="N478" s="1764"/>
      <c r="O478" s="1764"/>
      <c r="P478" s="1764"/>
      <c r="Q478" s="1764"/>
      <c r="R478" s="1764"/>
      <c r="S478" s="1764"/>
      <c r="T478" s="1765"/>
      <c r="U478" s="1055"/>
      <c r="V478" s="1055"/>
      <c r="W478" s="1055"/>
      <c r="X478" s="1763" t="str">
        <f>+IF(gazformnyil="","",gazformnyil)</f>
        <v>legördülő cella</v>
      </c>
      <c r="Y478" s="1764"/>
      <c r="Z478" s="1764"/>
      <c r="AA478" s="1764"/>
      <c r="AB478" s="1764"/>
      <c r="AC478" s="1764"/>
      <c r="AD478" s="1764"/>
      <c r="AE478" s="1764"/>
      <c r="AF478" s="1764"/>
      <c r="AG478" s="1764"/>
      <c r="AH478" s="1764"/>
      <c r="AI478" s="1764"/>
      <c r="AJ478" s="1764"/>
      <c r="AK478" s="1764"/>
      <c r="AL478" s="1765"/>
      <c r="AM478" s="1055"/>
      <c r="AN478" s="1055"/>
      <c r="AO478" s="1055"/>
      <c r="AP478" s="1055"/>
      <c r="AQ478" s="1055"/>
      <c r="AR478" s="1055"/>
      <c r="AS478" s="1055"/>
      <c r="AT478" s="1055"/>
      <c r="AU478" s="1055"/>
      <c r="AV478" s="1055"/>
      <c r="AW478" s="1055"/>
      <c r="AX478" s="1055"/>
      <c r="AY478" s="1055"/>
      <c r="AZ478" s="1055"/>
      <c r="BA478" s="1055"/>
      <c r="BB478" s="1055"/>
      <c r="BC478" s="1055"/>
      <c r="BD478" s="1055"/>
      <c r="BE478" s="1055"/>
      <c r="BF478" s="1055"/>
      <c r="BG478" s="1056"/>
    </row>
    <row r="479" spans="1:59" x14ac:dyDescent="0.15">
      <c r="A479" s="1050"/>
      <c r="B479" s="1064"/>
      <c r="C479" s="1055" t="s">
        <v>593</v>
      </c>
      <c r="D479" s="1055"/>
      <c r="E479" s="1055"/>
      <c r="F479" s="1055"/>
      <c r="G479" s="1055"/>
      <c r="H479" s="1055"/>
      <c r="I479" s="1055"/>
      <c r="J479" s="1055"/>
      <c r="K479" s="1055"/>
      <c r="L479" s="1055"/>
      <c r="M479" s="1055"/>
      <c r="N479" s="1055"/>
      <c r="O479" s="1055"/>
      <c r="P479" s="1055"/>
      <c r="Q479" s="1055"/>
      <c r="R479" s="1055"/>
      <c r="S479" s="1055"/>
      <c r="T479" s="1055"/>
      <c r="U479" s="1055"/>
      <c r="V479" s="1055"/>
      <c r="W479" s="1055"/>
      <c r="X479" s="1055" t="s">
        <v>594</v>
      </c>
      <c r="Y479" s="1055"/>
      <c r="Z479" s="1055"/>
      <c r="AA479" s="1055"/>
      <c r="AB479" s="1055"/>
      <c r="AC479" s="1055"/>
      <c r="AD479" s="1055"/>
      <c r="AE479" s="1055"/>
      <c r="AF479" s="1055"/>
      <c r="AG479" s="1055"/>
      <c r="AH479" s="1055"/>
      <c r="AI479" s="1055"/>
      <c r="AJ479" s="1055"/>
      <c r="AK479" s="1055"/>
      <c r="AL479" s="1055"/>
      <c r="AM479" s="1055"/>
      <c r="AN479" s="1055"/>
      <c r="AO479" s="1055"/>
      <c r="AP479" s="1055"/>
      <c r="AQ479" s="1055"/>
      <c r="AR479" s="1055"/>
      <c r="AS479" s="1055"/>
      <c r="AT479" s="1055"/>
      <c r="AU479" s="1055"/>
      <c r="AV479" s="1055"/>
      <c r="AW479" s="1055"/>
      <c r="AX479" s="1055"/>
      <c r="AY479" s="1055"/>
      <c r="AZ479" s="1055"/>
      <c r="BA479" s="1055"/>
      <c r="BB479" s="1055"/>
      <c r="BC479" s="1055"/>
      <c r="BD479" s="1055"/>
      <c r="BE479" s="1055"/>
      <c r="BF479" s="1055"/>
      <c r="BG479" s="1056"/>
    </row>
    <row r="480" spans="1:59" ht="15" thickBot="1" x14ac:dyDescent="0.2">
      <c r="A480" s="1050"/>
      <c r="B480" s="1064"/>
      <c r="C480" s="1055"/>
      <c r="D480" s="1055"/>
      <c r="E480" s="1055"/>
      <c r="F480" s="1055"/>
      <c r="G480" s="1055"/>
      <c r="H480" s="1055"/>
      <c r="I480" s="1055"/>
      <c r="J480" s="1055"/>
      <c r="K480" s="1055"/>
      <c r="L480" s="1055"/>
      <c r="M480" s="1055"/>
      <c r="N480" s="1055"/>
      <c r="O480" s="1055"/>
      <c r="P480" s="1055"/>
      <c r="Q480" s="1055"/>
      <c r="R480" s="1055"/>
      <c r="S480" s="1055"/>
      <c r="T480" s="1055"/>
      <c r="U480" s="1055"/>
      <c r="V480" s="1055"/>
      <c r="W480" s="1055"/>
      <c r="X480" s="1055"/>
      <c r="Y480" s="1055"/>
      <c r="Z480" s="1055"/>
      <c r="AA480" s="1055"/>
      <c r="AB480" s="1055"/>
      <c r="AC480" s="1055"/>
      <c r="AD480" s="1055"/>
      <c r="AE480" s="1055"/>
      <c r="AF480" s="1055"/>
      <c r="AG480" s="1055"/>
      <c r="AH480" s="1055"/>
      <c r="AI480" s="1055"/>
      <c r="AJ480" s="1055"/>
      <c r="AK480" s="1055"/>
      <c r="AL480" s="1055"/>
      <c r="AM480" s="1055"/>
      <c r="AN480" s="1055"/>
      <c r="AO480" s="1055"/>
      <c r="AP480" s="1055"/>
      <c r="AQ480" s="1055"/>
      <c r="AR480" s="1055"/>
      <c r="AS480" s="1055"/>
      <c r="AT480" s="1055"/>
      <c r="AU480" s="1055"/>
      <c r="AV480" s="1055"/>
      <c r="AW480" s="1055"/>
      <c r="AX480" s="1055"/>
      <c r="AY480" s="1055"/>
      <c r="AZ480" s="1055"/>
      <c r="BA480" s="1055"/>
      <c r="BB480" s="1055"/>
      <c r="BC480" s="1055"/>
      <c r="BD480" s="1055"/>
      <c r="BE480" s="1055"/>
      <c r="BF480" s="1055"/>
      <c r="BG480" s="1056"/>
    </row>
    <row r="481" spans="1:59" ht="15" thickBot="1" x14ac:dyDescent="0.2">
      <c r="A481" s="1050"/>
      <c r="B481" s="1064"/>
      <c r="C481" s="1763" t="str">
        <f>+IF(kapcsnyil="","",kapcsnyil)</f>
        <v/>
      </c>
      <c r="D481" s="1764"/>
      <c r="E481" s="1764"/>
      <c r="F481" s="1764"/>
      <c r="G481" s="1764"/>
      <c r="H481" s="1764"/>
      <c r="I481" s="1764"/>
      <c r="J481" s="1764"/>
      <c r="K481" s="1764"/>
      <c r="L481" s="1764"/>
      <c r="M481" s="1764"/>
      <c r="N481" s="1764"/>
      <c r="O481" s="1764"/>
      <c r="P481" s="1764"/>
      <c r="Q481" s="1764"/>
      <c r="R481" s="1764"/>
      <c r="S481" s="1764"/>
      <c r="T481" s="1765"/>
      <c r="U481" s="1055"/>
      <c r="V481" s="1055"/>
      <c r="W481" s="1055"/>
      <c r="X481" s="1763" t="str">
        <f>+IF(kapcstelnyil="","",kapcstelnyil)</f>
        <v/>
      </c>
      <c r="Y481" s="1764"/>
      <c r="Z481" s="1764"/>
      <c r="AA481" s="1764"/>
      <c r="AB481" s="1764"/>
      <c r="AC481" s="1764"/>
      <c r="AD481" s="1764"/>
      <c r="AE481" s="1764"/>
      <c r="AF481" s="1764"/>
      <c r="AG481" s="1764"/>
      <c r="AH481" s="1764"/>
      <c r="AI481" s="1764"/>
      <c r="AJ481" s="1764"/>
      <c r="AK481" s="1764"/>
      <c r="AL481" s="1765"/>
      <c r="AM481" s="1055"/>
      <c r="AN481" s="1055"/>
      <c r="AO481" s="1763" t="str">
        <f>+IF(kapcsemailnyil="","",kapcsemailnyil)</f>
        <v/>
      </c>
      <c r="AP481" s="1764"/>
      <c r="AQ481" s="1764"/>
      <c r="AR481" s="1764"/>
      <c r="AS481" s="1764"/>
      <c r="AT481" s="1764"/>
      <c r="AU481" s="1764"/>
      <c r="AV481" s="1764"/>
      <c r="AW481" s="1764"/>
      <c r="AX481" s="1764"/>
      <c r="AY481" s="1764"/>
      <c r="AZ481" s="1764"/>
      <c r="BA481" s="1764"/>
      <c r="BB481" s="1764"/>
      <c r="BC481" s="1764"/>
      <c r="BD481" s="1764"/>
      <c r="BE481" s="1764"/>
      <c r="BF481" s="1765"/>
      <c r="BG481" s="1056"/>
    </row>
    <row r="482" spans="1:59" x14ac:dyDescent="0.15">
      <c r="A482" s="1050"/>
      <c r="B482" s="1064"/>
      <c r="C482" s="1055" t="s">
        <v>587</v>
      </c>
      <c r="D482" s="1055"/>
      <c r="E482" s="1055"/>
      <c r="F482" s="1055"/>
      <c r="G482" s="1055"/>
      <c r="H482" s="1055"/>
      <c r="I482" s="1055"/>
      <c r="J482" s="1055"/>
      <c r="K482" s="1055"/>
      <c r="L482" s="1055"/>
      <c r="M482" s="1055"/>
      <c r="N482" s="1055"/>
      <c r="O482" s="1055"/>
      <c r="P482" s="1055"/>
      <c r="Q482" s="1055"/>
      <c r="R482" s="1055"/>
      <c r="S482" s="1055"/>
      <c r="T482" s="1055"/>
      <c r="U482" s="1055"/>
      <c r="V482" s="1055"/>
      <c r="W482" s="1055"/>
      <c r="X482" s="1055" t="s">
        <v>586</v>
      </c>
      <c r="Y482" s="1055"/>
      <c r="Z482" s="1055"/>
      <c r="AA482" s="1055"/>
      <c r="AB482" s="1055"/>
      <c r="AC482" s="1055"/>
      <c r="AD482" s="1055"/>
      <c r="AE482" s="1055"/>
      <c r="AF482" s="1055"/>
      <c r="AG482" s="1055"/>
      <c r="AH482" s="1055"/>
      <c r="AI482" s="1055"/>
      <c r="AJ482" s="1055"/>
      <c r="AK482" s="1055"/>
      <c r="AL482" s="1055"/>
      <c r="AM482" s="1055"/>
      <c r="AN482" s="1055"/>
      <c r="AO482" s="1055" t="s">
        <v>585</v>
      </c>
      <c r="AP482" s="1055"/>
      <c r="AQ482" s="1055"/>
      <c r="AR482" s="1055"/>
      <c r="AS482" s="1055"/>
      <c r="AT482" s="1055"/>
      <c r="AU482" s="1055"/>
      <c r="AV482" s="1055"/>
      <c r="AW482" s="1055"/>
      <c r="AX482" s="1055"/>
      <c r="AY482" s="1055"/>
      <c r="AZ482" s="1055"/>
      <c r="BA482" s="1055"/>
      <c r="BB482" s="1055"/>
      <c r="BC482" s="1055"/>
      <c r="BD482" s="1055"/>
      <c r="BE482" s="1055"/>
      <c r="BF482" s="1055"/>
      <c r="BG482" s="1056"/>
    </row>
    <row r="483" spans="1:59" ht="15" thickBot="1" x14ac:dyDescent="0.2">
      <c r="A483" s="1050"/>
      <c r="B483" s="1064"/>
      <c r="C483" s="1055"/>
      <c r="D483" s="1055"/>
      <c r="E483" s="1055"/>
      <c r="F483" s="1055"/>
      <c r="G483" s="1055"/>
      <c r="H483" s="1055"/>
      <c r="I483" s="1055"/>
      <c r="J483" s="1055"/>
      <c r="K483" s="1055"/>
      <c r="L483" s="1055"/>
      <c r="M483" s="1055"/>
      <c r="N483" s="1055"/>
      <c r="O483" s="1055"/>
      <c r="P483" s="1055"/>
      <c r="Q483" s="1055"/>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055"/>
      <c r="AL483" s="1055"/>
      <c r="AM483" s="1055"/>
      <c r="AN483" s="1055"/>
      <c r="AO483" s="1055"/>
      <c r="AP483" s="1055"/>
      <c r="AQ483" s="1055"/>
      <c r="AR483" s="1055"/>
      <c r="AS483" s="1055"/>
      <c r="AT483" s="1055"/>
      <c r="AU483" s="1055"/>
      <c r="AV483" s="1055"/>
      <c r="AW483" s="1055"/>
      <c r="AX483" s="1055"/>
      <c r="AY483" s="1055"/>
      <c r="AZ483" s="1055"/>
      <c r="BA483" s="1055"/>
      <c r="BB483" s="1055"/>
      <c r="BC483" s="1055"/>
      <c r="BD483" s="1055"/>
      <c r="BE483" s="1055"/>
      <c r="BF483" s="1055"/>
      <c r="BG483" s="1056"/>
    </row>
    <row r="484" spans="1:59" ht="15" thickBot="1" x14ac:dyDescent="0.2">
      <c r="A484" s="1050"/>
      <c r="B484" s="1064"/>
      <c r="C484" s="1763" t="str">
        <f>+IF(vállemailnyil="","",vállemailnyil)</f>
        <v/>
      </c>
      <c r="D484" s="1764"/>
      <c r="E484" s="1764"/>
      <c r="F484" s="1764"/>
      <c r="G484" s="1764"/>
      <c r="H484" s="1764"/>
      <c r="I484" s="1764"/>
      <c r="J484" s="1764"/>
      <c r="K484" s="1764"/>
      <c r="L484" s="1764"/>
      <c r="M484" s="1764"/>
      <c r="N484" s="1764"/>
      <c r="O484" s="1764"/>
      <c r="P484" s="1764"/>
      <c r="Q484" s="1764"/>
      <c r="R484" s="1764"/>
      <c r="S484" s="1764"/>
      <c r="T484" s="1765"/>
      <c r="U484" s="1055"/>
      <c r="V484" s="1055"/>
      <c r="W484" s="1055"/>
      <c r="X484" s="1763" t="str">
        <f>+IF(válltelnyil="","",válltelnyil)</f>
        <v/>
      </c>
      <c r="Y484" s="1764"/>
      <c r="Z484" s="1764"/>
      <c r="AA484" s="1764"/>
      <c r="AB484" s="1764"/>
      <c r="AC484" s="1764"/>
      <c r="AD484" s="1764"/>
      <c r="AE484" s="1764"/>
      <c r="AF484" s="1764"/>
      <c r="AG484" s="1764"/>
      <c r="AH484" s="1764"/>
      <c r="AI484" s="1764"/>
      <c r="AJ484" s="1764"/>
      <c r="AK484" s="1764"/>
      <c r="AL484" s="1765"/>
      <c r="AM484" s="1055"/>
      <c r="AN484" s="1055"/>
      <c r="AO484" s="1055"/>
      <c r="AP484" s="1055"/>
      <c r="AQ484" s="1055"/>
      <c r="AR484" s="1055"/>
      <c r="AS484" s="1055"/>
      <c r="AT484" s="1055"/>
      <c r="AU484" s="1055"/>
      <c r="AV484" s="1055"/>
      <c r="AW484" s="1055"/>
      <c r="AX484" s="1055"/>
      <c r="AY484" s="1055"/>
      <c r="AZ484" s="1055"/>
      <c r="BA484" s="1055"/>
      <c r="BB484" s="1055"/>
      <c r="BC484" s="1055"/>
      <c r="BD484" s="1055"/>
      <c r="BE484" s="1055"/>
      <c r="BF484" s="1055"/>
      <c r="BG484" s="1056"/>
    </row>
    <row r="485" spans="1:59" x14ac:dyDescent="0.15">
      <c r="A485" s="1050"/>
      <c r="B485" s="1064"/>
      <c r="C485" s="1055" t="s">
        <v>588</v>
      </c>
      <c r="D485" s="1055"/>
      <c r="E485" s="1055"/>
      <c r="F485" s="1055"/>
      <c r="G485" s="1055"/>
      <c r="H485" s="1055"/>
      <c r="I485" s="1055"/>
      <c r="J485" s="1055"/>
      <c r="K485" s="1055"/>
      <c r="L485" s="1055"/>
      <c r="M485" s="1055"/>
      <c r="N485" s="1055"/>
      <c r="O485" s="1055"/>
      <c r="P485" s="1055"/>
      <c r="Q485" s="1055"/>
      <c r="R485" s="1055"/>
      <c r="S485" s="1055"/>
      <c r="T485" s="1055"/>
      <c r="U485" s="1055"/>
      <c r="V485" s="1055"/>
      <c r="W485" s="1055"/>
      <c r="X485" s="1055" t="s">
        <v>589</v>
      </c>
      <c r="Y485" s="1055"/>
      <c r="Z485" s="1055"/>
      <c r="AA485" s="1055"/>
      <c r="AB485" s="1055"/>
      <c r="AC485" s="1055"/>
      <c r="AD485" s="1055"/>
      <c r="AE485" s="1055"/>
      <c r="AF485" s="1055"/>
      <c r="AG485" s="1055"/>
      <c r="AH485" s="1055"/>
      <c r="AI485" s="1055"/>
      <c r="AJ485" s="1055"/>
      <c r="AK485" s="1055"/>
      <c r="AL485" s="1055"/>
      <c r="AM485" s="1055"/>
      <c r="AN485" s="1055"/>
      <c r="AO485" s="1055"/>
      <c r="AP485" s="1055"/>
      <c r="AQ485" s="1055"/>
      <c r="AR485" s="1055"/>
      <c r="AS485" s="1055"/>
      <c r="AT485" s="1055"/>
      <c r="AU485" s="1055"/>
      <c r="AV485" s="1055"/>
      <c r="AW485" s="1055"/>
      <c r="AX485" s="1055"/>
      <c r="AY485" s="1055"/>
      <c r="AZ485" s="1055"/>
      <c r="BA485" s="1055"/>
      <c r="BB485" s="1055"/>
      <c r="BC485" s="1055"/>
      <c r="BD485" s="1055"/>
      <c r="BE485" s="1055"/>
      <c r="BF485" s="1055"/>
      <c r="BG485" s="1056"/>
    </row>
    <row r="486" spans="1:59" x14ac:dyDescent="0.15">
      <c r="A486" s="1050"/>
      <c r="B486" s="1065"/>
      <c r="C486" s="1066"/>
      <c r="D486" s="1066"/>
      <c r="E486" s="1066"/>
      <c r="F486" s="1066"/>
      <c r="G486" s="1066"/>
      <c r="H486" s="1066"/>
      <c r="I486" s="1066"/>
      <c r="J486" s="1066"/>
      <c r="K486" s="1066"/>
      <c r="L486" s="1066"/>
      <c r="M486" s="1066"/>
      <c r="N486" s="1066"/>
      <c r="O486" s="1066"/>
      <c r="P486" s="1066"/>
      <c r="Q486" s="1066"/>
      <c r="R486" s="1066"/>
      <c r="S486" s="1066"/>
      <c r="T486" s="1066"/>
      <c r="U486" s="1066"/>
      <c r="V486" s="1066"/>
      <c r="W486" s="1066"/>
      <c r="X486" s="1066"/>
      <c r="Y486" s="1066"/>
      <c r="Z486" s="1066"/>
      <c r="AA486" s="1066"/>
      <c r="AB486" s="1066"/>
      <c r="AC486" s="1066"/>
      <c r="AD486" s="1066"/>
      <c r="AE486" s="1066"/>
      <c r="AF486" s="1066"/>
      <c r="AG486" s="1066"/>
      <c r="AH486" s="1066"/>
      <c r="AI486" s="1066"/>
      <c r="AJ486" s="1066"/>
      <c r="AK486" s="1066"/>
      <c r="AL486" s="1066"/>
      <c r="AM486" s="1066"/>
      <c r="AN486" s="1066"/>
      <c r="AO486" s="1066"/>
      <c r="AP486" s="1066"/>
      <c r="AQ486" s="1066"/>
      <c r="AR486" s="1066"/>
      <c r="AS486" s="1066"/>
      <c r="AT486" s="1066"/>
      <c r="AU486" s="1066"/>
      <c r="AV486" s="1066"/>
      <c r="AW486" s="1066"/>
      <c r="AX486" s="1066"/>
      <c r="AY486" s="1066"/>
      <c r="AZ486" s="1066"/>
      <c r="BA486" s="1066"/>
      <c r="BB486" s="1066"/>
      <c r="BC486" s="1066"/>
      <c r="BD486" s="1066"/>
      <c r="BE486" s="1066"/>
      <c r="BF486" s="1066"/>
      <c r="BG486" s="1067"/>
    </row>
    <row r="487" spans="1:59" x14ac:dyDescent="0.15">
      <c r="A487" s="1050"/>
      <c r="B487" s="1753" t="s">
        <v>846</v>
      </c>
      <c r="C487" s="1754"/>
      <c r="D487" s="1754"/>
      <c r="E487" s="1754"/>
      <c r="F487" s="1754"/>
      <c r="G487" s="1754"/>
      <c r="H487" s="1754"/>
      <c r="I487" s="1754"/>
      <c r="J487" s="1754"/>
      <c r="K487" s="1754"/>
      <c r="L487" s="1754"/>
      <c r="M487" s="1754"/>
      <c r="N487" s="1754"/>
      <c r="O487" s="1754"/>
      <c r="P487" s="1754"/>
      <c r="Q487" s="1754"/>
      <c r="R487" s="1754"/>
      <c r="S487" s="1754"/>
      <c r="T487" s="1754"/>
      <c r="U487" s="1754"/>
      <c r="V487" s="1754"/>
      <c r="W487" s="1754"/>
      <c r="X487" s="1754"/>
      <c r="Y487" s="1754"/>
      <c r="Z487" s="1754"/>
      <c r="AA487" s="1754"/>
      <c r="AB487" s="1754"/>
      <c r="AC487" s="1754"/>
      <c r="AD487" s="1754"/>
      <c r="AE487" s="1754"/>
      <c r="AF487" s="1754"/>
      <c r="AG487" s="1754"/>
      <c r="AH487" s="1754"/>
      <c r="AI487" s="1754"/>
      <c r="AJ487" s="1754"/>
      <c r="AK487" s="1754"/>
      <c r="AL487" s="1754"/>
      <c r="AM487" s="1754"/>
      <c r="AN487" s="1754"/>
      <c r="AO487" s="1754"/>
      <c r="AP487" s="1754"/>
      <c r="AQ487" s="1754"/>
      <c r="AR487" s="1754"/>
      <c r="AS487" s="1754"/>
      <c r="AT487" s="1754"/>
      <c r="AU487" s="1754"/>
      <c r="AV487" s="1754"/>
      <c r="AW487" s="1754"/>
      <c r="AX487" s="1754"/>
      <c r="AY487" s="1754"/>
      <c r="AZ487" s="1754"/>
      <c r="BA487" s="1754"/>
      <c r="BB487" s="1754"/>
      <c r="BC487" s="1754"/>
      <c r="BD487" s="1754"/>
      <c r="BE487" s="1754"/>
      <c r="BF487" s="1754"/>
      <c r="BG487" s="1755"/>
    </row>
    <row r="488" spans="1:59" x14ac:dyDescent="0.15">
      <c r="A488" s="1050"/>
      <c r="B488" s="1068"/>
      <c r="C488" s="1751"/>
      <c r="D488" s="1751"/>
      <c r="E488" s="1751"/>
      <c r="F488" s="1751"/>
      <c r="G488" s="1751"/>
      <c r="H488" s="1751"/>
      <c r="I488" s="1751"/>
      <c r="J488" s="1751"/>
      <c r="K488" s="1751"/>
      <c r="L488" s="1751"/>
      <c r="M488" s="1751"/>
      <c r="N488" s="1751"/>
      <c r="O488" s="1751"/>
      <c r="P488" s="1751"/>
      <c r="Q488" s="1751"/>
      <c r="R488" s="1751"/>
      <c r="S488" s="1751"/>
      <c r="T488" s="1751"/>
      <c r="U488" s="1751"/>
      <c r="V488" s="1751"/>
      <c r="W488" s="1751"/>
      <c r="X488" s="1751"/>
      <c r="Y488" s="1751"/>
      <c r="Z488" s="1751"/>
      <c r="AA488" s="1751"/>
      <c r="AB488" s="1751"/>
      <c r="AC488" s="1751"/>
      <c r="AD488" s="1751"/>
      <c r="AE488" s="1751"/>
      <c r="AF488" s="1751"/>
      <c r="AG488" s="1751"/>
      <c r="AH488" s="1751"/>
      <c r="AI488" s="1751"/>
      <c r="AJ488" s="1751"/>
      <c r="AK488" s="1751"/>
      <c r="AL488" s="1751"/>
      <c r="AM488" s="1751"/>
      <c r="AN488" s="1751"/>
      <c r="AO488" s="1751"/>
      <c r="AP488" s="1751"/>
      <c r="AQ488" s="1751"/>
      <c r="AR488" s="1751"/>
      <c r="AS488" s="1751"/>
      <c r="AT488" s="1751"/>
      <c r="AU488" s="1751"/>
      <c r="AV488" s="1751"/>
      <c r="AW488" s="1751"/>
      <c r="AX488" s="1751"/>
      <c r="AY488" s="1751"/>
      <c r="AZ488" s="1751"/>
      <c r="BA488" s="1751"/>
      <c r="BB488" s="1751"/>
      <c r="BC488" s="1751"/>
      <c r="BD488" s="1751"/>
      <c r="BE488" s="1751"/>
      <c r="BF488" s="1751"/>
      <c r="BG488" s="1069"/>
    </row>
    <row r="489" spans="1:59" ht="15" thickBot="1" x14ac:dyDescent="0.2">
      <c r="A489" s="1050"/>
      <c r="B489" s="1064"/>
      <c r="C489" s="1761" t="s">
        <v>914</v>
      </c>
      <c r="D489" s="1761"/>
      <c r="E489" s="1761"/>
      <c r="F489" s="1761"/>
      <c r="G489" s="1761"/>
      <c r="H489" s="1761"/>
      <c r="I489" s="1761"/>
      <c r="J489" s="1761"/>
      <c r="K489" s="1761"/>
      <c r="L489" s="1761"/>
      <c r="M489" s="1761"/>
      <c r="N489" s="1761"/>
      <c r="O489" s="1761"/>
      <c r="P489" s="1761"/>
      <c r="Q489" s="1761"/>
      <c r="R489" s="1761"/>
      <c r="S489" s="1761"/>
      <c r="T489" s="1761"/>
      <c r="U489" s="1761"/>
      <c r="V489" s="1761"/>
      <c r="W489" s="1761"/>
      <c r="X489" s="1761"/>
      <c r="Y489" s="1761"/>
      <c r="Z489" s="1761"/>
      <c r="AA489" s="1761"/>
      <c r="AB489" s="1761"/>
      <c r="AC489" s="1761"/>
      <c r="AD489" s="1761"/>
      <c r="AE489" s="1761"/>
      <c r="AF489" s="1761"/>
      <c r="AG489" s="1761"/>
      <c r="AH489" s="1761"/>
      <c r="AI489" s="1761"/>
      <c r="AJ489" s="1761"/>
      <c r="AK489" s="1761"/>
      <c r="AL489" s="1761"/>
      <c r="AM489" s="1761"/>
      <c r="AN489" s="1761"/>
      <c r="AO489" s="1761"/>
      <c r="AP489" s="1761"/>
      <c r="AQ489" s="1761"/>
      <c r="AR489" s="1761"/>
      <c r="AS489" s="1761"/>
      <c r="AT489" s="1761"/>
      <c r="AU489" s="1761"/>
      <c r="AV489" s="1761"/>
      <c r="AW489" s="1761"/>
      <c r="AX489" s="1761"/>
      <c r="AY489" s="1761"/>
      <c r="AZ489" s="1761"/>
      <c r="BA489" s="1761"/>
      <c r="BB489" s="1761"/>
      <c r="BC489" s="1761"/>
      <c r="BD489" s="1761"/>
      <c r="BE489" s="1761"/>
      <c r="BF489" s="1761"/>
      <c r="BG489" s="1056"/>
    </row>
    <row r="490" spans="1:59" ht="15" thickBot="1" x14ac:dyDescent="0.2">
      <c r="A490" s="1050"/>
      <c r="B490" s="1064"/>
      <c r="C490" s="1748" t="str">
        <f>+Nyilatkozatok!BK160</f>
        <v>mezőgazdasági csekély összegű támogatás</v>
      </c>
      <c r="D490" s="1749"/>
      <c r="E490" s="1749"/>
      <c r="F490" s="1749"/>
      <c r="G490" s="1749"/>
      <c r="H490" s="1749"/>
      <c r="I490" s="1749"/>
      <c r="J490" s="1749"/>
      <c r="K490" s="1749"/>
      <c r="L490" s="1749"/>
      <c r="M490" s="1749"/>
      <c r="N490" s="1749"/>
      <c r="O490" s="1749"/>
      <c r="P490" s="1749"/>
      <c r="Q490" s="1749"/>
      <c r="R490" s="1749"/>
      <c r="S490" s="1749"/>
      <c r="T490" s="1749"/>
      <c r="U490" s="1749"/>
      <c r="V490" s="1749"/>
      <c r="W490" s="1749"/>
      <c r="X490" s="1749"/>
      <c r="Y490" s="1749"/>
      <c r="Z490" s="1749"/>
      <c r="AA490" s="1749"/>
      <c r="AB490" s="1749"/>
      <c r="AC490" s="1749"/>
      <c r="AD490" s="1749"/>
      <c r="AE490" s="1749"/>
      <c r="AF490" s="1749"/>
      <c r="AG490" s="1749"/>
      <c r="AH490" s="1750"/>
      <c r="AI490" s="1070"/>
      <c r="AJ490" s="1070"/>
      <c r="AK490" s="1070"/>
      <c r="AL490" s="1070"/>
      <c r="AM490" s="1070"/>
      <c r="AN490" s="1070"/>
      <c r="AO490" s="1070"/>
      <c r="AP490" s="1070"/>
      <c r="AQ490" s="1070"/>
      <c r="AR490" s="1070"/>
      <c r="AS490" s="1070"/>
      <c r="AT490" s="1070"/>
      <c r="AU490" s="1070"/>
      <c r="AV490" s="1070"/>
      <c r="AW490" s="1070"/>
      <c r="AX490" s="1070"/>
      <c r="AY490" s="1070"/>
      <c r="AZ490" s="1070"/>
      <c r="BA490" s="1070"/>
      <c r="BB490" s="1070"/>
      <c r="BC490" s="1070"/>
      <c r="BD490" s="1070"/>
      <c r="BE490" s="1070"/>
      <c r="BF490" s="1070"/>
      <c r="BG490" s="1056"/>
    </row>
    <row r="491" spans="1:59" x14ac:dyDescent="0.15">
      <c r="A491" s="1050"/>
      <c r="B491" s="1064"/>
      <c r="C491" s="1761" t="s">
        <v>856</v>
      </c>
      <c r="D491" s="1761"/>
      <c r="E491" s="1761"/>
      <c r="F491" s="1761"/>
      <c r="G491" s="1761"/>
      <c r="H491" s="1761"/>
      <c r="I491" s="1761"/>
      <c r="J491" s="1761"/>
      <c r="K491" s="1761"/>
      <c r="L491" s="1761"/>
      <c r="M491" s="1761"/>
      <c r="N491" s="1761"/>
      <c r="O491" s="1761"/>
      <c r="P491" s="1761"/>
      <c r="Q491" s="1761"/>
      <c r="R491" s="1761"/>
      <c r="S491" s="1761"/>
      <c r="T491" s="1761"/>
      <c r="U491" s="1761"/>
      <c r="V491" s="1761"/>
      <c r="W491" s="1761"/>
      <c r="X491" s="1761"/>
      <c r="Y491" s="1761"/>
      <c r="Z491" s="1761"/>
      <c r="AA491" s="1761"/>
      <c r="AB491" s="1761"/>
      <c r="AC491" s="1761"/>
      <c r="AD491" s="1761"/>
      <c r="AE491" s="1761"/>
      <c r="AF491" s="1761"/>
      <c r="AG491" s="1761"/>
      <c r="AH491" s="1761"/>
      <c r="AI491" s="1761"/>
      <c r="AJ491" s="1761"/>
      <c r="AK491" s="1761"/>
      <c r="AL491" s="1761"/>
      <c r="AM491" s="1761"/>
      <c r="AN491" s="1761"/>
      <c r="AO491" s="1761"/>
      <c r="AP491" s="1761"/>
      <c r="AQ491" s="1761"/>
      <c r="AR491" s="1761"/>
      <c r="AS491" s="1761"/>
      <c r="AT491" s="1761"/>
      <c r="AU491" s="1761"/>
      <c r="AV491" s="1761"/>
      <c r="AW491" s="1761"/>
      <c r="AX491" s="1761"/>
      <c r="AY491" s="1761"/>
      <c r="AZ491" s="1761"/>
      <c r="BA491" s="1761"/>
      <c r="BB491" s="1761"/>
      <c r="BC491" s="1761"/>
      <c r="BD491" s="1761"/>
      <c r="BE491" s="1761"/>
      <c r="BF491" s="1761"/>
      <c r="BG491" s="1056"/>
    </row>
    <row r="492" spans="1:59" x14ac:dyDescent="0.15">
      <c r="A492" s="1050"/>
      <c r="B492" s="1064"/>
      <c r="C492" s="1759" t="str">
        <f>+Nyilatkozatok!BK161</f>
        <v xml:space="preserve">– a finanszírozást nem visszaigényelhető általános forgalmi adó (ÁFA) finanszírozására használom fel, kivéve, ha ÁFA visszaigénylésére nem vagyok jogosult; </v>
      </c>
      <c r="D492" s="1759"/>
      <c r="E492" s="1759"/>
      <c r="F492" s="1759"/>
      <c r="G492" s="1759"/>
      <c r="H492" s="1759"/>
      <c r="I492" s="1759"/>
      <c r="J492" s="1759"/>
      <c r="K492" s="1759"/>
      <c r="L492" s="1759"/>
      <c r="M492" s="1759"/>
      <c r="N492" s="1759"/>
      <c r="O492" s="1759"/>
      <c r="P492" s="1759"/>
      <c r="Q492" s="1759"/>
      <c r="R492" s="1759"/>
      <c r="S492" s="1759"/>
      <c r="T492" s="1759"/>
      <c r="U492" s="1759"/>
      <c r="V492" s="1759"/>
      <c r="W492" s="1759"/>
      <c r="X492" s="1759"/>
      <c r="Y492" s="1759"/>
      <c r="Z492" s="1759"/>
      <c r="AA492" s="1759"/>
      <c r="AB492" s="1759"/>
      <c r="AC492" s="1759"/>
      <c r="AD492" s="1759"/>
      <c r="AE492" s="1759"/>
      <c r="AF492" s="1759"/>
      <c r="AG492" s="1759"/>
      <c r="AH492" s="1759"/>
      <c r="AI492" s="1759"/>
      <c r="AJ492" s="1759"/>
      <c r="AK492" s="1759"/>
      <c r="AL492" s="1759"/>
      <c r="AM492" s="1759"/>
      <c r="AN492" s="1759"/>
      <c r="AO492" s="1759"/>
      <c r="AP492" s="1759"/>
      <c r="AQ492" s="1759"/>
      <c r="AR492" s="1759"/>
      <c r="AS492" s="1759"/>
      <c r="AT492" s="1759"/>
      <c r="AU492" s="1759"/>
      <c r="AV492" s="1759"/>
      <c r="AW492" s="1759"/>
      <c r="AX492" s="1759"/>
      <c r="AY492" s="1759"/>
      <c r="AZ492" s="1759"/>
      <c r="BA492" s="1759"/>
      <c r="BB492" s="1759"/>
      <c r="BC492" s="1759"/>
      <c r="BD492" s="1759"/>
      <c r="BE492" s="1759"/>
      <c r="BF492" s="1759"/>
      <c r="BG492" s="1056"/>
    </row>
    <row r="493" spans="1:59" ht="32.25" customHeight="1" x14ac:dyDescent="0.15">
      <c r="A493" s="1050"/>
      <c r="B493" s="1064"/>
      <c r="C493" s="1759" t="str">
        <f>+Nyilatkozatok!BK162</f>
        <v xml:space="preserve">– a finanszírozást nem a finanszírozásról szóló döntés napján fizikailag már lezárt (befejezett) vagy teljes mértékben (fizikailag és pénzügyileg is) végrehajtott beruházás finanszírozására használom fel; </v>
      </c>
      <c r="D493" s="1759"/>
      <c r="E493" s="1759"/>
      <c r="F493" s="1759"/>
      <c r="G493" s="1759"/>
      <c r="H493" s="1759"/>
      <c r="I493" s="1759"/>
      <c r="J493" s="1759"/>
      <c r="K493" s="1759"/>
      <c r="L493" s="1759"/>
      <c r="M493" s="1759"/>
      <c r="N493" s="1759"/>
      <c r="O493" s="1759"/>
      <c r="P493" s="1759"/>
      <c r="Q493" s="1759"/>
      <c r="R493" s="1759"/>
      <c r="S493" s="1759"/>
      <c r="T493" s="1759"/>
      <c r="U493" s="1759"/>
      <c r="V493" s="1759"/>
      <c r="W493" s="1759"/>
      <c r="X493" s="1759"/>
      <c r="Y493" s="1759"/>
      <c r="Z493" s="1759"/>
      <c r="AA493" s="1759"/>
      <c r="AB493" s="1759"/>
      <c r="AC493" s="1759"/>
      <c r="AD493" s="1759"/>
      <c r="AE493" s="1759"/>
      <c r="AF493" s="1759"/>
      <c r="AG493" s="1759"/>
      <c r="AH493" s="1759"/>
      <c r="AI493" s="1759"/>
      <c r="AJ493" s="1759"/>
      <c r="AK493" s="1759"/>
      <c r="AL493" s="1759"/>
      <c r="AM493" s="1759"/>
      <c r="AN493" s="1759"/>
      <c r="AO493" s="1759"/>
      <c r="AP493" s="1759"/>
      <c r="AQ493" s="1759"/>
      <c r="AR493" s="1759"/>
      <c r="AS493" s="1759"/>
      <c r="AT493" s="1759"/>
      <c r="AU493" s="1759"/>
      <c r="AV493" s="1759"/>
      <c r="AW493" s="1759"/>
      <c r="AX493" s="1759"/>
      <c r="AY493" s="1759"/>
      <c r="AZ493" s="1759"/>
      <c r="BA493" s="1759"/>
      <c r="BB493" s="1759"/>
      <c r="BC493" s="1759"/>
      <c r="BD493" s="1759"/>
      <c r="BE493" s="1759"/>
      <c r="BF493" s="1759"/>
      <c r="BG493" s="1056"/>
    </row>
    <row r="494" spans="1:59" ht="48" customHeight="1" x14ac:dyDescent="0.15">
      <c r="A494" s="1050"/>
      <c r="B494" s="1064"/>
      <c r="C494" s="1759" t="str">
        <f>+Nyilatkozatok!BK163</f>
        <v>– a finanszírozást nem a harmadik országokba vagy tagállamokba irányuló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v>
      </c>
      <c r="D494" s="1759"/>
      <c r="E494" s="1759"/>
      <c r="F494" s="1759"/>
      <c r="G494" s="1759"/>
      <c r="H494" s="1759"/>
      <c r="I494" s="1759"/>
      <c r="J494" s="1759"/>
      <c r="K494" s="1759"/>
      <c r="L494" s="1759"/>
      <c r="M494" s="1759"/>
      <c r="N494" s="1759"/>
      <c r="O494" s="1759"/>
      <c r="P494" s="1759"/>
      <c r="Q494" s="1759"/>
      <c r="R494" s="1759"/>
      <c r="S494" s="1759"/>
      <c r="T494" s="1759"/>
      <c r="U494" s="1759"/>
      <c r="V494" s="1759"/>
      <c r="W494" s="1759"/>
      <c r="X494" s="1759"/>
      <c r="Y494" s="1759"/>
      <c r="Z494" s="1759"/>
      <c r="AA494" s="1759"/>
      <c r="AB494" s="1759"/>
      <c r="AC494" s="1759"/>
      <c r="AD494" s="1759"/>
      <c r="AE494" s="1759"/>
      <c r="AF494" s="1759"/>
      <c r="AG494" s="1759"/>
      <c r="AH494" s="1759"/>
      <c r="AI494" s="1759"/>
      <c r="AJ494" s="1759"/>
      <c r="AK494" s="1759"/>
      <c r="AL494" s="1759"/>
      <c r="AM494" s="1759"/>
      <c r="AN494" s="1759"/>
      <c r="AO494" s="1759"/>
      <c r="AP494" s="1759"/>
      <c r="AQ494" s="1759"/>
      <c r="AR494" s="1759"/>
      <c r="AS494" s="1759"/>
      <c r="AT494" s="1759"/>
      <c r="AU494" s="1759"/>
      <c r="AV494" s="1759"/>
      <c r="AW494" s="1759"/>
      <c r="AX494" s="1759"/>
      <c r="AY494" s="1759"/>
      <c r="AZ494" s="1759"/>
      <c r="BA494" s="1759"/>
      <c r="BB494" s="1759"/>
      <c r="BC494" s="1759"/>
      <c r="BD494" s="1759"/>
      <c r="BE494" s="1759"/>
      <c r="BF494" s="1759"/>
      <c r="BG494" s="1056"/>
    </row>
    <row r="495" spans="1:59" ht="16.5" customHeight="1" x14ac:dyDescent="0.15">
      <c r="A495" s="1050"/>
      <c r="B495" s="1064"/>
      <c r="C495" s="1759" t="str">
        <f>+Nyilatkozatok!BK164</f>
        <v>– a finanszírozást nem olyan feltétellel használom fel, amely az európai uniós jog megsértését eredményezi,</v>
      </c>
      <c r="D495" s="1759"/>
      <c r="E495" s="1759"/>
      <c r="F495" s="1759"/>
      <c r="G495" s="1759"/>
      <c r="H495" s="1759"/>
      <c r="I495" s="1759"/>
      <c r="J495" s="1759"/>
      <c r="K495" s="1759"/>
      <c r="L495" s="1759"/>
      <c r="M495" s="1759"/>
      <c r="N495" s="1759"/>
      <c r="O495" s="1759"/>
      <c r="P495" s="1759"/>
      <c r="Q495" s="1759"/>
      <c r="R495" s="1759"/>
      <c r="S495" s="1759"/>
      <c r="T495" s="1759"/>
      <c r="U495" s="1759"/>
      <c r="V495" s="1759"/>
      <c r="W495" s="1759"/>
      <c r="X495" s="1759"/>
      <c r="Y495" s="1759"/>
      <c r="Z495" s="1759"/>
      <c r="AA495" s="1759"/>
      <c r="AB495" s="1759"/>
      <c r="AC495" s="1759"/>
      <c r="AD495" s="1759"/>
      <c r="AE495" s="1759"/>
      <c r="AF495" s="1759"/>
      <c r="AG495" s="1759"/>
      <c r="AH495" s="1759"/>
      <c r="AI495" s="1759"/>
      <c r="AJ495" s="1759"/>
      <c r="AK495" s="1759"/>
      <c r="AL495" s="1759"/>
      <c r="AM495" s="1759"/>
      <c r="AN495" s="1759"/>
      <c r="AO495" s="1759"/>
      <c r="AP495" s="1759"/>
      <c r="AQ495" s="1759"/>
      <c r="AR495" s="1759"/>
      <c r="AS495" s="1759"/>
      <c r="AT495" s="1759"/>
      <c r="AU495" s="1759"/>
      <c r="AV495" s="1759"/>
      <c r="AW495" s="1759"/>
      <c r="AX495" s="1759"/>
      <c r="AY495" s="1759"/>
      <c r="AZ495" s="1759"/>
      <c r="BA495" s="1759"/>
      <c r="BB495" s="1759"/>
      <c r="BC495" s="1759"/>
      <c r="BD495" s="1759"/>
      <c r="BE495" s="1759"/>
      <c r="BF495" s="1759"/>
      <c r="BG495" s="1056"/>
    </row>
    <row r="496" spans="1:59" x14ac:dyDescent="0.15">
      <c r="A496" s="1050"/>
      <c r="B496" s="1064"/>
      <c r="C496" s="1759" t="str">
        <f>+Nyilatkozatok!BK165</f>
        <v/>
      </c>
      <c r="D496" s="1759"/>
      <c r="E496" s="1759"/>
      <c r="F496" s="1759"/>
      <c r="G496" s="1759"/>
      <c r="H496" s="1759"/>
      <c r="I496" s="1759"/>
      <c r="J496" s="1759"/>
      <c r="K496" s="1759"/>
      <c r="L496" s="1759"/>
      <c r="M496" s="1759"/>
      <c r="N496" s="1759"/>
      <c r="O496" s="1759"/>
      <c r="P496" s="1759"/>
      <c r="Q496" s="1759"/>
      <c r="R496" s="1759"/>
      <c r="S496" s="1759"/>
      <c r="T496" s="1759"/>
      <c r="U496" s="1759"/>
      <c r="V496" s="1759"/>
      <c r="W496" s="1759"/>
      <c r="X496" s="1759"/>
      <c r="Y496" s="1759"/>
      <c r="Z496" s="1759"/>
      <c r="AA496" s="1759"/>
      <c r="AB496" s="1759"/>
      <c r="AC496" s="1759"/>
      <c r="AD496" s="1759"/>
      <c r="AE496" s="1759"/>
      <c r="AF496" s="1759"/>
      <c r="AG496" s="1759"/>
      <c r="AH496" s="1759"/>
      <c r="AI496" s="1759"/>
      <c r="AJ496" s="1759"/>
      <c r="AK496" s="1759"/>
      <c r="AL496" s="1759"/>
      <c r="AM496" s="1759"/>
      <c r="AN496" s="1759"/>
      <c r="AO496" s="1759"/>
      <c r="AP496" s="1759"/>
      <c r="AQ496" s="1759"/>
      <c r="AR496" s="1759"/>
      <c r="AS496" s="1759"/>
      <c r="AT496" s="1759"/>
      <c r="AU496" s="1759"/>
      <c r="AV496" s="1759"/>
      <c r="AW496" s="1759"/>
      <c r="AX496" s="1759"/>
      <c r="AY496" s="1759"/>
      <c r="AZ496" s="1759"/>
      <c r="BA496" s="1759"/>
      <c r="BB496" s="1759"/>
      <c r="BC496" s="1759"/>
      <c r="BD496" s="1759"/>
      <c r="BE496" s="1759"/>
      <c r="BF496" s="1759"/>
      <c r="BG496" s="1056"/>
    </row>
    <row r="497" spans="1:59" x14ac:dyDescent="0.15">
      <c r="A497" s="1050"/>
      <c r="B497" s="1064"/>
      <c r="C497" s="1759" t="str">
        <f>+Nyilatkozatok!BK166</f>
        <v/>
      </c>
      <c r="D497" s="1759"/>
      <c r="E497" s="1759"/>
      <c r="F497" s="1759"/>
      <c r="G497" s="1759"/>
      <c r="H497" s="1759"/>
      <c r="I497" s="1759"/>
      <c r="J497" s="1759"/>
      <c r="K497" s="1759"/>
      <c r="L497" s="1759"/>
      <c r="M497" s="1759"/>
      <c r="N497" s="1759"/>
      <c r="O497" s="1759"/>
      <c r="P497" s="1759"/>
      <c r="Q497" s="1759"/>
      <c r="R497" s="1759"/>
      <c r="S497" s="1759"/>
      <c r="T497" s="1759"/>
      <c r="U497" s="1759"/>
      <c r="V497" s="1759"/>
      <c r="W497" s="1759"/>
      <c r="X497" s="1759"/>
      <c r="Y497" s="1759"/>
      <c r="Z497" s="1759"/>
      <c r="AA497" s="1759"/>
      <c r="AB497" s="1759"/>
      <c r="AC497" s="1759"/>
      <c r="AD497" s="1759"/>
      <c r="AE497" s="1759"/>
      <c r="AF497" s="1759"/>
      <c r="AG497" s="1759"/>
      <c r="AH497" s="1759"/>
      <c r="AI497" s="1759"/>
      <c r="AJ497" s="1759"/>
      <c r="AK497" s="1759"/>
      <c r="AL497" s="1759"/>
      <c r="AM497" s="1759"/>
      <c r="AN497" s="1759"/>
      <c r="AO497" s="1759"/>
      <c r="AP497" s="1759"/>
      <c r="AQ497" s="1759"/>
      <c r="AR497" s="1759"/>
      <c r="AS497" s="1759"/>
      <c r="AT497" s="1759"/>
      <c r="AU497" s="1759"/>
      <c r="AV497" s="1759"/>
      <c r="AW497" s="1759"/>
      <c r="AX497" s="1759"/>
      <c r="AY497" s="1759"/>
      <c r="AZ497" s="1759"/>
      <c r="BA497" s="1759"/>
      <c r="BB497" s="1759"/>
      <c r="BC497" s="1759"/>
      <c r="BD497" s="1759"/>
      <c r="BE497" s="1759"/>
      <c r="BF497" s="1759"/>
      <c r="BG497" s="1056"/>
    </row>
    <row r="498" spans="1:59" x14ac:dyDescent="0.15">
      <c r="A498" s="1050"/>
      <c r="B498" s="1064"/>
      <c r="C498" s="1759" t="str">
        <f>+Nyilatkozatok!BK167</f>
        <v/>
      </c>
      <c r="D498" s="1759"/>
      <c r="E498" s="1759"/>
      <c r="F498" s="1759"/>
      <c r="G498" s="1759"/>
      <c r="H498" s="1759"/>
      <c r="I498" s="1759"/>
      <c r="J498" s="1759"/>
      <c r="K498" s="1759"/>
      <c r="L498" s="1759"/>
      <c r="M498" s="1759"/>
      <c r="N498" s="1759"/>
      <c r="O498" s="1759"/>
      <c r="P498" s="1759"/>
      <c r="Q498" s="1759"/>
      <c r="R498" s="1759"/>
      <c r="S498" s="1759"/>
      <c r="T498" s="1759"/>
      <c r="U498" s="1759"/>
      <c r="V498" s="1759"/>
      <c r="W498" s="1759"/>
      <c r="X498" s="1759"/>
      <c r="Y498" s="1759"/>
      <c r="Z498" s="1759"/>
      <c r="AA498" s="1759"/>
      <c r="AB498" s="1759"/>
      <c r="AC498" s="1759"/>
      <c r="AD498" s="1759"/>
      <c r="AE498" s="1759"/>
      <c r="AF498" s="1759"/>
      <c r="AG498" s="1759"/>
      <c r="AH498" s="1759"/>
      <c r="AI498" s="1759"/>
      <c r="AJ498" s="1759"/>
      <c r="AK498" s="1759"/>
      <c r="AL498" s="1759"/>
      <c r="AM498" s="1759"/>
      <c r="AN498" s="1759"/>
      <c r="AO498" s="1759"/>
      <c r="AP498" s="1759"/>
      <c r="AQ498" s="1759"/>
      <c r="AR498" s="1759"/>
      <c r="AS498" s="1759"/>
      <c r="AT498" s="1759"/>
      <c r="AU498" s="1759"/>
      <c r="AV498" s="1759"/>
      <c r="AW498" s="1759"/>
      <c r="AX498" s="1759"/>
      <c r="AY498" s="1759"/>
      <c r="AZ498" s="1759"/>
      <c r="BA498" s="1759"/>
      <c r="BB498" s="1759"/>
      <c r="BC498" s="1759"/>
      <c r="BD498" s="1759"/>
      <c r="BE498" s="1759"/>
      <c r="BF498" s="1759"/>
      <c r="BG498" s="1056"/>
    </row>
    <row r="499" spans="1:59" x14ac:dyDescent="0.15">
      <c r="A499" s="1050"/>
      <c r="B499" s="1064"/>
      <c r="C499" s="1759" t="str">
        <f>+Nyilatkozatok!BK168</f>
        <v/>
      </c>
      <c r="D499" s="1759"/>
      <c r="E499" s="1759"/>
      <c r="F499" s="1759"/>
      <c r="G499" s="1759"/>
      <c r="H499" s="1759"/>
      <c r="I499" s="1759"/>
      <c r="J499" s="1759"/>
      <c r="K499" s="1759"/>
      <c r="L499" s="1759"/>
      <c r="M499" s="1759"/>
      <c r="N499" s="1759"/>
      <c r="O499" s="1759"/>
      <c r="P499" s="1759"/>
      <c r="Q499" s="1759"/>
      <c r="R499" s="1759"/>
      <c r="S499" s="1759"/>
      <c r="T499" s="1759"/>
      <c r="U499" s="1759"/>
      <c r="V499" s="1759"/>
      <c r="W499" s="1759"/>
      <c r="X499" s="1759"/>
      <c r="Y499" s="1759"/>
      <c r="Z499" s="1759"/>
      <c r="AA499" s="1759"/>
      <c r="AB499" s="1759"/>
      <c r="AC499" s="1759"/>
      <c r="AD499" s="1759"/>
      <c r="AE499" s="1759"/>
      <c r="AF499" s="1759"/>
      <c r="AG499" s="1759"/>
      <c r="AH499" s="1759"/>
      <c r="AI499" s="1759"/>
      <c r="AJ499" s="1759"/>
      <c r="AK499" s="1759"/>
      <c r="AL499" s="1759"/>
      <c r="AM499" s="1759"/>
      <c r="AN499" s="1759"/>
      <c r="AO499" s="1759"/>
      <c r="AP499" s="1759"/>
      <c r="AQ499" s="1759"/>
      <c r="AR499" s="1759"/>
      <c r="AS499" s="1759"/>
      <c r="AT499" s="1759"/>
      <c r="AU499" s="1759"/>
      <c r="AV499" s="1759"/>
      <c r="AW499" s="1759"/>
      <c r="AX499" s="1759"/>
      <c r="AY499" s="1759"/>
      <c r="AZ499" s="1759"/>
      <c r="BA499" s="1759"/>
      <c r="BB499" s="1759"/>
      <c r="BC499" s="1759"/>
      <c r="BD499" s="1759"/>
      <c r="BE499" s="1759"/>
      <c r="BF499" s="1759"/>
      <c r="BG499" s="1056"/>
    </row>
    <row r="500" spans="1:59" x14ac:dyDescent="0.15">
      <c r="A500" s="1050"/>
      <c r="B500" s="1064"/>
      <c r="C500" s="1759" t="str">
        <f>+Nyilatkozatok!BK169</f>
        <v/>
      </c>
      <c r="D500" s="1759"/>
      <c r="E500" s="1759"/>
      <c r="F500" s="1759"/>
      <c r="G500" s="1759"/>
      <c r="H500" s="1759"/>
      <c r="I500" s="1759"/>
      <c r="J500" s="1759"/>
      <c r="K500" s="1759"/>
      <c r="L500" s="1759"/>
      <c r="M500" s="1759"/>
      <c r="N500" s="1759"/>
      <c r="O500" s="1759"/>
      <c r="P500" s="1759"/>
      <c r="Q500" s="1759"/>
      <c r="R500" s="1759"/>
      <c r="S500" s="1759"/>
      <c r="T500" s="1759"/>
      <c r="U500" s="1759"/>
      <c r="V500" s="1759"/>
      <c r="W500" s="1759"/>
      <c r="X500" s="1759"/>
      <c r="Y500" s="1759"/>
      <c r="Z500" s="1759"/>
      <c r="AA500" s="1759"/>
      <c r="AB500" s="1759"/>
      <c r="AC500" s="1759"/>
      <c r="AD500" s="1759"/>
      <c r="AE500" s="1759"/>
      <c r="AF500" s="1759"/>
      <c r="AG500" s="1759"/>
      <c r="AH500" s="1759"/>
      <c r="AI500" s="1759"/>
      <c r="AJ500" s="1759"/>
      <c r="AK500" s="1759"/>
      <c r="AL500" s="1759"/>
      <c r="AM500" s="1759"/>
      <c r="AN500" s="1759"/>
      <c r="AO500" s="1759"/>
      <c r="AP500" s="1759"/>
      <c r="AQ500" s="1759"/>
      <c r="AR500" s="1759"/>
      <c r="AS500" s="1759"/>
      <c r="AT500" s="1759"/>
      <c r="AU500" s="1759"/>
      <c r="AV500" s="1759"/>
      <c r="AW500" s="1759"/>
      <c r="AX500" s="1759"/>
      <c r="AY500" s="1759"/>
      <c r="AZ500" s="1759"/>
      <c r="BA500" s="1759"/>
      <c r="BB500" s="1759"/>
      <c r="BC500" s="1759"/>
      <c r="BD500" s="1759"/>
      <c r="BE500" s="1759"/>
      <c r="BF500" s="1759"/>
      <c r="BG500" s="1056"/>
    </row>
    <row r="501" spans="1:59" x14ac:dyDescent="0.15">
      <c r="A501" s="1050"/>
      <c r="B501" s="1064"/>
      <c r="C501" s="1759" t="str">
        <f>+Nyilatkozatok!BK181</f>
        <v/>
      </c>
      <c r="D501" s="1759"/>
      <c r="E501" s="1759"/>
      <c r="F501" s="1759"/>
      <c r="G501" s="1759"/>
      <c r="H501" s="1759"/>
      <c r="I501" s="1759"/>
      <c r="J501" s="1759"/>
      <c r="K501" s="1759"/>
      <c r="L501" s="1759"/>
      <c r="M501" s="1759"/>
      <c r="N501" s="1759"/>
      <c r="O501" s="1759"/>
      <c r="P501" s="1759"/>
      <c r="Q501" s="1759"/>
      <c r="R501" s="1759"/>
      <c r="S501" s="1759"/>
      <c r="T501" s="1759"/>
      <c r="U501" s="1759"/>
      <c r="V501" s="1759"/>
      <c r="W501" s="1759"/>
      <c r="X501" s="1759"/>
      <c r="Y501" s="1759"/>
      <c r="Z501" s="1759"/>
      <c r="AA501" s="1759"/>
      <c r="AB501" s="1759"/>
      <c r="AC501" s="1759"/>
      <c r="AD501" s="1759"/>
      <c r="AE501" s="1759"/>
      <c r="AF501" s="1759"/>
      <c r="AG501" s="1759"/>
      <c r="AH501" s="1759"/>
      <c r="AI501" s="1759"/>
      <c r="AJ501" s="1759"/>
      <c r="AK501" s="1759"/>
      <c r="AL501" s="1759"/>
      <c r="AM501" s="1759"/>
      <c r="AN501" s="1759"/>
      <c r="AO501" s="1759"/>
      <c r="AP501" s="1759"/>
      <c r="AQ501" s="1759"/>
      <c r="AR501" s="1759"/>
      <c r="AS501" s="1759"/>
      <c r="AT501" s="1759"/>
      <c r="AU501" s="1759"/>
      <c r="AV501" s="1759"/>
      <c r="AW501" s="1759"/>
      <c r="AX501" s="1759"/>
      <c r="AY501" s="1759"/>
      <c r="AZ501" s="1759"/>
      <c r="BA501" s="1759"/>
      <c r="BB501" s="1759"/>
      <c r="BC501" s="1759"/>
      <c r="BD501" s="1759"/>
      <c r="BE501" s="1759"/>
      <c r="BF501" s="1759"/>
      <c r="BG501" s="1056"/>
    </row>
    <row r="502" spans="1:59" x14ac:dyDescent="0.15">
      <c r="A502" s="1050"/>
      <c r="B502" s="1064"/>
      <c r="C502" s="1759" t="str">
        <f>+Nyilatkozatok!BK182</f>
        <v/>
      </c>
      <c r="D502" s="1759"/>
      <c r="E502" s="1759"/>
      <c r="F502" s="1759"/>
      <c r="G502" s="1759"/>
      <c r="H502" s="1759"/>
      <c r="I502" s="1759"/>
      <c r="J502" s="1759"/>
      <c r="K502" s="1759"/>
      <c r="L502" s="1759"/>
      <c r="M502" s="1759"/>
      <c r="N502" s="1759"/>
      <c r="O502" s="1759"/>
      <c r="P502" s="1759"/>
      <c r="Q502" s="1759"/>
      <c r="R502" s="1759"/>
      <c r="S502" s="1759"/>
      <c r="T502" s="1759"/>
      <c r="U502" s="1759"/>
      <c r="V502" s="1759"/>
      <c r="W502" s="1759"/>
      <c r="X502" s="1759"/>
      <c r="Y502" s="1759"/>
      <c r="Z502" s="1759"/>
      <c r="AA502" s="1759"/>
      <c r="AB502" s="1759"/>
      <c r="AC502" s="1759"/>
      <c r="AD502" s="1759"/>
      <c r="AE502" s="1759"/>
      <c r="AF502" s="1759"/>
      <c r="AG502" s="1759"/>
      <c r="AH502" s="1759"/>
      <c r="AI502" s="1759"/>
      <c r="AJ502" s="1759"/>
      <c r="AK502" s="1759"/>
      <c r="AL502" s="1759"/>
      <c r="AM502" s="1759"/>
      <c r="AN502" s="1759"/>
      <c r="AO502" s="1759"/>
      <c r="AP502" s="1759"/>
      <c r="AQ502" s="1759"/>
      <c r="AR502" s="1759"/>
      <c r="AS502" s="1759"/>
      <c r="AT502" s="1759"/>
      <c r="AU502" s="1759"/>
      <c r="AV502" s="1759"/>
      <c r="AW502" s="1759"/>
      <c r="AX502" s="1759"/>
      <c r="AY502" s="1759"/>
      <c r="AZ502" s="1759"/>
      <c r="BA502" s="1759"/>
      <c r="BB502" s="1759"/>
      <c r="BC502" s="1759"/>
      <c r="BD502" s="1759"/>
      <c r="BE502" s="1759"/>
      <c r="BF502" s="1759"/>
      <c r="BG502" s="1056"/>
    </row>
    <row r="503" spans="1:59" x14ac:dyDescent="0.15">
      <c r="A503" s="1050"/>
      <c r="B503" s="1064"/>
      <c r="C503" s="1759" t="str">
        <f>+Nyilatkozatok!BK183</f>
        <v/>
      </c>
      <c r="D503" s="1759"/>
      <c r="E503" s="1759"/>
      <c r="F503" s="1759"/>
      <c r="G503" s="1759"/>
      <c r="H503" s="1759"/>
      <c r="I503" s="1759"/>
      <c r="J503" s="1759"/>
      <c r="K503" s="1759"/>
      <c r="L503" s="1759"/>
      <c r="M503" s="1759"/>
      <c r="N503" s="1759"/>
      <c r="O503" s="1759"/>
      <c r="P503" s="1759"/>
      <c r="Q503" s="1759"/>
      <c r="R503" s="1759"/>
      <c r="S503" s="1759"/>
      <c r="T503" s="1759"/>
      <c r="U503" s="1759"/>
      <c r="V503" s="1759"/>
      <c r="W503" s="1759"/>
      <c r="X503" s="1759"/>
      <c r="Y503" s="1759"/>
      <c r="Z503" s="1759"/>
      <c r="AA503" s="1759"/>
      <c r="AB503" s="1759"/>
      <c r="AC503" s="1759"/>
      <c r="AD503" s="1759"/>
      <c r="AE503" s="1759"/>
      <c r="AF503" s="1759"/>
      <c r="AG503" s="1759"/>
      <c r="AH503" s="1759"/>
      <c r="AI503" s="1759"/>
      <c r="AJ503" s="1759"/>
      <c r="AK503" s="1759"/>
      <c r="AL503" s="1759"/>
      <c r="AM503" s="1759"/>
      <c r="AN503" s="1759"/>
      <c r="AO503" s="1759"/>
      <c r="AP503" s="1759"/>
      <c r="AQ503" s="1759"/>
      <c r="AR503" s="1759"/>
      <c r="AS503" s="1759"/>
      <c r="AT503" s="1759"/>
      <c r="AU503" s="1759"/>
      <c r="AV503" s="1759"/>
      <c r="AW503" s="1759"/>
      <c r="AX503" s="1759"/>
      <c r="AY503" s="1759"/>
      <c r="AZ503" s="1759"/>
      <c r="BA503" s="1759"/>
      <c r="BB503" s="1759"/>
      <c r="BC503" s="1759"/>
      <c r="BD503" s="1759"/>
      <c r="BE503" s="1759"/>
      <c r="BF503" s="1759"/>
      <c r="BG503" s="1056"/>
    </row>
    <row r="504" spans="1:59" x14ac:dyDescent="0.15">
      <c r="A504" s="1050"/>
      <c r="B504" s="1064"/>
      <c r="C504" s="1759" t="str">
        <f>+Nyilatkozatok!BK184</f>
        <v/>
      </c>
      <c r="D504" s="1759"/>
      <c r="E504" s="1759"/>
      <c r="F504" s="1759"/>
      <c r="G504" s="1759"/>
      <c r="H504" s="1759"/>
      <c r="I504" s="1759"/>
      <c r="J504" s="1759"/>
      <c r="K504" s="1759"/>
      <c r="L504" s="1759"/>
      <c r="M504" s="1759"/>
      <c r="N504" s="1759"/>
      <c r="O504" s="1759"/>
      <c r="P504" s="1759"/>
      <c r="Q504" s="1759"/>
      <c r="R504" s="1759"/>
      <c r="S504" s="1759"/>
      <c r="T504" s="1759"/>
      <c r="U504" s="1759"/>
      <c r="V504" s="1759"/>
      <c r="W504" s="1759"/>
      <c r="X504" s="1759"/>
      <c r="Y504" s="1759"/>
      <c r="Z504" s="1759"/>
      <c r="AA504" s="1759"/>
      <c r="AB504" s="1759"/>
      <c r="AC504" s="1759"/>
      <c r="AD504" s="1759"/>
      <c r="AE504" s="1759"/>
      <c r="AF504" s="1759"/>
      <c r="AG504" s="1759"/>
      <c r="AH504" s="1759"/>
      <c r="AI504" s="1759"/>
      <c r="AJ504" s="1759"/>
      <c r="AK504" s="1759"/>
      <c r="AL504" s="1759"/>
      <c r="AM504" s="1759"/>
      <c r="AN504" s="1759"/>
      <c r="AO504" s="1759"/>
      <c r="AP504" s="1759"/>
      <c r="AQ504" s="1759"/>
      <c r="AR504" s="1759"/>
      <c r="AS504" s="1759"/>
      <c r="AT504" s="1759"/>
      <c r="AU504" s="1759"/>
      <c r="AV504" s="1759"/>
      <c r="AW504" s="1759"/>
      <c r="AX504" s="1759"/>
      <c r="AY504" s="1759"/>
      <c r="AZ504" s="1759"/>
      <c r="BA504" s="1759"/>
      <c r="BB504" s="1759"/>
      <c r="BC504" s="1759"/>
      <c r="BD504" s="1759"/>
      <c r="BE504" s="1759"/>
      <c r="BF504" s="1759"/>
      <c r="BG504" s="1056"/>
    </row>
    <row r="505" spans="1:59" x14ac:dyDescent="0.15">
      <c r="A505" s="1050"/>
      <c r="B505" s="1064"/>
      <c r="C505" s="1779" t="s">
        <v>787</v>
      </c>
      <c r="D505" s="1761"/>
      <c r="E505" s="1761"/>
      <c r="F505" s="1761"/>
      <c r="G505" s="1761"/>
      <c r="H505" s="1761"/>
      <c r="I505" s="1761"/>
      <c r="J505" s="1761"/>
      <c r="K505" s="1761"/>
      <c r="L505" s="1761"/>
      <c r="M505" s="1761"/>
      <c r="N505" s="1761"/>
      <c r="O505" s="1761"/>
      <c r="P505" s="1761"/>
      <c r="Q505" s="1761"/>
      <c r="R505" s="1761"/>
      <c r="S505" s="1761"/>
      <c r="T505" s="1761"/>
      <c r="U505" s="1761"/>
      <c r="V505" s="1761"/>
      <c r="W505" s="1761"/>
      <c r="X505" s="1761"/>
      <c r="Y505" s="1761"/>
      <c r="Z505" s="1761"/>
      <c r="AA505" s="1761"/>
      <c r="AB505" s="1761"/>
      <c r="AC505" s="1761"/>
      <c r="AD505" s="1761"/>
      <c r="AE505" s="1761"/>
      <c r="AF505" s="1761"/>
      <c r="AG505" s="1761"/>
      <c r="AH505" s="1761"/>
      <c r="AI505" s="1761"/>
      <c r="AJ505" s="1761"/>
      <c r="AK505" s="1761"/>
      <c r="AL505" s="1761"/>
      <c r="AM505" s="1761"/>
      <c r="AN505" s="1761"/>
      <c r="AO505" s="1761"/>
      <c r="AP505" s="1761"/>
      <c r="AQ505" s="1761"/>
      <c r="AR505" s="1761"/>
      <c r="AS505" s="1761"/>
      <c r="AT505" s="1761"/>
      <c r="AU505" s="1761"/>
      <c r="AV505" s="1761"/>
      <c r="AW505" s="1761"/>
      <c r="AX505" s="1761"/>
      <c r="AY505" s="1761"/>
      <c r="AZ505" s="1761"/>
      <c r="BA505" s="1761"/>
      <c r="BB505" s="1761"/>
      <c r="BC505" s="1761"/>
      <c r="BD505" s="1761"/>
      <c r="BE505" s="1761"/>
      <c r="BF505" s="1761"/>
      <c r="BG505" s="1056"/>
    </row>
    <row r="506" spans="1:59" x14ac:dyDescent="0.15">
      <c r="A506" s="1050"/>
      <c r="B506" s="1053"/>
      <c r="C506" s="1760"/>
      <c r="D506" s="1760"/>
      <c r="E506" s="1760"/>
      <c r="F506" s="1760"/>
      <c r="G506" s="1760"/>
      <c r="H506" s="1760"/>
      <c r="I506" s="1760"/>
      <c r="J506" s="1760"/>
      <c r="K506" s="1760"/>
      <c r="L506" s="1760"/>
      <c r="M506" s="1760"/>
      <c r="N506" s="1760"/>
      <c r="O506" s="1760"/>
      <c r="P506" s="1760"/>
      <c r="Q506" s="1760"/>
      <c r="R506" s="1760"/>
      <c r="S506" s="1760"/>
      <c r="T506" s="1760"/>
      <c r="U506" s="1760"/>
      <c r="V506" s="1760"/>
      <c r="W506" s="1760"/>
      <c r="X506" s="1760"/>
      <c r="Y506" s="1760"/>
      <c r="Z506" s="1760"/>
      <c r="AA506" s="1760"/>
      <c r="AB506" s="1760"/>
      <c r="AC506" s="1760"/>
      <c r="AD506" s="1760"/>
      <c r="AE506" s="1760"/>
      <c r="AF506" s="1760"/>
      <c r="AG506" s="1760"/>
      <c r="AH506" s="1760"/>
      <c r="AI506" s="1760"/>
      <c r="AJ506" s="1760"/>
      <c r="AK506" s="1760"/>
      <c r="AL506" s="1760"/>
      <c r="AM506" s="1760"/>
      <c r="AN506" s="1760"/>
      <c r="AO506" s="1760"/>
      <c r="AP506" s="1760"/>
      <c r="AQ506" s="1760"/>
      <c r="AR506" s="1760"/>
      <c r="AS506" s="1760"/>
      <c r="AT506" s="1760"/>
      <c r="AU506" s="1760"/>
      <c r="AV506" s="1760"/>
      <c r="AW506" s="1760"/>
      <c r="AX506" s="1760"/>
      <c r="AY506" s="1760"/>
      <c r="AZ506" s="1760"/>
      <c r="BA506" s="1760"/>
      <c r="BB506" s="1760"/>
      <c r="BC506" s="1760"/>
      <c r="BD506" s="1760"/>
      <c r="BE506" s="1760"/>
      <c r="BF506" s="1760"/>
      <c r="BG506" s="1071"/>
    </row>
    <row r="507" spans="1:59" x14ac:dyDescent="0.15">
      <c r="A507" s="1050"/>
      <c r="B507" s="1064"/>
      <c r="C507" s="1760"/>
      <c r="D507" s="1760"/>
      <c r="E507" s="1760"/>
      <c r="F507" s="1760"/>
      <c r="G507" s="1760"/>
      <c r="H507" s="1760"/>
      <c r="I507" s="1760"/>
      <c r="J507" s="1760"/>
      <c r="K507" s="1760"/>
      <c r="L507" s="1760"/>
      <c r="M507" s="1760"/>
      <c r="N507" s="1760"/>
      <c r="O507" s="1760"/>
      <c r="P507" s="1760"/>
      <c r="Q507" s="1760"/>
      <c r="R507" s="1760"/>
      <c r="S507" s="1760"/>
      <c r="T507" s="1760"/>
      <c r="U507" s="1760"/>
      <c r="V507" s="1760"/>
      <c r="W507" s="1760"/>
      <c r="X507" s="1760"/>
      <c r="Y507" s="1760"/>
      <c r="Z507" s="1760"/>
      <c r="AA507" s="1760"/>
      <c r="AB507" s="1760"/>
      <c r="AC507" s="1760"/>
      <c r="AD507" s="1760"/>
      <c r="AE507" s="1760"/>
      <c r="AF507" s="1760"/>
      <c r="AG507" s="1760"/>
      <c r="AH507" s="1760"/>
      <c r="AI507" s="1760"/>
      <c r="AJ507" s="1760"/>
      <c r="AK507" s="1760"/>
      <c r="AL507" s="1760"/>
      <c r="AM507" s="1760"/>
      <c r="AN507" s="1760"/>
      <c r="AO507" s="1760"/>
      <c r="AP507" s="1760"/>
      <c r="AQ507" s="1760"/>
      <c r="AR507" s="1760"/>
      <c r="AS507" s="1760"/>
      <c r="AT507" s="1760"/>
      <c r="AU507" s="1760"/>
      <c r="AV507" s="1760"/>
      <c r="AW507" s="1760"/>
      <c r="AX507" s="1760"/>
      <c r="AY507" s="1760"/>
      <c r="AZ507" s="1760"/>
      <c r="BA507" s="1760"/>
      <c r="BB507" s="1760"/>
      <c r="BC507" s="1760"/>
      <c r="BD507" s="1760"/>
      <c r="BE507" s="1760"/>
      <c r="BF507" s="1760"/>
      <c r="BG507" s="1056"/>
    </row>
    <row r="508" spans="1:59" x14ac:dyDescent="0.15">
      <c r="A508" s="1050"/>
      <c r="B508" s="1064"/>
      <c r="C508" s="1054"/>
      <c r="D508" s="1054"/>
      <c r="E508" s="1054"/>
      <c r="F508" s="1054" t="s">
        <v>796</v>
      </c>
      <c r="G508" s="1054"/>
      <c r="H508" s="1780" t="str">
        <f>+IF(keltezes="","",keltezes)</f>
        <v/>
      </c>
      <c r="I508" s="1760"/>
      <c r="J508" s="1760"/>
      <c r="K508" s="1760"/>
      <c r="L508" s="1760"/>
      <c r="M508" s="1760"/>
      <c r="N508" s="1760"/>
      <c r="O508" s="1760"/>
      <c r="P508" s="1760"/>
      <c r="Q508" s="1760"/>
      <c r="R508" s="1760"/>
      <c r="S508" s="1760"/>
      <c r="T508" s="1760"/>
      <c r="U508" s="1054"/>
      <c r="V508" s="1054"/>
      <c r="W508" s="1054"/>
      <c r="X508" s="1054"/>
      <c r="Y508" s="1054"/>
      <c r="Z508" s="1054"/>
      <c r="AA508" s="1054"/>
      <c r="AB508" s="1054"/>
      <c r="AC508" s="1054"/>
      <c r="AD508" s="1054"/>
      <c r="AE508" s="1054"/>
      <c r="AF508" s="1054"/>
      <c r="AG508" s="1054"/>
      <c r="AH508" s="1054"/>
      <c r="AI508" s="1054"/>
      <c r="AJ508" s="1054"/>
      <c r="AK508" s="1054"/>
      <c r="AL508" s="1054"/>
      <c r="AM508" s="1054"/>
      <c r="AN508" s="1054"/>
      <c r="AO508" s="1054"/>
      <c r="AP508" s="1054"/>
      <c r="AQ508" s="1054"/>
      <c r="AR508" s="1054"/>
      <c r="AS508" s="1054"/>
      <c r="AT508" s="1054"/>
      <c r="AU508" s="1054"/>
      <c r="AV508" s="1054"/>
      <c r="AW508" s="1054"/>
      <c r="AX508" s="1054"/>
      <c r="AY508" s="1054"/>
      <c r="AZ508" s="1054"/>
      <c r="BA508" s="1054"/>
      <c r="BB508" s="1054"/>
      <c r="BC508" s="1054"/>
      <c r="BD508" s="1054"/>
      <c r="BE508" s="1054"/>
      <c r="BF508" s="1054"/>
      <c r="BG508" s="1056"/>
    </row>
    <row r="509" spans="1:59" x14ac:dyDescent="0.15">
      <c r="A509" s="1050"/>
      <c r="B509" s="1064"/>
      <c r="C509" s="1054"/>
      <c r="D509" s="1054"/>
      <c r="E509" s="1054"/>
      <c r="F509" s="1054"/>
      <c r="G509" s="1054"/>
      <c r="H509" s="1054"/>
      <c r="I509" s="1054"/>
      <c r="J509" s="1054"/>
      <c r="K509" s="1054"/>
      <c r="L509" s="1054"/>
      <c r="M509" s="1054"/>
      <c r="N509" s="1054"/>
      <c r="O509" s="1054"/>
      <c r="P509" s="1054"/>
      <c r="Q509" s="1054"/>
      <c r="R509" s="1054"/>
      <c r="S509" s="1054"/>
      <c r="T509" s="1054"/>
      <c r="U509" s="1054"/>
      <c r="V509" s="1054"/>
      <c r="W509" s="1054"/>
      <c r="X509" s="1054"/>
      <c r="Y509" s="1054"/>
      <c r="Z509" s="1054"/>
      <c r="AA509" s="1054"/>
      <c r="AB509" s="1054"/>
      <c r="AC509" s="1054"/>
      <c r="AD509" s="1054"/>
      <c r="AE509" s="1054"/>
      <c r="AF509" s="1054"/>
      <c r="AG509" s="1054"/>
      <c r="AH509" s="1054"/>
      <c r="AI509" s="1054"/>
      <c r="AJ509" s="1054"/>
      <c r="AK509" s="1054"/>
      <c r="AL509" s="1054"/>
      <c r="AM509" s="1054"/>
      <c r="AN509" s="1054"/>
      <c r="AO509" s="1054"/>
      <c r="AP509" s="1054"/>
      <c r="AQ509" s="1054"/>
      <c r="AR509" s="1054"/>
      <c r="AS509" s="1054"/>
      <c r="AT509" s="1054"/>
      <c r="AU509" s="1054"/>
      <c r="AV509" s="1054"/>
      <c r="AW509" s="1054"/>
      <c r="AX509" s="1054"/>
      <c r="AY509" s="1054"/>
      <c r="AZ509" s="1054"/>
      <c r="BA509" s="1054"/>
      <c r="BB509" s="1054"/>
      <c r="BC509" s="1054"/>
      <c r="BD509" s="1054"/>
      <c r="BE509" s="1054"/>
      <c r="BF509" s="1054"/>
      <c r="BG509" s="1056"/>
    </row>
    <row r="510" spans="1:59" x14ac:dyDescent="0.15">
      <c r="A510" s="1050"/>
      <c r="B510" s="1064"/>
      <c r="C510" s="1054"/>
      <c r="D510" s="1054"/>
      <c r="E510" s="1054"/>
      <c r="F510" s="1054"/>
      <c r="G510" s="1054"/>
      <c r="H510" s="1054"/>
      <c r="I510" s="1054"/>
      <c r="J510" s="1054"/>
      <c r="K510" s="1054"/>
      <c r="L510" s="1054"/>
      <c r="M510" s="1054"/>
      <c r="N510" s="1054"/>
      <c r="O510" s="1054"/>
      <c r="P510" s="1054"/>
      <c r="Q510" s="1054"/>
      <c r="R510" s="1054"/>
      <c r="S510" s="1054"/>
      <c r="T510" s="1054"/>
      <c r="U510" s="1054"/>
      <c r="V510" s="1054"/>
      <c r="W510" s="1054"/>
      <c r="X510" s="1054"/>
      <c r="Y510" s="1054"/>
      <c r="Z510" s="1054"/>
      <c r="AA510" s="1054"/>
      <c r="AB510" s="1054"/>
      <c r="AC510" s="1054"/>
      <c r="AD510" s="1054"/>
      <c r="AE510" s="1054"/>
      <c r="AF510" s="1054"/>
      <c r="AG510" s="1747"/>
      <c r="AH510" s="1747"/>
      <c r="AI510" s="1747"/>
      <c r="AJ510" s="1747"/>
      <c r="AK510" s="1747"/>
      <c r="AL510" s="1747"/>
      <c r="AM510" s="1747"/>
      <c r="AN510" s="1747"/>
      <c r="AO510" s="1747"/>
      <c r="AP510" s="1747"/>
      <c r="AQ510" s="1747"/>
      <c r="AR510" s="1747"/>
      <c r="AS510" s="1747"/>
      <c r="AT510" s="1747"/>
      <c r="AU510" s="1747"/>
      <c r="AV510" s="1747"/>
      <c r="AW510" s="1747"/>
      <c r="AX510" s="1747"/>
      <c r="AY510" s="1747"/>
      <c r="AZ510" s="1747"/>
      <c r="BA510" s="1747"/>
      <c r="BB510" s="1747"/>
      <c r="BC510" s="1747"/>
      <c r="BD510" s="1747"/>
      <c r="BE510" s="1054"/>
      <c r="BF510" s="1054"/>
      <c r="BG510" s="1056"/>
    </row>
    <row r="511" spans="1:59" ht="15" customHeight="1" x14ac:dyDescent="0.15">
      <c r="A511" s="1050"/>
      <c r="B511" s="1064"/>
      <c r="C511" s="1054"/>
      <c r="D511" s="1054"/>
      <c r="E511" s="1054"/>
      <c r="F511" s="1054"/>
      <c r="G511" s="1054"/>
      <c r="H511" s="1054"/>
      <c r="I511" s="1054"/>
      <c r="J511" s="1054"/>
      <c r="K511" s="1054"/>
      <c r="L511" s="1054"/>
      <c r="M511" s="1054"/>
      <c r="N511" s="1054"/>
      <c r="O511" s="1054"/>
      <c r="P511" s="1054"/>
      <c r="Q511" s="1054"/>
      <c r="R511" s="1054"/>
      <c r="S511" s="1054"/>
      <c r="T511" s="1054"/>
      <c r="U511" s="1054"/>
      <c r="V511" s="1054"/>
      <c r="W511" s="1054"/>
      <c r="X511" s="1054"/>
      <c r="Y511" s="1054"/>
      <c r="Z511" s="1054"/>
      <c r="AA511" s="1054"/>
      <c r="AB511" s="1054"/>
      <c r="AC511" s="1054"/>
      <c r="AD511" s="1054"/>
      <c r="AE511" s="1054"/>
      <c r="AF511" s="1054"/>
      <c r="AG511" s="1072" t="str">
        <f>+IF('Támogatási Nyilatkozatok_all'!C460="","",'Támogatási Nyilatkozatok_all'!C460)</f>
        <v/>
      </c>
      <c r="AH511" s="1072"/>
      <c r="AI511" s="1072"/>
      <c r="AJ511" s="1072"/>
      <c r="AK511" s="1072"/>
      <c r="AL511" s="1072"/>
      <c r="AM511" s="1072"/>
      <c r="AN511" s="1072"/>
      <c r="AO511" s="1072"/>
      <c r="AP511" s="1072"/>
      <c r="AQ511" s="1072"/>
      <c r="AR511" s="1072"/>
      <c r="AS511" s="1072"/>
      <c r="AT511" s="1072"/>
      <c r="AU511" s="1072"/>
      <c r="AV511" s="1072"/>
      <c r="AW511" s="1072"/>
      <c r="AX511" s="1072"/>
      <c r="AY511" s="1072"/>
      <c r="AZ511" s="1072"/>
      <c r="BA511" s="1072"/>
      <c r="BB511" s="1072"/>
      <c r="BC511" s="1072"/>
      <c r="BD511" s="1072"/>
      <c r="BE511" s="1054"/>
      <c r="BF511" s="1054"/>
      <c r="BG511" s="1056"/>
    </row>
    <row r="512" spans="1:59" x14ac:dyDescent="0.15">
      <c r="A512" s="1050"/>
      <c r="B512" s="1064"/>
      <c r="C512" s="1054"/>
      <c r="D512" s="1054"/>
      <c r="E512" s="1054"/>
      <c r="F512" s="1054"/>
      <c r="G512" s="1054"/>
      <c r="H512" s="1054"/>
      <c r="I512" s="1054"/>
      <c r="J512" s="1054"/>
      <c r="K512" s="1054"/>
      <c r="L512" s="1054"/>
      <c r="M512" s="1054"/>
      <c r="N512" s="1054"/>
      <c r="O512" s="1054"/>
      <c r="P512" s="1054"/>
      <c r="Q512" s="1054"/>
      <c r="R512" s="1054"/>
      <c r="S512" s="1054"/>
      <c r="T512" s="1054"/>
      <c r="U512" s="1054"/>
      <c r="V512" s="1054"/>
      <c r="W512" s="1054"/>
      <c r="X512" s="1054"/>
      <c r="Y512" s="1054"/>
      <c r="Z512" s="1054"/>
      <c r="AA512" s="1054"/>
      <c r="AB512" s="1054"/>
      <c r="AC512" s="1054"/>
      <c r="AD512" s="1054"/>
      <c r="AE512" s="1054"/>
      <c r="AF512" s="1054"/>
      <c r="AG512" s="1054"/>
      <c r="AH512" s="1054"/>
      <c r="AI512" s="1054"/>
      <c r="AJ512" s="1054"/>
      <c r="AK512" s="1054"/>
      <c r="AL512" s="1054"/>
      <c r="AM512" s="1054"/>
      <c r="AN512" s="1054"/>
      <c r="AO512" s="1054"/>
      <c r="AP512" s="1054"/>
      <c r="AQ512" s="1054"/>
      <c r="AR512" s="1054"/>
      <c r="AS512" s="1054"/>
      <c r="AT512" s="1054"/>
      <c r="AU512" s="1054"/>
      <c r="AV512" s="1054"/>
      <c r="AW512" s="1054"/>
      <c r="AX512" s="1054"/>
      <c r="AY512" s="1054"/>
      <c r="AZ512" s="1054"/>
      <c r="BA512" s="1054"/>
      <c r="BB512" s="1054"/>
      <c r="BC512" s="1054"/>
      <c r="BD512" s="1054"/>
      <c r="BE512" s="1054"/>
      <c r="BF512" s="1054"/>
      <c r="BG512" s="1056"/>
    </row>
    <row r="513" spans="1:59" x14ac:dyDescent="0.15">
      <c r="A513" s="1050"/>
      <c r="B513" s="1064"/>
      <c r="C513" s="1054"/>
      <c r="D513" s="1054"/>
      <c r="E513" s="1054"/>
      <c r="F513" s="1054"/>
      <c r="G513" s="1054"/>
      <c r="H513" s="1054"/>
      <c r="I513" s="1054"/>
      <c r="J513" s="1054"/>
      <c r="K513" s="1054"/>
      <c r="L513" s="1054"/>
      <c r="M513" s="1054"/>
      <c r="N513" s="1054"/>
      <c r="O513" s="1054"/>
      <c r="P513" s="1054"/>
      <c r="Q513" s="1054"/>
      <c r="R513" s="1054"/>
      <c r="S513" s="1054"/>
      <c r="T513" s="1054"/>
      <c r="U513" s="1054"/>
      <c r="V513" s="1054"/>
      <c r="W513" s="1054"/>
      <c r="X513" s="1054"/>
      <c r="Y513" s="1054"/>
      <c r="Z513" s="1054"/>
      <c r="AA513" s="1054"/>
      <c r="AB513" s="1054"/>
      <c r="AC513" s="1054"/>
      <c r="AD513" s="1054"/>
      <c r="AE513" s="1054"/>
      <c r="AF513" s="1054"/>
      <c r="AG513" s="1054"/>
      <c r="AH513" s="1054"/>
      <c r="AI513" s="1054"/>
      <c r="AJ513" s="1054"/>
      <c r="AK513" s="1054"/>
      <c r="AL513" s="1054"/>
      <c r="AM513" s="1054"/>
      <c r="AN513" s="1054"/>
      <c r="AO513" s="1054"/>
      <c r="AP513" s="1054"/>
      <c r="AQ513" s="1054"/>
      <c r="AR513" s="1054"/>
      <c r="AS513" s="1054"/>
      <c r="AT513" s="1054"/>
      <c r="AU513" s="1054"/>
      <c r="AV513" s="1054"/>
      <c r="AW513" s="1054"/>
      <c r="AX513" s="1054"/>
      <c r="AY513" s="1054"/>
      <c r="AZ513" s="1054"/>
      <c r="BA513" s="1054"/>
      <c r="BB513" s="1054"/>
      <c r="BC513" s="1054"/>
      <c r="BD513" s="1054"/>
      <c r="BE513" s="1054"/>
      <c r="BF513" s="1054"/>
      <c r="BG513" s="1056"/>
    </row>
    <row r="514" spans="1:59" x14ac:dyDescent="0.15">
      <c r="A514" s="1050"/>
      <c r="B514" s="1064"/>
      <c r="C514" s="1054"/>
      <c r="D514" s="1054"/>
      <c r="E514" s="1054" t="s">
        <v>797</v>
      </c>
      <c r="F514" s="1054"/>
      <c r="G514" s="1054"/>
      <c r="H514" s="1054"/>
      <c r="I514" s="1054"/>
      <c r="J514" s="1054"/>
      <c r="K514" s="1054"/>
      <c r="L514" s="1054"/>
      <c r="M514" s="1054"/>
      <c r="N514" s="1054"/>
      <c r="O514" s="1054"/>
      <c r="P514" s="1054"/>
      <c r="Q514" s="1054"/>
      <c r="R514" s="1054"/>
      <c r="S514" s="1054"/>
      <c r="T514" s="1054"/>
      <c r="U514" s="1054"/>
      <c r="V514" s="1054"/>
      <c r="W514" s="1054"/>
      <c r="X514" s="1054"/>
      <c r="Y514" s="1054"/>
      <c r="Z514" s="1054"/>
      <c r="AA514" s="1054"/>
      <c r="AB514" s="1054"/>
      <c r="AC514" s="1054"/>
      <c r="AD514" s="1054"/>
      <c r="AE514" s="1054"/>
      <c r="AF514" s="1054"/>
      <c r="AG514" s="1054"/>
      <c r="AH514" s="1054"/>
      <c r="AI514" s="1054"/>
      <c r="AJ514" s="1054"/>
      <c r="AK514" s="1054"/>
      <c r="AL514" s="1054"/>
      <c r="AM514" s="1054"/>
      <c r="AN514" s="1054"/>
      <c r="AO514" s="1054"/>
      <c r="AP514" s="1054"/>
      <c r="AQ514" s="1054"/>
      <c r="AR514" s="1054"/>
      <c r="AS514" s="1054"/>
      <c r="AT514" s="1054"/>
      <c r="AU514" s="1054"/>
      <c r="AV514" s="1054"/>
      <c r="AW514" s="1054"/>
      <c r="AX514" s="1054"/>
      <c r="AY514" s="1054"/>
      <c r="AZ514" s="1054"/>
      <c r="BA514" s="1054"/>
      <c r="BB514" s="1054"/>
      <c r="BC514" s="1054"/>
      <c r="BD514" s="1054"/>
      <c r="BE514" s="1054"/>
      <c r="BF514" s="1054"/>
      <c r="BG514" s="1056"/>
    </row>
    <row r="515" spans="1:59" x14ac:dyDescent="0.15">
      <c r="A515" s="1050"/>
      <c r="B515" s="1064"/>
      <c r="C515" s="1054"/>
      <c r="D515" s="1054"/>
      <c r="E515" s="1054" t="s">
        <v>798</v>
      </c>
      <c r="F515" s="1054"/>
      <c r="G515" s="1054"/>
      <c r="H515" s="1054"/>
      <c r="I515" s="1054"/>
      <c r="J515" s="1054"/>
      <c r="K515" s="1054"/>
      <c r="L515" s="1054"/>
      <c r="M515" s="1054"/>
      <c r="N515" s="1054"/>
      <c r="O515" s="1054"/>
      <c r="P515" s="1054"/>
      <c r="Q515" s="1054"/>
      <c r="R515" s="1054"/>
      <c r="S515" s="1054"/>
      <c r="T515" s="1054"/>
      <c r="U515" s="1054"/>
      <c r="V515" s="1054"/>
      <c r="W515" s="1054"/>
      <c r="X515" s="1054"/>
      <c r="Y515" s="1054"/>
      <c r="Z515" s="1054"/>
      <c r="AA515" s="1054"/>
      <c r="AB515" s="1054"/>
      <c r="AC515" s="1054"/>
      <c r="AD515" s="1054"/>
      <c r="AE515" s="1054"/>
      <c r="AF515" s="1054"/>
      <c r="AG515" s="1054"/>
      <c r="AH515" s="1054"/>
      <c r="AI515" s="1054"/>
      <c r="AJ515" s="1054"/>
      <c r="AK515" s="1054"/>
      <c r="AL515" s="1054"/>
      <c r="AM515" s="1054"/>
      <c r="AN515" s="1054"/>
      <c r="AO515" s="1054"/>
      <c r="AP515" s="1054"/>
      <c r="AQ515" s="1054"/>
      <c r="AR515" s="1054"/>
      <c r="AS515" s="1054"/>
      <c r="AT515" s="1054"/>
      <c r="AU515" s="1054"/>
      <c r="AV515" s="1054"/>
      <c r="AW515" s="1054"/>
      <c r="AX515" s="1054"/>
      <c r="AY515" s="1054"/>
      <c r="AZ515" s="1054"/>
      <c r="BA515" s="1054"/>
      <c r="BB515" s="1054"/>
      <c r="BC515" s="1054"/>
      <c r="BD515" s="1054"/>
      <c r="BE515" s="1054"/>
      <c r="BF515" s="1054"/>
      <c r="BG515" s="1056"/>
    </row>
    <row r="516" spans="1:59" x14ac:dyDescent="0.15">
      <c r="A516" s="1050"/>
      <c r="B516" s="1064"/>
      <c r="C516" s="1054"/>
      <c r="D516" s="1054"/>
      <c r="E516" s="1054"/>
      <c r="F516" s="1054"/>
      <c r="G516" s="1054"/>
      <c r="H516" s="1054"/>
      <c r="I516" s="1054"/>
      <c r="J516" s="1054"/>
      <c r="K516" s="1054"/>
      <c r="L516" s="1054"/>
      <c r="M516" s="1054"/>
      <c r="N516" s="1054"/>
      <c r="O516" s="1054"/>
      <c r="P516" s="1054"/>
      <c r="Q516" s="1054"/>
      <c r="R516" s="1054"/>
      <c r="S516" s="1054"/>
      <c r="T516" s="1054"/>
      <c r="U516" s="1054"/>
      <c r="V516" s="1054"/>
      <c r="W516" s="1054"/>
      <c r="X516" s="1054"/>
      <c r="Y516" s="1054"/>
      <c r="Z516" s="1054"/>
      <c r="AA516" s="1054"/>
      <c r="AB516" s="1054"/>
      <c r="AC516" s="1054"/>
      <c r="AD516" s="1054"/>
      <c r="AE516" s="1054"/>
      <c r="AF516" s="1054"/>
      <c r="AG516" s="1054"/>
      <c r="AH516" s="1054"/>
      <c r="AI516" s="1054"/>
      <c r="AJ516" s="1054"/>
      <c r="AK516" s="1054"/>
      <c r="AL516" s="1054"/>
      <c r="AM516" s="1054"/>
      <c r="AN516" s="1054"/>
      <c r="AO516" s="1054"/>
      <c r="AP516" s="1054"/>
      <c r="AQ516" s="1054"/>
      <c r="AR516" s="1054"/>
      <c r="AS516" s="1054"/>
      <c r="AT516" s="1054"/>
      <c r="AU516" s="1054"/>
      <c r="AV516" s="1054"/>
      <c r="AW516" s="1054"/>
      <c r="AX516" s="1054"/>
      <c r="AY516" s="1054"/>
      <c r="AZ516" s="1054"/>
      <c r="BA516" s="1054"/>
      <c r="BB516" s="1054"/>
      <c r="BC516" s="1054"/>
      <c r="BD516" s="1054"/>
      <c r="BE516" s="1054"/>
      <c r="BF516" s="1054"/>
      <c r="BG516" s="1056"/>
    </row>
    <row r="517" spans="1:59" x14ac:dyDescent="0.15">
      <c r="A517" s="1050"/>
      <c r="B517" s="1064"/>
      <c r="C517" s="1055"/>
      <c r="D517" s="1055"/>
      <c r="E517" s="1055" t="s">
        <v>799</v>
      </c>
      <c r="F517" s="1055"/>
      <c r="G517" s="1055"/>
      <c r="H517" s="1055"/>
      <c r="I517" s="1055"/>
      <c r="J517" s="1747"/>
      <c r="K517" s="1747"/>
      <c r="L517" s="1747"/>
      <c r="M517" s="1747"/>
      <c r="N517" s="1747"/>
      <c r="O517" s="1747"/>
      <c r="P517" s="1747"/>
      <c r="Q517" s="1747"/>
      <c r="R517" s="1747"/>
      <c r="S517" s="1747"/>
      <c r="T517" s="1747"/>
      <c r="U517" s="1747"/>
      <c r="V517" s="1747"/>
      <c r="W517" s="1747"/>
      <c r="X517" s="1747"/>
      <c r="Y517" s="1747"/>
      <c r="Z517" s="1747"/>
      <c r="AA517" s="1747"/>
      <c r="AB517" s="1747"/>
      <c r="AC517" s="1055"/>
      <c r="AD517" s="1055"/>
      <c r="AE517" s="1055"/>
      <c r="AF517" s="1055" t="s">
        <v>800</v>
      </c>
      <c r="AG517" s="1055"/>
      <c r="AH517" s="1055"/>
      <c r="AI517" s="1055"/>
      <c r="AJ517" s="1747"/>
      <c r="AK517" s="1747"/>
      <c r="AL517" s="1747"/>
      <c r="AM517" s="1747"/>
      <c r="AN517" s="1747"/>
      <c r="AO517" s="1747"/>
      <c r="AP517" s="1747"/>
      <c r="AQ517" s="1747"/>
      <c r="AR517" s="1747"/>
      <c r="AS517" s="1747"/>
      <c r="AT517" s="1747"/>
      <c r="AU517" s="1747"/>
      <c r="AV517" s="1747"/>
      <c r="AW517" s="1747"/>
      <c r="AX517" s="1747"/>
      <c r="AY517" s="1747"/>
      <c r="AZ517" s="1747"/>
      <c r="BA517" s="1747"/>
      <c r="BB517" s="1747"/>
      <c r="BC517" s="1055"/>
      <c r="BD517" s="1055"/>
      <c r="BE517" s="1055"/>
      <c r="BF517" s="1055"/>
      <c r="BG517" s="1056"/>
    </row>
    <row r="518" spans="1:59" x14ac:dyDescent="0.15">
      <c r="A518" s="1050"/>
      <c r="B518" s="1064"/>
      <c r="C518" s="1055"/>
      <c r="D518" s="1055"/>
      <c r="E518" s="1055"/>
      <c r="F518" s="1055"/>
      <c r="G518" s="1055"/>
      <c r="H518" s="1055"/>
      <c r="I518" s="1055"/>
      <c r="J518" s="1055"/>
      <c r="K518" s="1055"/>
      <c r="L518" s="1055"/>
      <c r="M518" s="1055"/>
      <c r="N518" s="1746" t="s">
        <v>315</v>
      </c>
      <c r="O518" s="1746"/>
      <c r="P518" s="1746"/>
      <c r="Q518" s="1746"/>
      <c r="R518" s="1746"/>
      <c r="S518" s="1746"/>
      <c r="T518" s="1746"/>
      <c r="U518" s="1746"/>
      <c r="V518" s="1746"/>
      <c r="W518" s="1746"/>
      <c r="X518" s="1746"/>
      <c r="Y518" s="1055"/>
      <c r="Z518" s="1055"/>
      <c r="AA518" s="1055"/>
      <c r="AB518" s="1055"/>
      <c r="AC518" s="1055"/>
      <c r="AD518" s="1055"/>
      <c r="AE518" s="1055"/>
      <c r="AF518" s="1055"/>
      <c r="AG518" s="1055"/>
      <c r="AH518" s="1055"/>
      <c r="AI518" s="1055"/>
      <c r="AJ518" s="1055"/>
      <c r="AK518" s="1055"/>
      <c r="AL518" s="1055"/>
      <c r="AM518" s="1055"/>
      <c r="AN518" s="1746" t="s">
        <v>315</v>
      </c>
      <c r="AO518" s="1746"/>
      <c r="AP518" s="1746"/>
      <c r="AQ518" s="1746"/>
      <c r="AR518" s="1746"/>
      <c r="AS518" s="1746"/>
      <c r="AT518" s="1746"/>
      <c r="AU518" s="1746"/>
      <c r="AV518" s="1746"/>
      <c r="AW518" s="1746"/>
      <c r="AX518" s="1746"/>
      <c r="AY518" s="1055"/>
      <c r="AZ518" s="1055"/>
      <c r="BA518" s="1055"/>
      <c r="BB518" s="1055"/>
      <c r="BC518" s="1055"/>
      <c r="BD518" s="1055"/>
      <c r="BE518" s="1055"/>
      <c r="BF518" s="1055"/>
      <c r="BG518" s="1056"/>
    </row>
    <row r="519" spans="1:59" x14ac:dyDescent="0.15">
      <c r="A519" s="1050"/>
      <c r="B519" s="1064"/>
      <c r="C519" s="1055"/>
      <c r="D519" s="1055"/>
      <c r="E519" s="1055"/>
      <c r="F519" s="1055"/>
      <c r="G519" s="1055"/>
      <c r="H519" s="1055"/>
      <c r="I519" s="1055"/>
      <c r="J519" s="1055"/>
      <c r="K519" s="1055"/>
      <c r="L519" s="1055"/>
      <c r="M519" s="1055"/>
      <c r="N519" s="1055"/>
      <c r="O519" s="1055"/>
      <c r="P519" s="1055"/>
      <c r="Q519" s="1055"/>
      <c r="R519" s="1055"/>
      <c r="S519" s="1055"/>
      <c r="T519" s="1055"/>
      <c r="U519" s="1055"/>
      <c r="V519" s="1055"/>
      <c r="W519" s="1055"/>
      <c r="X519" s="1055"/>
      <c r="Y519" s="1055"/>
      <c r="Z519" s="1055"/>
      <c r="AA519" s="1055"/>
      <c r="AB519" s="1055"/>
      <c r="AC519" s="1055"/>
      <c r="AD519" s="1055"/>
      <c r="AE519" s="1055"/>
      <c r="AF519" s="1055"/>
      <c r="AG519" s="1055"/>
      <c r="AH519" s="1055"/>
      <c r="AI519" s="1055"/>
      <c r="AJ519" s="1055"/>
      <c r="AK519" s="1055"/>
      <c r="AL519" s="1055"/>
      <c r="AM519" s="1055"/>
      <c r="AN519" s="1055"/>
      <c r="AO519" s="1055"/>
      <c r="AP519" s="1055"/>
      <c r="AQ519" s="1055"/>
      <c r="AR519" s="1055"/>
      <c r="AS519" s="1055"/>
      <c r="AT519" s="1055"/>
      <c r="AU519" s="1055"/>
      <c r="AV519" s="1055"/>
      <c r="AW519" s="1055"/>
      <c r="AX519" s="1055"/>
      <c r="AY519" s="1055"/>
      <c r="AZ519" s="1055"/>
      <c r="BA519" s="1055"/>
      <c r="BB519" s="1055"/>
      <c r="BC519" s="1055"/>
      <c r="BD519" s="1055"/>
      <c r="BE519" s="1055"/>
      <c r="BF519" s="1055"/>
      <c r="BG519" s="1056"/>
    </row>
    <row r="520" spans="1:59" x14ac:dyDescent="0.15">
      <c r="A520" s="1050"/>
      <c r="B520" s="1064"/>
      <c r="C520" s="1055"/>
      <c r="D520" s="1055"/>
      <c r="E520" s="1055"/>
      <c r="F520" s="1055"/>
      <c r="G520" s="1055"/>
      <c r="H520" s="1055"/>
      <c r="I520" s="1055"/>
      <c r="J520" s="1055"/>
      <c r="K520" s="1055"/>
      <c r="L520" s="1055"/>
      <c r="M520" s="1055"/>
      <c r="N520" s="1055"/>
      <c r="O520" s="1055"/>
      <c r="P520" s="1055"/>
      <c r="Q520" s="1055"/>
      <c r="R520" s="1055"/>
      <c r="S520" s="1055"/>
      <c r="T520" s="1055"/>
      <c r="U520" s="1055"/>
      <c r="V520" s="1055"/>
      <c r="W520" s="1055"/>
      <c r="X520" s="1055"/>
      <c r="Y520" s="1055"/>
      <c r="Z520" s="1055"/>
      <c r="AA520" s="1055"/>
      <c r="AB520" s="1055"/>
      <c r="AC520" s="1055"/>
      <c r="AD520" s="1055"/>
      <c r="AE520" s="1055"/>
      <c r="AF520" s="1055"/>
      <c r="AG520" s="1055"/>
      <c r="AH520" s="1055"/>
      <c r="AI520" s="1055"/>
      <c r="AJ520" s="1055"/>
      <c r="AK520" s="1055"/>
      <c r="AL520" s="1055"/>
      <c r="AM520" s="1055"/>
      <c r="AN520" s="1055"/>
      <c r="AO520" s="1055"/>
      <c r="AP520" s="1055"/>
      <c r="AQ520" s="1055"/>
      <c r="AR520" s="1055"/>
      <c r="AS520" s="1055"/>
      <c r="AT520" s="1055"/>
      <c r="AU520" s="1055"/>
      <c r="AV520" s="1055"/>
      <c r="AW520" s="1055"/>
      <c r="AX520" s="1055"/>
      <c r="AY520" s="1055"/>
      <c r="AZ520" s="1055"/>
      <c r="BA520" s="1055"/>
      <c r="BB520" s="1055"/>
      <c r="BC520" s="1055"/>
      <c r="BD520" s="1055"/>
      <c r="BE520" s="1055"/>
      <c r="BF520" s="1055"/>
      <c r="BG520" s="1056"/>
    </row>
    <row r="521" spans="1:59" x14ac:dyDescent="0.15">
      <c r="A521" s="1050"/>
      <c r="B521" s="1064"/>
      <c r="C521" s="1055"/>
      <c r="D521" s="1055"/>
      <c r="E521" s="1055"/>
      <c r="F521" s="1055"/>
      <c r="G521" s="1055"/>
      <c r="H521" s="1055"/>
      <c r="I521" s="1055"/>
      <c r="J521" s="1747"/>
      <c r="K521" s="1747"/>
      <c r="L521" s="1747"/>
      <c r="M521" s="1747"/>
      <c r="N521" s="1747"/>
      <c r="O521" s="1747"/>
      <c r="P521" s="1747"/>
      <c r="Q521" s="1747"/>
      <c r="R521" s="1747"/>
      <c r="S521" s="1747"/>
      <c r="T521" s="1747"/>
      <c r="U521" s="1747"/>
      <c r="V521" s="1747"/>
      <c r="W521" s="1747"/>
      <c r="X521" s="1747"/>
      <c r="Y521" s="1747"/>
      <c r="Z521" s="1747"/>
      <c r="AA521" s="1747"/>
      <c r="AB521" s="1747"/>
      <c r="AC521" s="1055"/>
      <c r="AD521" s="1055"/>
      <c r="AE521" s="1055"/>
      <c r="AF521" s="1055"/>
      <c r="AG521" s="1055"/>
      <c r="AH521" s="1055"/>
      <c r="AI521" s="1055"/>
      <c r="AJ521" s="1747"/>
      <c r="AK521" s="1747"/>
      <c r="AL521" s="1747"/>
      <c r="AM521" s="1747"/>
      <c r="AN521" s="1747"/>
      <c r="AO521" s="1747"/>
      <c r="AP521" s="1747"/>
      <c r="AQ521" s="1747"/>
      <c r="AR521" s="1747"/>
      <c r="AS521" s="1747"/>
      <c r="AT521" s="1747"/>
      <c r="AU521" s="1747"/>
      <c r="AV521" s="1747"/>
      <c r="AW521" s="1747"/>
      <c r="AX521" s="1747"/>
      <c r="AY521" s="1747"/>
      <c r="AZ521" s="1747"/>
      <c r="BA521" s="1747"/>
      <c r="BB521" s="1747"/>
      <c r="BC521" s="1055"/>
      <c r="BD521" s="1055"/>
      <c r="BE521" s="1055"/>
      <c r="BF521" s="1055"/>
      <c r="BG521" s="1056"/>
    </row>
    <row r="522" spans="1:59" x14ac:dyDescent="0.15">
      <c r="A522" s="1050"/>
      <c r="B522" s="1064"/>
      <c r="C522" s="1055"/>
      <c r="D522" s="1055"/>
      <c r="E522" s="1055"/>
      <c r="F522" s="1055"/>
      <c r="G522" s="1055"/>
      <c r="H522" s="1055"/>
      <c r="I522" s="1055"/>
      <c r="J522" s="1055"/>
      <c r="K522" s="1055"/>
      <c r="L522" s="1055"/>
      <c r="M522" s="1055"/>
      <c r="N522" s="1746" t="s">
        <v>316</v>
      </c>
      <c r="O522" s="1746"/>
      <c r="P522" s="1746"/>
      <c r="Q522" s="1746"/>
      <c r="R522" s="1746"/>
      <c r="S522" s="1746"/>
      <c r="T522" s="1746"/>
      <c r="U522" s="1746"/>
      <c r="V522" s="1746"/>
      <c r="W522" s="1746"/>
      <c r="X522" s="1746"/>
      <c r="Y522" s="1055"/>
      <c r="Z522" s="1055"/>
      <c r="AA522" s="1055"/>
      <c r="AB522" s="1055"/>
      <c r="AC522" s="1055"/>
      <c r="AD522" s="1055"/>
      <c r="AE522" s="1055"/>
      <c r="AF522" s="1055"/>
      <c r="AG522" s="1055"/>
      <c r="AH522" s="1055"/>
      <c r="AI522" s="1055"/>
      <c r="AJ522" s="1055"/>
      <c r="AK522" s="1055"/>
      <c r="AL522" s="1055"/>
      <c r="AM522" s="1055"/>
      <c r="AN522" s="1746" t="s">
        <v>316</v>
      </c>
      <c r="AO522" s="1746"/>
      <c r="AP522" s="1746"/>
      <c r="AQ522" s="1746"/>
      <c r="AR522" s="1746"/>
      <c r="AS522" s="1746"/>
      <c r="AT522" s="1746"/>
      <c r="AU522" s="1746"/>
      <c r="AV522" s="1746"/>
      <c r="AW522" s="1746"/>
      <c r="AX522" s="1746"/>
      <c r="AY522" s="1055"/>
      <c r="AZ522" s="1055"/>
      <c r="BA522" s="1055"/>
      <c r="BB522" s="1055"/>
      <c r="BC522" s="1055"/>
      <c r="BD522" s="1055"/>
      <c r="BE522" s="1055"/>
      <c r="BF522" s="1055"/>
      <c r="BG522" s="1056"/>
    </row>
    <row r="523" spans="1:59" x14ac:dyDescent="0.15">
      <c r="A523" s="1050"/>
      <c r="B523" s="1064"/>
      <c r="C523" s="1055"/>
      <c r="D523" s="1055"/>
      <c r="E523" s="1055"/>
      <c r="F523" s="1055"/>
      <c r="G523" s="1055"/>
      <c r="H523" s="1055"/>
      <c r="I523" s="1055"/>
      <c r="J523" s="1055"/>
      <c r="K523" s="1055"/>
      <c r="L523" s="1055"/>
      <c r="M523" s="1055"/>
      <c r="N523" s="1055"/>
      <c r="O523" s="1055"/>
      <c r="P523" s="1055"/>
      <c r="Q523" s="1055"/>
      <c r="R523" s="1055"/>
      <c r="S523" s="1055"/>
      <c r="T523" s="1055"/>
      <c r="U523" s="1055"/>
      <c r="V523" s="1055"/>
      <c r="W523" s="1055"/>
      <c r="X523" s="1055"/>
      <c r="Y523" s="1055"/>
      <c r="Z523" s="1055"/>
      <c r="AA523" s="1055"/>
      <c r="AB523" s="1055"/>
      <c r="AC523" s="1055"/>
      <c r="AD523" s="1055"/>
      <c r="AE523" s="1055"/>
      <c r="AF523" s="1055"/>
      <c r="AG523" s="1055"/>
      <c r="AH523" s="1055"/>
      <c r="AI523" s="1055"/>
      <c r="AJ523" s="1055"/>
      <c r="AK523" s="1055"/>
      <c r="AL523" s="1055"/>
      <c r="AM523" s="1055"/>
      <c r="AN523" s="1055"/>
      <c r="AO523" s="1055"/>
      <c r="AP523" s="1055"/>
      <c r="AQ523" s="1055"/>
      <c r="AR523" s="1055"/>
      <c r="AS523" s="1055"/>
      <c r="AT523" s="1055"/>
      <c r="AU523" s="1055"/>
      <c r="AV523" s="1055"/>
      <c r="AW523" s="1055"/>
      <c r="AX523" s="1055"/>
      <c r="AY523" s="1055"/>
      <c r="AZ523" s="1055"/>
      <c r="BA523" s="1055"/>
      <c r="BB523" s="1055"/>
      <c r="BC523" s="1055"/>
      <c r="BD523" s="1055"/>
      <c r="BE523" s="1055"/>
      <c r="BF523" s="1055"/>
      <c r="BG523" s="1056"/>
    </row>
    <row r="524" spans="1:59" x14ac:dyDescent="0.15">
      <c r="A524" s="1050"/>
      <c r="B524" s="1064"/>
      <c r="C524" s="1055"/>
      <c r="D524" s="1055"/>
      <c r="E524" s="1055"/>
      <c r="F524" s="1055"/>
      <c r="G524" s="1055"/>
      <c r="H524" s="1055"/>
      <c r="I524" s="1055"/>
      <c r="J524" s="1055"/>
      <c r="K524" s="1055"/>
      <c r="L524" s="1055"/>
      <c r="M524" s="1055"/>
      <c r="N524" s="1055"/>
      <c r="O524" s="1055"/>
      <c r="P524" s="1055"/>
      <c r="Q524" s="1055"/>
      <c r="R524" s="1055"/>
      <c r="S524" s="1055"/>
      <c r="T524" s="1055"/>
      <c r="U524" s="1055"/>
      <c r="V524" s="1055"/>
      <c r="W524" s="1055"/>
      <c r="X524" s="1055"/>
      <c r="Y524" s="1055"/>
      <c r="Z524" s="1055"/>
      <c r="AA524" s="1055"/>
      <c r="AB524" s="1055"/>
      <c r="AC524" s="1055"/>
      <c r="AD524" s="1055"/>
      <c r="AE524" s="1055"/>
      <c r="AF524" s="1055"/>
      <c r="AG524" s="1055"/>
      <c r="AH524" s="1055"/>
      <c r="AI524" s="1055"/>
      <c r="AJ524" s="1055"/>
      <c r="AK524" s="1055"/>
      <c r="AL524" s="1055"/>
      <c r="AM524" s="1055"/>
      <c r="AN524" s="1055"/>
      <c r="AO524" s="1055"/>
      <c r="AP524" s="1055"/>
      <c r="AQ524" s="1055"/>
      <c r="AR524" s="1055"/>
      <c r="AS524" s="1055"/>
      <c r="AT524" s="1055"/>
      <c r="AU524" s="1055"/>
      <c r="AV524" s="1055"/>
      <c r="AW524" s="1055"/>
      <c r="AX524" s="1055"/>
      <c r="AY524" s="1055"/>
      <c r="AZ524" s="1055"/>
      <c r="BA524" s="1055"/>
      <c r="BB524" s="1055"/>
      <c r="BC524" s="1055"/>
      <c r="BD524" s="1055"/>
      <c r="BE524" s="1055"/>
      <c r="BF524" s="1055"/>
      <c r="BG524" s="1056"/>
    </row>
    <row r="525" spans="1:59" x14ac:dyDescent="0.15">
      <c r="A525" s="1050"/>
      <c r="B525" s="1064"/>
      <c r="C525" s="1055"/>
      <c r="D525" s="1055"/>
      <c r="E525" s="1055"/>
      <c r="F525" s="1055"/>
      <c r="G525" s="1055"/>
      <c r="H525" s="1055"/>
      <c r="I525" s="1055"/>
      <c r="J525" s="1747"/>
      <c r="K525" s="1747"/>
      <c r="L525" s="1747"/>
      <c r="M525" s="1747"/>
      <c r="N525" s="1747"/>
      <c r="O525" s="1747"/>
      <c r="P525" s="1747"/>
      <c r="Q525" s="1747"/>
      <c r="R525" s="1747"/>
      <c r="S525" s="1747"/>
      <c r="T525" s="1747"/>
      <c r="U525" s="1747"/>
      <c r="V525" s="1747"/>
      <c r="W525" s="1747"/>
      <c r="X525" s="1747"/>
      <c r="Y525" s="1747"/>
      <c r="Z525" s="1747"/>
      <c r="AA525" s="1747"/>
      <c r="AB525" s="1747"/>
      <c r="AC525" s="1055"/>
      <c r="AD525" s="1055"/>
      <c r="AE525" s="1055"/>
      <c r="AF525" s="1055"/>
      <c r="AG525" s="1055"/>
      <c r="AH525" s="1055"/>
      <c r="AI525" s="1055"/>
      <c r="AJ525" s="1747"/>
      <c r="AK525" s="1747"/>
      <c r="AL525" s="1747"/>
      <c r="AM525" s="1747"/>
      <c r="AN525" s="1747"/>
      <c r="AO525" s="1747"/>
      <c r="AP525" s="1747"/>
      <c r="AQ525" s="1747"/>
      <c r="AR525" s="1747"/>
      <c r="AS525" s="1747"/>
      <c r="AT525" s="1747"/>
      <c r="AU525" s="1747"/>
      <c r="AV525" s="1747"/>
      <c r="AW525" s="1747"/>
      <c r="AX525" s="1747"/>
      <c r="AY525" s="1747"/>
      <c r="AZ525" s="1747"/>
      <c r="BA525" s="1747"/>
      <c r="BB525" s="1747"/>
      <c r="BC525" s="1055"/>
      <c r="BD525" s="1055"/>
      <c r="BE525" s="1055"/>
      <c r="BF525" s="1055"/>
      <c r="BG525" s="1056"/>
    </row>
    <row r="526" spans="1:59" x14ac:dyDescent="0.15">
      <c r="A526" s="1050"/>
      <c r="B526" s="1064"/>
      <c r="C526" s="1055"/>
      <c r="D526" s="1055"/>
      <c r="E526" s="1055"/>
      <c r="F526" s="1055"/>
      <c r="G526" s="1055"/>
      <c r="H526" s="1055"/>
      <c r="I526" s="1055"/>
      <c r="J526" s="1055"/>
      <c r="K526" s="1055"/>
      <c r="L526" s="1055"/>
      <c r="M526" s="1055"/>
      <c r="N526" s="1746" t="s">
        <v>801</v>
      </c>
      <c r="O526" s="1746"/>
      <c r="P526" s="1746"/>
      <c r="Q526" s="1746"/>
      <c r="R526" s="1746"/>
      <c r="S526" s="1746"/>
      <c r="T526" s="1746"/>
      <c r="U526" s="1746"/>
      <c r="V526" s="1746"/>
      <c r="W526" s="1746"/>
      <c r="X526" s="1746"/>
      <c r="Y526" s="1055"/>
      <c r="Z526" s="1055"/>
      <c r="AA526" s="1055"/>
      <c r="AB526" s="1055"/>
      <c r="AC526" s="1055"/>
      <c r="AD526" s="1055"/>
      <c r="AE526" s="1055"/>
      <c r="AF526" s="1055"/>
      <c r="AG526" s="1055"/>
      <c r="AH526" s="1055"/>
      <c r="AI526" s="1055"/>
      <c r="AJ526" s="1055"/>
      <c r="AK526" s="1055"/>
      <c r="AL526" s="1055"/>
      <c r="AM526" s="1055"/>
      <c r="AN526" s="1746" t="s">
        <v>801</v>
      </c>
      <c r="AO526" s="1746"/>
      <c r="AP526" s="1746"/>
      <c r="AQ526" s="1746"/>
      <c r="AR526" s="1746"/>
      <c r="AS526" s="1746"/>
      <c r="AT526" s="1746"/>
      <c r="AU526" s="1746"/>
      <c r="AV526" s="1746"/>
      <c r="AW526" s="1746"/>
      <c r="AX526" s="1746"/>
      <c r="AY526" s="1055"/>
      <c r="AZ526" s="1055"/>
      <c r="BA526" s="1055"/>
      <c r="BB526" s="1055"/>
      <c r="BC526" s="1055"/>
      <c r="BD526" s="1055"/>
      <c r="BE526" s="1055"/>
      <c r="BF526" s="1055"/>
      <c r="BG526" s="1056"/>
    </row>
    <row r="527" spans="1:59" x14ac:dyDescent="0.15">
      <c r="A527" s="1050"/>
      <c r="B527" s="1064"/>
      <c r="C527" s="1055"/>
      <c r="D527" s="1055"/>
      <c r="E527" s="1055"/>
      <c r="F527" s="1055"/>
      <c r="G527" s="1055"/>
      <c r="H527" s="1055"/>
      <c r="I527" s="1055"/>
      <c r="J527" s="1055"/>
      <c r="K527" s="1055"/>
      <c r="L527" s="1055"/>
      <c r="M527" s="1055"/>
      <c r="N527" s="1055"/>
      <c r="O527" s="1055"/>
      <c r="P527" s="1055"/>
      <c r="Q527" s="1055"/>
      <c r="R527" s="1055"/>
      <c r="S527" s="1055"/>
      <c r="T527" s="1055"/>
      <c r="U527" s="1055"/>
      <c r="V527" s="1055"/>
      <c r="W527" s="1055"/>
      <c r="X527" s="1055"/>
      <c r="Y527" s="1055"/>
      <c r="Z527" s="1055"/>
      <c r="AA527" s="1055"/>
      <c r="AB527" s="1055"/>
      <c r="AC527" s="1055"/>
      <c r="AD527" s="1055"/>
      <c r="AE527" s="1055"/>
      <c r="AF527" s="1055"/>
      <c r="AG527" s="1055"/>
      <c r="AH527" s="1055"/>
      <c r="AI527" s="1055"/>
      <c r="AJ527" s="1055"/>
      <c r="AK527" s="1055"/>
      <c r="AL527" s="1055"/>
      <c r="AM527" s="1055"/>
      <c r="AN527" s="1055"/>
      <c r="AO527" s="1055"/>
      <c r="AP527" s="1055"/>
      <c r="AQ527" s="1055"/>
      <c r="AR527" s="1055"/>
      <c r="AS527" s="1055"/>
      <c r="AT527" s="1055"/>
      <c r="AU527" s="1055"/>
      <c r="AV527" s="1055"/>
      <c r="AW527" s="1055"/>
      <c r="AX527" s="1055"/>
      <c r="AY527" s="1055"/>
      <c r="AZ527" s="1055"/>
      <c r="BA527" s="1055"/>
      <c r="BB527" s="1055"/>
      <c r="BC527" s="1055"/>
      <c r="BD527" s="1055"/>
      <c r="BE527" s="1055"/>
      <c r="BF527" s="1055"/>
      <c r="BG527" s="1056"/>
    </row>
    <row r="528" spans="1:59" x14ac:dyDescent="0.15">
      <c r="A528" s="1050"/>
      <c r="B528" s="1064"/>
      <c r="C528" s="1055"/>
      <c r="D528" s="1055"/>
      <c r="E528" s="1055"/>
      <c r="F528" s="1055"/>
      <c r="G528" s="1055"/>
      <c r="H528" s="1055"/>
      <c r="I528" s="1055"/>
      <c r="J528" s="1055"/>
      <c r="K528" s="1055"/>
      <c r="L528" s="1055"/>
      <c r="M528" s="1055"/>
      <c r="N528" s="1055"/>
      <c r="O528" s="1055"/>
      <c r="P528" s="1055"/>
      <c r="Q528" s="1055"/>
      <c r="R528" s="1055"/>
      <c r="S528" s="1055"/>
      <c r="T528" s="1055"/>
      <c r="U528" s="1055"/>
      <c r="V528" s="1055"/>
      <c r="W528" s="1055"/>
      <c r="X528" s="1055"/>
      <c r="Y528" s="1055"/>
      <c r="Z528" s="1055"/>
      <c r="AA528" s="1055"/>
      <c r="AB528" s="1055"/>
      <c r="AC528" s="1055"/>
      <c r="AD528" s="1055"/>
      <c r="AE528" s="1055"/>
      <c r="AF528" s="1055"/>
      <c r="AG528" s="1055"/>
      <c r="AH528" s="1055"/>
      <c r="AI528" s="1055"/>
      <c r="AJ528" s="1055"/>
      <c r="AK528" s="1055"/>
      <c r="AL528" s="1055"/>
      <c r="AM528" s="1055"/>
      <c r="AN528" s="1055"/>
      <c r="AO528" s="1055"/>
      <c r="AP528" s="1055"/>
      <c r="AQ528" s="1055"/>
      <c r="AR528" s="1055"/>
      <c r="AS528" s="1055"/>
      <c r="AT528" s="1055"/>
      <c r="AU528" s="1055"/>
      <c r="AV528" s="1055"/>
      <c r="AW528" s="1055"/>
      <c r="AX528" s="1055"/>
      <c r="AY528" s="1055"/>
      <c r="AZ528" s="1055"/>
      <c r="BA528" s="1055"/>
      <c r="BB528" s="1055"/>
      <c r="BC528" s="1055"/>
      <c r="BD528" s="1055"/>
      <c r="BE528" s="1055"/>
      <c r="BF528" s="1055"/>
      <c r="BG528" s="1056"/>
    </row>
    <row r="529" spans="1:59" x14ac:dyDescent="0.15">
      <c r="A529" s="1050"/>
      <c r="B529" s="1064"/>
      <c r="C529" s="1055"/>
      <c r="D529" s="1055"/>
      <c r="E529" s="1055"/>
      <c r="F529" s="1055"/>
      <c r="G529" s="1055"/>
      <c r="H529" s="1055"/>
      <c r="I529" s="1055"/>
      <c r="J529" s="1747"/>
      <c r="K529" s="1747"/>
      <c r="L529" s="1747"/>
      <c r="M529" s="1747"/>
      <c r="N529" s="1747"/>
      <c r="O529" s="1747"/>
      <c r="P529" s="1747"/>
      <c r="Q529" s="1747"/>
      <c r="R529" s="1747"/>
      <c r="S529" s="1747"/>
      <c r="T529" s="1747"/>
      <c r="U529" s="1747"/>
      <c r="V529" s="1747"/>
      <c r="W529" s="1747"/>
      <c r="X529" s="1747"/>
      <c r="Y529" s="1747"/>
      <c r="Z529" s="1747"/>
      <c r="AA529" s="1747"/>
      <c r="AB529" s="1747"/>
      <c r="AC529" s="1055"/>
      <c r="AD529" s="1055"/>
      <c r="AE529" s="1055"/>
      <c r="AF529" s="1055"/>
      <c r="AG529" s="1055"/>
      <c r="AH529" s="1055"/>
      <c r="AI529" s="1055"/>
      <c r="AJ529" s="1747"/>
      <c r="AK529" s="1747"/>
      <c r="AL529" s="1747"/>
      <c r="AM529" s="1747"/>
      <c r="AN529" s="1747"/>
      <c r="AO529" s="1747"/>
      <c r="AP529" s="1747"/>
      <c r="AQ529" s="1747"/>
      <c r="AR529" s="1747"/>
      <c r="AS529" s="1747"/>
      <c r="AT529" s="1747"/>
      <c r="AU529" s="1747"/>
      <c r="AV529" s="1747"/>
      <c r="AW529" s="1747"/>
      <c r="AX529" s="1747"/>
      <c r="AY529" s="1747"/>
      <c r="AZ529" s="1747"/>
      <c r="BA529" s="1747"/>
      <c r="BB529" s="1747"/>
      <c r="BC529" s="1055"/>
      <c r="BD529" s="1055"/>
      <c r="BE529" s="1055"/>
      <c r="BF529" s="1055"/>
      <c r="BG529" s="1056"/>
    </row>
    <row r="530" spans="1:59" x14ac:dyDescent="0.15">
      <c r="A530" s="1050"/>
      <c r="B530" s="1064"/>
      <c r="C530" s="1055"/>
      <c r="D530" s="1055"/>
      <c r="E530" s="1055"/>
      <c r="F530" s="1055"/>
      <c r="G530" s="1055"/>
      <c r="H530" s="1055"/>
      <c r="I530" s="1055"/>
      <c r="J530" s="1055"/>
      <c r="K530" s="1055"/>
      <c r="L530" s="1055"/>
      <c r="M530" s="1055"/>
      <c r="N530" s="1746" t="s">
        <v>802</v>
      </c>
      <c r="O530" s="1746"/>
      <c r="P530" s="1746"/>
      <c r="Q530" s="1746"/>
      <c r="R530" s="1746"/>
      <c r="S530" s="1746"/>
      <c r="T530" s="1746"/>
      <c r="U530" s="1746"/>
      <c r="V530" s="1746"/>
      <c r="W530" s="1746"/>
      <c r="X530" s="1746"/>
      <c r="Y530" s="1055"/>
      <c r="Z530" s="1055"/>
      <c r="AA530" s="1055"/>
      <c r="AB530" s="1055"/>
      <c r="AC530" s="1055"/>
      <c r="AD530" s="1055"/>
      <c r="AE530" s="1055"/>
      <c r="AF530" s="1055"/>
      <c r="AG530" s="1055"/>
      <c r="AH530" s="1055"/>
      <c r="AI530" s="1055"/>
      <c r="AJ530" s="1055"/>
      <c r="AK530" s="1055"/>
      <c r="AL530" s="1055"/>
      <c r="AM530" s="1055"/>
      <c r="AN530" s="1746" t="s">
        <v>802</v>
      </c>
      <c r="AO530" s="1746"/>
      <c r="AP530" s="1746"/>
      <c r="AQ530" s="1746"/>
      <c r="AR530" s="1746"/>
      <c r="AS530" s="1746"/>
      <c r="AT530" s="1746"/>
      <c r="AU530" s="1746"/>
      <c r="AV530" s="1746"/>
      <c r="AW530" s="1746"/>
      <c r="AX530" s="1746"/>
      <c r="AY530" s="1055"/>
      <c r="AZ530" s="1055"/>
      <c r="BA530" s="1055"/>
      <c r="BB530" s="1055"/>
      <c r="BC530" s="1055"/>
      <c r="BD530" s="1055"/>
      <c r="BE530" s="1055"/>
      <c r="BF530" s="1055"/>
      <c r="BG530" s="1056"/>
    </row>
    <row r="531" spans="1:59" x14ac:dyDescent="0.15">
      <c r="A531" s="1050"/>
      <c r="B531" s="1064"/>
      <c r="C531" s="1760"/>
      <c r="D531" s="1760"/>
      <c r="E531" s="1760"/>
      <c r="F531" s="1760"/>
      <c r="G531" s="1760"/>
      <c r="H531" s="1760"/>
      <c r="I531" s="1760"/>
      <c r="J531" s="1760"/>
      <c r="K531" s="1760"/>
      <c r="L531" s="1760"/>
      <c r="M531" s="1760"/>
      <c r="N531" s="1760"/>
      <c r="O531" s="1760"/>
      <c r="P531" s="1760"/>
      <c r="Q531" s="1760"/>
      <c r="R531" s="1760"/>
      <c r="S531" s="1760"/>
      <c r="T531" s="1760"/>
      <c r="U531" s="1760"/>
      <c r="V531" s="1760"/>
      <c r="W531" s="1760"/>
      <c r="X531" s="1760"/>
      <c r="Y531" s="1760"/>
      <c r="Z531" s="1760"/>
      <c r="AA531" s="1760"/>
      <c r="AB531" s="1760"/>
      <c r="AC531" s="1760"/>
      <c r="AD531" s="1760"/>
      <c r="AE531" s="1760"/>
      <c r="AF531" s="1760"/>
      <c r="AG531" s="1760"/>
      <c r="AH531" s="1760"/>
      <c r="AI531" s="1760"/>
      <c r="AJ531" s="1760"/>
      <c r="AK531" s="1760"/>
      <c r="AL531" s="1760"/>
      <c r="AM531" s="1760"/>
      <c r="AN531" s="1760"/>
      <c r="AO531" s="1760"/>
      <c r="AP531" s="1760"/>
      <c r="AQ531" s="1760"/>
      <c r="AR531" s="1760"/>
      <c r="AS531" s="1760"/>
      <c r="AT531" s="1760"/>
      <c r="AU531" s="1760"/>
      <c r="AV531" s="1760"/>
      <c r="AW531" s="1760"/>
      <c r="AX531" s="1760"/>
      <c r="AY531" s="1760"/>
      <c r="AZ531" s="1760"/>
      <c r="BA531" s="1760"/>
      <c r="BB531" s="1760"/>
      <c r="BC531" s="1760"/>
      <c r="BD531" s="1760"/>
      <c r="BE531" s="1760"/>
      <c r="BF531" s="1760"/>
      <c r="BG531" s="1056"/>
    </row>
    <row r="532" spans="1:59" x14ac:dyDescent="0.15">
      <c r="A532" s="1050"/>
      <c r="B532" s="1065"/>
      <c r="C532" s="1747"/>
      <c r="D532" s="1747"/>
      <c r="E532" s="1747"/>
      <c r="F532" s="1747"/>
      <c r="G532" s="1747"/>
      <c r="H532" s="1747"/>
      <c r="I532" s="1747"/>
      <c r="J532" s="1747"/>
      <c r="K532" s="1747"/>
      <c r="L532" s="1747"/>
      <c r="M532" s="1747"/>
      <c r="N532" s="1747"/>
      <c r="O532" s="1747"/>
      <c r="P532" s="1747"/>
      <c r="Q532" s="1747"/>
      <c r="R532" s="1747"/>
      <c r="S532" s="1747"/>
      <c r="T532" s="1747"/>
      <c r="U532" s="1747"/>
      <c r="V532" s="1747"/>
      <c r="W532" s="1747"/>
      <c r="X532" s="1747"/>
      <c r="Y532" s="1747"/>
      <c r="Z532" s="1747"/>
      <c r="AA532" s="1747"/>
      <c r="AB532" s="1747"/>
      <c r="AC532" s="1747"/>
      <c r="AD532" s="1747"/>
      <c r="AE532" s="1747"/>
      <c r="AF532" s="1747"/>
      <c r="AG532" s="1747"/>
      <c r="AH532" s="1747"/>
      <c r="AI532" s="1747"/>
      <c r="AJ532" s="1747"/>
      <c r="AK532" s="1747"/>
      <c r="AL532" s="1747"/>
      <c r="AM532" s="1747"/>
      <c r="AN532" s="1747"/>
      <c r="AO532" s="1747"/>
      <c r="AP532" s="1747"/>
      <c r="AQ532" s="1747"/>
      <c r="AR532" s="1747"/>
      <c r="AS532" s="1747"/>
      <c r="AT532" s="1747"/>
      <c r="AU532" s="1747"/>
      <c r="AV532" s="1747"/>
      <c r="AW532" s="1747"/>
      <c r="AX532" s="1747"/>
      <c r="AY532" s="1747"/>
      <c r="AZ532" s="1747"/>
      <c r="BA532" s="1747"/>
      <c r="BB532" s="1747"/>
      <c r="BC532" s="1747"/>
      <c r="BD532" s="1747"/>
      <c r="BE532" s="1747"/>
      <c r="BF532" s="1747"/>
      <c r="BG532" s="1067"/>
    </row>
    <row r="533" spans="1:59" x14ac:dyDescent="0.15">
      <c r="A533" s="1050"/>
      <c r="B533" s="1050"/>
      <c r="C533" s="1050"/>
      <c r="D533" s="1050"/>
      <c r="E533" s="1050"/>
      <c r="F533" s="1050"/>
      <c r="G533" s="1050"/>
      <c r="H533" s="1050"/>
      <c r="I533" s="1050"/>
      <c r="J533" s="1050"/>
      <c r="K533" s="1050"/>
      <c r="L533" s="1050"/>
      <c r="M533" s="1050"/>
      <c r="N533" s="1050"/>
      <c r="O533" s="1050"/>
      <c r="P533" s="1050"/>
      <c r="Q533" s="1050"/>
      <c r="R533" s="1050"/>
      <c r="S533" s="1050"/>
      <c r="T533" s="1050"/>
      <c r="U533" s="1050"/>
      <c r="V533" s="1050"/>
      <c r="W533" s="1050"/>
      <c r="X533" s="1050"/>
      <c r="Y533" s="1050"/>
      <c r="Z533" s="1050"/>
      <c r="AA533" s="1050"/>
      <c r="AB533" s="1050"/>
      <c r="AC533" s="1050"/>
      <c r="AD533" s="1050"/>
      <c r="AE533" s="1050"/>
      <c r="AF533" s="1050"/>
      <c r="AG533" s="1050"/>
      <c r="AH533" s="1050"/>
      <c r="AI533" s="1050"/>
      <c r="AJ533" s="1050"/>
      <c r="AK533" s="1050"/>
      <c r="AL533" s="1050"/>
      <c r="AM533" s="1050"/>
      <c r="AN533" s="1050"/>
      <c r="AO533" s="1050"/>
      <c r="AP533" s="1050"/>
      <c r="AQ533" s="1050"/>
      <c r="AR533" s="1050"/>
      <c r="AS533" s="1050"/>
      <c r="AT533" s="1050"/>
      <c r="AU533" s="1050"/>
      <c r="AV533" s="1050"/>
      <c r="AW533" s="1050"/>
      <c r="AX533" s="1050"/>
      <c r="AY533" s="1050"/>
      <c r="AZ533" s="1050"/>
      <c r="BA533" s="1050"/>
      <c r="BB533" s="1050"/>
      <c r="BC533" s="1050"/>
      <c r="BD533" s="1050"/>
      <c r="BE533" s="1050"/>
      <c r="BF533" s="1050"/>
      <c r="BG533" s="1050"/>
    </row>
    <row r="534" spans="1:59" x14ac:dyDescent="0.15">
      <c r="A534" s="1050"/>
      <c r="B534" s="1762" t="str">
        <f>+IF(Hitelprog_Rovid="","",Hitelprog_Rovid)</f>
        <v/>
      </c>
      <c r="C534" s="1762"/>
      <c r="D534" s="1762"/>
      <c r="E534" s="1762"/>
      <c r="F534" s="1762"/>
      <c r="G534" s="1762"/>
      <c r="H534" s="1762"/>
      <c r="I534" s="1762"/>
      <c r="J534" s="1762"/>
      <c r="K534" s="1762"/>
      <c r="L534" s="1762"/>
      <c r="M534" s="1762"/>
      <c r="N534" s="1762"/>
      <c r="O534" s="1762"/>
      <c r="P534" s="1762"/>
      <c r="Q534" s="1762"/>
      <c r="R534" s="1762"/>
      <c r="S534" s="1762"/>
      <c r="T534" s="1762"/>
      <c r="U534" s="1762"/>
      <c r="V534" s="1762"/>
      <c r="W534" s="1762"/>
      <c r="X534" s="1762"/>
      <c r="Y534" s="1762"/>
      <c r="Z534" s="1762"/>
      <c r="AA534" s="1762"/>
      <c r="AB534" s="1762"/>
      <c r="AC534" s="1762"/>
      <c r="AD534" s="1762"/>
      <c r="AE534" s="1762"/>
      <c r="AF534" s="1762"/>
      <c r="AG534" s="1762"/>
      <c r="AH534" s="1762"/>
      <c r="AI534" s="1762"/>
      <c r="AJ534" s="1762"/>
      <c r="AK534" s="1762"/>
      <c r="AL534" s="1762"/>
      <c r="AM534" s="1762"/>
      <c r="AN534" s="1762"/>
      <c r="AO534" s="1762"/>
      <c r="AP534" s="1762"/>
      <c r="AQ534" s="1762"/>
      <c r="AR534" s="1762"/>
      <c r="AS534" s="1762"/>
      <c r="AT534" s="1762"/>
      <c r="AU534" s="1762"/>
      <c r="AV534" s="1762"/>
      <c r="AW534" s="1762"/>
      <c r="AX534" s="1762"/>
      <c r="AY534" s="1762"/>
      <c r="AZ534" s="1762"/>
      <c r="BA534" s="1762"/>
      <c r="BB534" s="1762"/>
      <c r="BC534" s="1762"/>
      <c r="BD534" s="1762"/>
      <c r="BE534" s="1762"/>
      <c r="BF534" s="1762"/>
      <c r="BG534" s="1762"/>
    </row>
    <row r="535" spans="1:59" x14ac:dyDescent="0.15">
      <c r="A535" s="1050"/>
      <c r="B535" s="1762"/>
      <c r="C535" s="1762"/>
      <c r="D535" s="1762"/>
      <c r="E535" s="1762"/>
      <c r="F535" s="1762"/>
      <c r="G535" s="1762"/>
      <c r="H535" s="1762"/>
      <c r="I535" s="1762"/>
      <c r="J535" s="1762"/>
      <c r="K535" s="1762"/>
      <c r="L535" s="1762"/>
      <c r="M535" s="1762"/>
      <c r="N535" s="1762"/>
      <c r="O535" s="1762"/>
      <c r="P535" s="1762"/>
      <c r="Q535" s="1762"/>
      <c r="R535" s="1762"/>
      <c r="S535" s="1762"/>
      <c r="T535" s="1762"/>
      <c r="U535" s="1762"/>
      <c r="V535" s="1762"/>
      <c r="W535" s="1762"/>
      <c r="X535" s="1762"/>
      <c r="Y535" s="1762"/>
      <c r="Z535" s="1762"/>
      <c r="AA535" s="1762"/>
      <c r="AB535" s="1762"/>
      <c r="AC535" s="1762"/>
      <c r="AD535" s="1762"/>
      <c r="AE535" s="1762"/>
      <c r="AF535" s="1762"/>
      <c r="AG535" s="1762"/>
      <c r="AH535" s="1762"/>
      <c r="AI535" s="1762"/>
      <c r="AJ535" s="1762"/>
      <c r="AK535" s="1762"/>
      <c r="AL535" s="1762"/>
      <c r="AM535" s="1762"/>
      <c r="AN535" s="1762"/>
      <c r="AO535" s="1762"/>
      <c r="AP535" s="1762"/>
      <c r="AQ535" s="1762"/>
      <c r="AR535" s="1762"/>
      <c r="AS535" s="1762"/>
      <c r="AT535" s="1762"/>
      <c r="AU535" s="1762"/>
      <c r="AV535" s="1762"/>
      <c r="AW535" s="1762"/>
      <c r="AX535" s="1762"/>
      <c r="AY535" s="1762"/>
      <c r="AZ535" s="1762"/>
      <c r="BA535" s="1762"/>
      <c r="BB535" s="1762"/>
      <c r="BC535" s="1762"/>
      <c r="BD535" s="1762"/>
      <c r="BE535" s="1762"/>
      <c r="BF535" s="1762"/>
      <c r="BG535" s="1762"/>
    </row>
    <row r="536" spans="1:59" x14ac:dyDescent="0.15">
      <c r="A536" s="1752"/>
      <c r="B536" s="1752"/>
      <c r="C536" s="1752"/>
      <c r="D536" s="1752"/>
      <c r="E536" s="1050"/>
      <c r="F536" s="1050"/>
      <c r="G536" s="1050"/>
      <c r="H536" s="1050"/>
      <c r="I536" s="1050"/>
      <c r="J536" s="1050"/>
      <c r="K536" s="1050"/>
      <c r="L536" s="1050"/>
      <c r="M536" s="1050"/>
      <c r="N536" s="1050"/>
      <c r="O536" s="1050"/>
      <c r="P536" s="1050"/>
      <c r="Q536" s="1050"/>
      <c r="R536" s="1050"/>
      <c r="S536" s="1050"/>
      <c r="T536" s="1050"/>
      <c r="U536" s="1050"/>
      <c r="V536" s="1050"/>
      <c r="W536" s="1050"/>
      <c r="X536" s="1050"/>
      <c r="Y536" s="1050"/>
      <c r="Z536" s="1050"/>
      <c r="AA536" s="1050"/>
      <c r="AB536" s="1050"/>
      <c r="AC536" s="1050"/>
      <c r="AD536" s="1050"/>
      <c r="AE536" s="1050"/>
      <c r="AF536" s="1050"/>
      <c r="AG536" s="1050"/>
      <c r="AH536" s="1050"/>
      <c r="AI536" s="1050"/>
      <c r="AJ536" s="1050"/>
      <c r="AK536" s="1050"/>
      <c r="AL536" s="1050"/>
      <c r="AM536" s="1050"/>
      <c r="AN536" s="1050"/>
      <c r="AO536" s="1050"/>
      <c r="AP536" s="1050"/>
      <c r="AQ536" s="1050"/>
      <c r="AR536" s="1050"/>
      <c r="AS536" s="1050"/>
      <c r="AT536" s="1050"/>
      <c r="AU536" s="1050"/>
      <c r="AV536" s="1050"/>
      <c r="AW536" s="1050"/>
      <c r="AX536" s="1050"/>
      <c r="AY536" s="1050"/>
      <c r="AZ536" s="1050"/>
      <c r="BA536" s="1050"/>
      <c r="BB536" s="1050"/>
      <c r="BC536" s="1050"/>
      <c r="BD536" s="1050"/>
      <c r="BE536" s="1050"/>
      <c r="BF536" s="1050"/>
      <c r="BG536" s="1050"/>
    </row>
    <row r="537" spans="1:59" ht="15" thickBot="1" x14ac:dyDescent="0.2">
      <c r="A537" s="1752"/>
      <c r="B537" s="1752"/>
      <c r="C537" s="1752"/>
      <c r="D537" s="1752"/>
      <c r="E537" s="1050"/>
      <c r="F537" s="1050"/>
      <c r="G537" s="1050"/>
      <c r="H537" s="1050"/>
      <c r="I537" s="1050"/>
      <c r="J537" s="1050"/>
      <c r="K537" s="1050"/>
      <c r="L537" s="1050"/>
      <c r="M537" s="1050"/>
      <c r="N537" s="1050"/>
      <c r="O537" s="1050"/>
      <c r="P537" s="1050"/>
      <c r="Q537" s="1050"/>
      <c r="R537" s="1050"/>
      <c r="S537" s="1050"/>
      <c r="T537" s="1050"/>
      <c r="U537" s="1050"/>
      <c r="V537" s="1050"/>
      <c r="W537" s="1050"/>
      <c r="X537" s="1050"/>
      <c r="Y537" s="1050"/>
      <c r="Z537" s="1050"/>
      <c r="AA537" s="1050"/>
      <c r="AB537" s="1050"/>
      <c r="AC537" s="1050"/>
      <c r="AD537" s="1050"/>
      <c r="AE537" s="1050"/>
      <c r="AF537" s="1050"/>
      <c r="AG537" s="1050"/>
      <c r="AH537" s="1050"/>
      <c r="AI537" s="1050"/>
      <c r="AJ537" s="1050"/>
      <c r="AK537" s="1050"/>
      <c r="AL537" s="1050"/>
      <c r="AM537" s="1050"/>
      <c r="AN537" s="1050"/>
      <c r="AO537" s="1050"/>
      <c r="AP537" s="1050"/>
      <c r="AQ537" s="1050"/>
      <c r="AR537" s="1050"/>
      <c r="AS537" s="1050"/>
      <c r="AT537" s="1050"/>
      <c r="AU537" s="1050"/>
      <c r="AV537" s="1050"/>
      <c r="AW537" s="1050"/>
      <c r="AX537" s="1050"/>
      <c r="AY537" s="1050"/>
      <c r="AZ537" s="1050"/>
      <c r="BA537" s="1050"/>
      <c r="BB537" s="1050"/>
      <c r="BC537" s="1050"/>
      <c r="BD537" s="1050"/>
      <c r="BE537" s="1050"/>
      <c r="BF537" s="1050"/>
      <c r="BG537" s="1050"/>
    </row>
    <row r="538" spans="1:59" ht="26.25" customHeight="1" thickBot="1" x14ac:dyDescent="0.2">
      <c r="A538" s="1752"/>
      <c r="B538" s="1752"/>
      <c r="C538" s="1752"/>
      <c r="D538" s="1752"/>
      <c r="E538" s="1050"/>
      <c r="F538" s="1050"/>
      <c r="G538" s="1050"/>
      <c r="H538" s="1050"/>
      <c r="I538" s="1050"/>
      <c r="J538" s="1050"/>
      <c r="K538" s="1050"/>
      <c r="L538" s="1050"/>
      <c r="M538" s="1050"/>
      <c r="N538" s="1050"/>
      <c r="O538" s="1050"/>
      <c r="P538" s="1050"/>
      <c r="Q538" s="1766" t="str">
        <f>+IF(B534="MFB NHP Fix Lízing Refinanszírozási Program","FINANSZÍROZÁSI KATEGÓRIA NYILATKOZAT","TÁMOGATÁSI KATEGÓRIA NYILATKOZAT")</f>
        <v>TÁMOGATÁSI KATEGÓRIA NYILATKOZAT</v>
      </c>
      <c r="R538" s="1767"/>
      <c r="S538" s="1767"/>
      <c r="T538" s="1767"/>
      <c r="U538" s="1767"/>
      <c r="V538" s="1767"/>
      <c r="W538" s="1767"/>
      <c r="X538" s="1767"/>
      <c r="Y538" s="1767"/>
      <c r="Z538" s="1767"/>
      <c r="AA538" s="1767"/>
      <c r="AB538" s="1767"/>
      <c r="AC538" s="1767"/>
      <c r="AD538" s="1767"/>
      <c r="AE538" s="1767"/>
      <c r="AF538" s="1767"/>
      <c r="AG538" s="1767"/>
      <c r="AH538" s="1767"/>
      <c r="AI538" s="1767"/>
      <c r="AJ538" s="1767"/>
      <c r="AK538" s="1767"/>
      <c r="AL538" s="1767"/>
      <c r="AM538" s="1767"/>
      <c r="AN538" s="1767"/>
      <c r="AO538" s="1767"/>
      <c r="AP538" s="1767"/>
      <c r="AQ538" s="1767"/>
      <c r="AR538" s="1767"/>
      <c r="AS538" s="1768"/>
      <c r="AT538" s="1050"/>
      <c r="AU538" s="1050"/>
      <c r="AV538" s="1050"/>
      <c r="AW538" s="1050"/>
      <c r="AX538" s="1050"/>
      <c r="AY538" s="1050"/>
      <c r="AZ538" s="1050"/>
      <c r="BA538" s="1050"/>
      <c r="BB538" s="1050"/>
      <c r="BC538" s="1050"/>
      <c r="BD538" s="1050"/>
      <c r="BE538" s="1050"/>
      <c r="BF538" s="1050"/>
      <c r="BG538" s="1050"/>
    </row>
    <row r="539" spans="1:59" x14ac:dyDescent="0.15">
      <c r="A539" s="1752"/>
      <c r="B539" s="1752"/>
      <c r="C539" s="1752"/>
      <c r="D539" s="1752"/>
      <c r="E539" s="1050"/>
      <c r="F539" s="1050"/>
      <c r="G539" s="1050"/>
      <c r="H539" s="1050"/>
      <c r="I539" s="1050"/>
      <c r="J539" s="1050"/>
      <c r="K539" s="1050"/>
      <c r="L539" s="1050"/>
      <c r="M539" s="1050"/>
      <c r="N539" s="1050"/>
      <c r="O539" s="1050"/>
      <c r="P539" s="1050"/>
      <c r="Q539" s="1050"/>
      <c r="R539" s="1050"/>
      <c r="S539" s="1050"/>
      <c r="T539" s="1050"/>
      <c r="U539" s="1050"/>
      <c r="V539" s="1050"/>
      <c r="W539" s="1050"/>
      <c r="X539" s="1050"/>
      <c r="Y539" s="1050"/>
      <c r="Z539" s="1050"/>
      <c r="AA539" s="1050"/>
      <c r="AB539" s="1050"/>
      <c r="AC539" s="1050"/>
      <c r="AD539" s="1050"/>
      <c r="AE539" s="1050"/>
      <c r="AF539" s="1050"/>
      <c r="AG539" s="1050"/>
      <c r="AH539" s="1050"/>
      <c r="AI539" s="1050"/>
      <c r="AJ539" s="1050"/>
      <c r="AK539" s="1050"/>
      <c r="AL539" s="1050"/>
      <c r="AM539" s="1050"/>
      <c r="AN539" s="1050"/>
      <c r="AO539" s="1050"/>
      <c r="AP539" s="1050"/>
      <c r="AQ539" s="1050"/>
      <c r="AR539" s="1050"/>
      <c r="AS539" s="1050"/>
      <c r="AT539" s="1050"/>
      <c r="AU539" s="1050"/>
      <c r="AV539" s="1050"/>
      <c r="AW539" s="1050"/>
      <c r="AX539" s="1050"/>
      <c r="AY539" s="1050"/>
      <c r="AZ539" s="1050"/>
      <c r="BA539" s="1050"/>
      <c r="BB539" s="1050"/>
      <c r="BC539" s="1050"/>
      <c r="BD539" s="1050"/>
      <c r="BE539" s="1050"/>
      <c r="BF539" s="1050"/>
      <c r="BG539" s="1050"/>
    </row>
    <row r="540" spans="1:59" x14ac:dyDescent="0.15">
      <c r="A540" s="1052"/>
      <c r="B540" s="1753" t="s">
        <v>841</v>
      </c>
      <c r="C540" s="1754"/>
      <c r="D540" s="1754"/>
      <c r="E540" s="1754"/>
      <c r="F540" s="1754"/>
      <c r="G540" s="1754"/>
      <c r="H540" s="1754"/>
      <c r="I540" s="1754"/>
      <c r="J540" s="1754"/>
      <c r="K540" s="1754"/>
      <c r="L540" s="1754"/>
      <c r="M540" s="1754"/>
      <c r="N540" s="1754"/>
      <c r="O540" s="1754"/>
      <c r="P540" s="1754"/>
      <c r="Q540" s="1754"/>
      <c r="R540" s="1754"/>
      <c r="S540" s="1754"/>
      <c r="T540" s="1754"/>
      <c r="U540" s="1754"/>
      <c r="V540" s="1754"/>
      <c r="W540" s="1754"/>
      <c r="X540" s="1754"/>
      <c r="Y540" s="1754"/>
      <c r="Z540" s="1754"/>
      <c r="AA540" s="1754"/>
      <c r="AB540" s="1754"/>
      <c r="AC540" s="1754"/>
      <c r="AD540" s="1754"/>
      <c r="AE540" s="1754"/>
      <c r="AF540" s="1754"/>
      <c r="AG540" s="1754"/>
      <c r="AH540" s="1754"/>
      <c r="AI540" s="1754"/>
      <c r="AJ540" s="1754"/>
      <c r="AK540" s="1754"/>
      <c r="AL540" s="1754"/>
      <c r="AM540" s="1754"/>
      <c r="AN540" s="1754"/>
      <c r="AO540" s="1754"/>
      <c r="AP540" s="1754"/>
      <c r="AQ540" s="1754"/>
      <c r="AR540" s="1754"/>
      <c r="AS540" s="1754"/>
      <c r="AT540" s="1754"/>
      <c r="AU540" s="1754"/>
      <c r="AV540" s="1754"/>
      <c r="AW540" s="1754"/>
      <c r="AX540" s="1754"/>
      <c r="AY540" s="1754"/>
      <c r="AZ540" s="1754"/>
      <c r="BA540" s="1754"/>
      <c r="BB540" s="1754"/>
      <c r="BC540" s="1754"/>
      <c r="BD540" s="1754"/>
      <c r="BE540" s="1754"/>
      <c r="BF540" s="1754"/>
      <c r="BG540" s="1755"/>
    </row>
    <row r="541" spans="1:59" ht="15" thickBot="1" x14ac:dyDescent="0.2">
      <c r="A541" s="1052"/>
      <c r="B541" s="1053"/>
      <c r="C541" s="1054"/>
      <c r="D541" s="1054"/>
      <c r="E541" s="1055"/>
      <c r="F541" s="1055"/>
      <c r="G541" s="1055"/>
      <c r="H541" s="1055"/>
      <c r="I541" s="1055"/>
      <c r="J541" s="1055"/>
      <c r="K541" s="1055"/>
      <c r="L541" s="1055"/>
      <c r="M541" s="1055"/>
      <c r="N541" s="1055"/>
      <c r="O541" s="1055"/>
      <c r="P541" s="1055"/>
      <c r="Q541" s="1055"/>
      <c r="R541" s="1055"/>
      <c r="S541" s="1055"/>
      <c r="T541" s="1055"/>
      <c r="U541" s="1055"/>
      <c r="V541" s="1055"/>
      <c r="W541" s="1055"/>
      <c r="X541" s="1055"/>
      <c r="Y541" s="1055"/>
      <c r="Z541" s="1055"/>
      <c r="AA541" s="1055"/>
      <c r="AB541" s="1055"/>
      <c r="AC541" s="1055"/>
      <c r="AD541" s="1055"/>
      <c r="AE541" s="1055"/>
      <c r="AF541" s="1055"/>
      <c r="AG541" s="1055"/>
      <c r="AH541" s="1055"/>
      <c r="AI541" s="1055"/>
      <c r="AJ541" s="1055"/>
      <c r="AK541" s="1055"/>
      <c r="AL541" s="1055"/>
      <c r="AM541" s="1055"/>
      <c r="AN541" s="1055"/>
      <c r="AO541" s="1055"/>
      <c r="AP541" s="1055"/>
      <c r="AQ541" s="1055"/>
      <c r="AR541" s="1055"/>
      <c r="AS541" s="1055"/>
      <c r="AT541" s="1055"/>
      <c r="AU541" s="1055"/>
      <c r="AV541" s="1055"/>
      <c r="AW541" s="1055"/>
      <c r="AX541" s="1055"/>
      <c r="AY541" s="1055"/>
      <c r="AZ541" s="1055"/>
      <c r="BA541" s="1055"/>
      <c r="BB541" s="1055"/>
      <c r="BC541" s="1055"/>
      <c r="BD541" s="1055"/>
      <c r="BE541" s="1055"/>
      <c r="BF541" s="1055"/>
      <c r="BG541" s="1056"/>
    </row>
    <row r="542" spans="1:59" ht="15" thickBot="1" x14ac:dyDescent="0.2">
      <c r="A542" s="1052"/>
      <c r="B542" s="1053"/>
      <c r="C542" s="1756" t="str">
        <f>+IF(Ugyfelnyil="","",Ugyfelnyil)</f>
        <v/>
      </c>
      <c r="D542" s="1757"/>
      <c r="E542" s="1757"/>
      <c r="F542" s="1757"/>
      <c r="G542" s="1757"/>
      <c r="H542" s="1757"/>
      <c r="I542" s="1757"/>
      <c r="J542" s="1757"/>
      <c r="K542" s="1757"/>
      <c r="L542" s="1757"/>
      <c r="M542" s="1757"/>
      <c r="N542" s="1757"/>
      <c r="O542" s="1757"/>
      <c r="P542" s="1757"/>
      <c r="Q542" s="1757"/>
      <c r="R542" s="1757"/>
      <c r="S542" s="1757"/>
      <c r="T542" s="1757"/>
      <c r="U542" s="1757"/>
      <c r="V542" s="1757"/>
      <c r="W542" s="1757"/>
      <c r="X542" s="1757"/>
      <c r="Y542" s="1757"/>
      <c r="Z542" s="1757"/>
      <c r="AA542" s="1757"/>
      <c r="AB542" s="1757"/>
      <c r="AC542" s="1757"/>
      <c r="AD542" s="1757"/>
      <c r="AE542" s="1757"/>
      <c r="AF542" s="1757"/>
      <c r="AG542" s="1757"/>
      <c r="AH542" s="1757"/>
      <c r="AI542" s="1757"/>
      <c r="AJ542" s="1757"/>
      <c r="AK542" s="1757"/>
      <c r="AL542" s="1757"/>
      <c r="AM542" s="1757"/>
      <c r="AN542" s="1757"/>
      <c r="AO542" s="1757"/>
      <c r="AP542" s="1757"/>
      <c r="AQ542" s="1757"/>
      <c r="AR542" s="1757"/>
      <c r="AS542" s="1757"/>
      <c r="AT542" s="1757"/>
      <c r="AU542" s="1757"/>
      <c r="AV542" s="1757"/>
      <c r="AW542" s="1757"/>
      <c r="AX542" s="1757"/>
      <c r="AY542" s="1757"/>
      <c r="AZ542" s="1757"/>
      <c r="BA542" s="1757"/>
      <c r="BB542" s="1757"/>
      <c r="BC542" s="1757"/>
      <c r="BD542" s="1757"/>
      <c r="BE542" s="1757"/>
      <c r="BF542" s="1758"/>
      <c r="BG542" s="1056"/>
    </row>
    <row r="543" spans="1:59" x14ac:dyDescent="0.15">
      <c r="A543" s="1052"/>
      <c r="B543" s="1053"/>
      <c r="C543" s="1054"/>
      <c r="D543" s="1057" t="s">
        <v>370</v>
      </c>
      <c r="E543" s="1055"/>
      <c r="F543" s="1055"/>
      <c r="G543" s="1055"/>
      <c r="H543" s="1055"/>
      <c r="I543" s="1055"/>
      <c r="J543" s="1055"/>
      <c r="K543" s="1055"/>
      <c r="L543" s="1055"/>
      <c r="M543" s="1055"/>
      <c r="N543" s="1055"/>
      <c r="O543" s="1055"/>
      <c r="P543" s="1055"/>
      <c r="Q543" s="1055"/>
      <c r="R543" s="1055"/>
      <c r="S543" s="1055"/>
      <c r="T543" s="1055"/>
      <c r="U543" s="1055"/>
      <c r="V543" s="1055"/>
      <c r="W543" s="1055"/>
      <c r="X543" s="1055"/>
      <c r="Y543" s="1055"/>
      <c r="Z543" s="1055"/>
      <c r="AA543" s="1055"/>
      <c r="AB543" s="1055"/>
      <c r="AC543" s="1055"/>
      <c r="AD543" s="1055"/>
      <c r="AE543" s="1055"/>
      <c r="AF543" s="1055"/>
      <c r="AG543" s="1055"/>
      <c r="AH543" s="1055"/>
      <c r="AI543" s="1055"/>
      <c r="AJ543" s="1055"/>
      <c r="AK543" s="1055"/>
      <c r="AL543" s="1055"/>
      <c r="AM543" s="1055"/>
      <c r="AN543" s="1055"/>
      <c r="AO543" s="1055"/>
      <c r="AP543" s="1055"/>
      <c r="AQ543" s="1055"/>
      <c r="AR543" s="1055"/>
      <c r="AS543" s="1055"/>
      <c r="AT543" s="1055"/>
      <c r="AU543" s="1055"/>
      <c r="AV543" s="1055"/>
      <c r="AW543" s="1055"/>
      <c r="AX543" s="1055"/>
      <c r="AY543" s="1055"/>
      <c r="AZ543" s="1055"/>
      <c r="BA543" s="1055"/>
      <c r="BB543" s="1055"/>
      <c r="BC543" s="1055"/>
      <c r="BD543" s="1055"/>
      <c r="BE543" s="1055"/>
      <c r="BF543" s="1055"/>
      <c r="BG543" s="1056"/>
    </row>
    <row r="544" spans="1:59" ht="15" thickBot="1" x14ac:dyDescent="0.2">
      <c r="A544" s="1052"/>
      <c r="B544" s="1053"/>
      <c r="C544" s="1054"/>
      <c r="D544" s="1054"/>
      <c r="E544" s="1055"/>
      <c r="F544" s="1055"/>
      <c r="G544" s="1055"/>
      <c r="H544" s="1055"/>
      <c r="I544" s="1055"/>
      <c r="J544" s="1055"/>
      <c r="K544" s="1055"/>
      <c r="L544" s="1055"/>
      <c r="M544" s="1055"/>
      <c r="N544" s="1055"/>
      <c r="O544" s="1055"/>
      <c r="P544" s="1055"/>
      <c r="Q544" s="1055"/>
      <c r="R544" s="1055"/>
      <c r="S544" s="1055"/>
      <c r="T544" s="1055"/>
      <c r="U544" s="1055"/>
      <c r="V544" s="1055"/>
      <c r="W544" s="1055"/>
      <c r="X544" s="1055"/>
      <c r="Y544" s="1055"/>
      <c r="Z544" s="1055"/>
      <c r="AA544" s="1055"/>
      <c r="AB544" s="1055"/>
      <c r="AC544" s="1055"/>
      <c r="AD544" s="1055"/>
      <c r="AE544" s="1055"/>
      <c r="AF544" s="1055"/>
      <c r="AG544" s="1055"/>
      <c r="AH544" s="1055"/>
      <c r="AI544" s="1055"/>
      <c r="AJ544" s="1055"/>
      <c r="AK544" s="1055"/>
      <c r="AL544" s="1055"/>
      <c r="AM544" s="1055"/>
      <c r="AN544" s="1055"/>
      <c r="AO544" s="1055"/>
      <c r="AP544" s="1055"/>
      <c r="AQ544" s="1055"/>
      <c r="AR544" s="1055"/>
      <c r="AS544" s="1055"/>
      <c r="AT544" s="1055"/>
      <c r="AU544" s="1055"/>
      <c r="AV544" s="1055"/>
      <c r="AW544" s="1055"/>
      <c r="AX544" s="1055"/>
      <c r="AY544" s="1055"/>
      <c r="AZ544" s="1055"/>
      <c r="BA544" s="1055"/>
      <c r="BB544" s="1055"/>
      <c r="BC544" s="1055"/>
      <c r="BD544" s="1055"/>
      <c r="BE544" s="1055"/>
      <c r="BF544" s="1055"/>
      <c r="BG544" s="1056"/>
    </row>
    <row r="545" spans="1:59" ht="15" thickBot="1" x14ac:dyDescent="0.2">
      <c r="A545" s="1052"/>
      <c r="B545" s="1053"/>
      <c r="C545" s="1763" t="str">
        <f>+IF(anyanyil="","",anyanyil)</f>
        <v/>
      </c>
      <c r="D545" s="1764"/>
      <c r="E545" s="1764"/>
      <c r="F545" s="1764"/>
      <c r="G545" s="1764"/>
      <c r="H545" s="1764"/>
      <c r="I545" s="1764"/>
      <c r="J545" s="1764"/>
      <c r="K545" s="1764"/>
      <c r="L545" s="1764"/>
      <c r="M545" s="1764"/>
      <c r="N545" s="1764"/>
      <c r="O545" s="1764"/>
      <c r="P545" s="1764"/>
      <c r="Q545" s="1764"/>
      <c r="R545" s="1764"/>
      <c r="S545" s="1764"/>
      <c r="T545" s="1765"/>
      <c r="U545" s="1055"/>
      <c r="V545" s="1055"/>
      <c r="W545" s="1055"/>
      <c r="X545" s="1763" t="str">
        <f>+IF(szülnyil="","",szülnyil)</f>
        <v/>
      </c>
      <c r="Y545" s="1764"/>
      <c r="Z545" s="1764"/>
      <c r="AA545" s="1764"/>
      <c r="AB545" s="1764"/>
      <c r="AC545" s="1764"/>
      <c r="AD545" s="1764"/>
      <c r="AE545" s="1764"/>
      <c r="AF545" s="1764"/>
      <c r="AG545" s="1764"/>
      <c r="AH545" s="1764"/>
      <c r="AI545" s="1764"/>
      <c r="AJ545" s="1764"/>
      <c r="AK545" s="1764"/>
      <c r="AL545" s="1764"/>
      <c r="AM545" s="1764"/>
      <c r="AN545" s="1765"/>
      <c r="AO545" s="1054"/>
      <c r="AP545" s="1054"/>
      <c r="AQ545" s="1055"/>
      <c r="AR545" s="1763" t="str">
        <f>+IF(szülidonyil="","",szülidonyil)</f>
        <v/>
      </c>
      <c r="AS545" s="1764"/>
      <c r="AT545" s="1764"/>
      <c r="AU545" s="1764"/>
      <c r="AV545" s="1764"/>
      <c r="AW545" s="1764"/>
      <c r="AX545" s="1764"/>
      <c r="AY545" s="1764"/>
      <c r="AZ545" s="1764"/>
      <c r="BA545" s="1764"/>
      <c r="BB545" s="1764"/>
      <c r="BC545" s="1764"/>
      <c r="BD545" s="1765"/>
      <c r="BE545" s="1055"/>
      <c r="BF545" s="1055"/>
      <c r="BG545" s="1056"/>
    </row>
    <row r="546" spans="1:59" x14ac:dyDescent="0.15">
      <c r="A546" s="1052"/>
      <c r="B546" s="1053"/>
      <c r="C546" s="1054" t="s">
        <v>581</v>
      </c>
      <c r="D546" s="1054"/>
      <c r="E546" s="1055"/>
      <c r="F546" s="1055"/>
      <c r="G546" s="1055"/>
      <c r="H546" s="1055"/>
      <c r="I546" s="1055"/>
      <c r="J546" s="1055"/>
      <c r="K546" s="1055"/>
      <c r="L546" s="1055"/>
      <c r="M546" s="1055"/>
      <c r="N546" s="1055"/>
      <c r="O546" s="1055"/>
      <c r="P546" s="1055"/>
      <c r="Q546" s="1055"/>
      <c r="R546" s="1055"/>
      <c r="S546" s="1055"/>
      <c r="T546" s="1055"/>
      <c r="U546" s="1055"/>
      <c r="V546" s="1055"/>
      <c r="W546" s="1055"/>
      <c r="X546" s="1055" t="s">
        <v>582</v>
      </c>
      <c r="Y546" s="1055"/>
      <c r="Z546" s="1055"/>
      <c r="AA546" s="1055"/>
      <c r="AB546" s="1055"/>
      <c r="AC546" s="1055"/>
      <c r="AD546" s="1055"/>
      <c r="AE546" s="1055"/>
      <c r="AF546" s="1055"/>
      <c r="AG546" s="1055"/>
      <c r="AH546" s="1055"/>
      <c r="AI546" s="1055"/>
      <c r="AJ546" s="1055"/>
      <c r="AK546" s="1055"/>
      <c r="AL546" s="1055"/>
      <c r="AM546" s="1055"/>
      <c r="AN546" s="1055"/>
      <c r="AO546" s="1055"/>
      <c r="AP546" s="1055"/>
      <c r="AQ546" s="1055"/>
      <c r="AR546" s="1055" t="s">
        <v>583</v>
      </c>
      <c r="AS546" s="1055"/>
      <c r="AT546" s="1055"/>
      <c r="AU546" s="1055"/>
      <c r="AV546" s="1055"/>
      <c r="AW546" s="1055"/>
      <c r="AX546" s="1055"/>
      <c r="AY546" s="1055"/>
      <c r="AZ546" s="1055"/>
      <c r="BA546" s="1055"/>
      <c r="BB546" s="1055"/>
      <c r="BC546" s="1055"/>
      <c r="BD546" s="1055"/>
      <c r="BE546" s="1055"/>
      <c r="BF546" s="1055"/>
      <c r="BG546" s="1056"/>
    </row>
    <row r="547" spans="1:59" ht="15" thickBot="1" x14ac:dyDescent="0.2">
      <c r="A547" s="1052"/>
      <c r="B547" s="1053"/>
      <c r="C547" s="1054"/>
      <c r="D547" s="1054"/>
      <c r="E547" s="1055"/>
      <c r="F547" s="1055"/>
      <c r="G547" s="1055"/>
      <c r="H547" s="1055"/>
      <c r="I547" s="1055"/>
      <c r="J547" s="1055"/>
      <c r="K547" s="1055"/>
      <c r="L547" s="1055"/>
      <c r="M547" s="1055"/>
      <c r="N547" s="1055"/>
      <c r="O547" s="1055"/>
      <c r="P547" s="1055"/>
      <c r="Q547" s="1055"/>
      <c r="R547" s="1055"/>
      <c r="S547" s="1055"/>
      <c r="T547" s="1055"/>
      <c r="U547" s="1055"/>
      <c r="V547" s="1055"/>
      <c r="W547" s="1055"/>
      <c r="X547" s="1055"/>
      <c r="Y547" s="1055"/>
      <c r="Z547" s="1055"/>
      <c r="AA547" s="1055"/>
      <c r="AB547" s="1055"/>
      <c r="AC547" s="1055"/>
      <c r="AD547" s="1055"/>
      <c r="AE547" s="1055"/>
      <c r="AF547" s="1055"/>
      <c r="AG547" s="1055"/>
      <c r="AH547" s="1055"/>
      <c r="AI547" s="1055"/>
      <c r="AJ547" s="1055"/>
      <c r="AK547" s="1055"/>
      <c r="AL547" s="1055"/>
      <c r="AM547" s="1055"/>
      <c r="AN547" s="1055"/>
      <c r="AO547" s="1055"/>
      <c r="AP547" s="1055"/>
      <c r="AQ547" s="1055"/>
      <c r="AR547" s="1055"/>
      <c r="AS547" s="1055"/>
      <c r="AT547" s="1055"/>
      <c r="AU547" s="1055"/>
      <c r="AV547" s="1055"/>
      <c r="AW547" s="1055"/>
      <c r="AX547" s="1055"/>
      <c r="AY547" s="1055"/>
      <c r="AZ547" s="1055"/>
      <c r="BA547" s="1055"/>
      <c r="BB547" s="1055"/>
      <c r="BC547" s="1055"/>
      <c r="BD547" s="1055"/>
      <c r="BE547" s="1055"/>
      <c r="BF547" s="1055"/>
      <c r="BG547" s="1056"/>
    </row>
    <row r="548" spans="1:59" ht="15" thickBot="1" x14ac:dyDescent="0.2">
      <c r="A548" s="1052"/>
      <c r="B548" s="1053"/>
      <c r="C548" s="1054"/>
      <c r="D548" s="1054"/>
      <c r="E548" s="1055"/>
      <c r="F548" s="1055"/>
      <c r="G548" s="1055"/>
      <c r="H548" s="1055"/>
      <c r="I548" s="1055"/>
      <c r="J548" s="1055"/>
      <c r="K548" s="1055"/>
      <c r="L548" s="1055"/>
      <c r="M548" s="1055"/>
      <c r="N548" s="1055"/>
      <c r="O548" s="1055"/>
      <c r="P548" s="1763" t="str">
        <f>+IF(orszagnyil="","",orszagnyil)</f>
        <v>HU</v>
      </c>
      <c r="Q548" s="1764"/>
      <c r="R548" s="1764"/>
      <c r="S548" s="1765"/>
      <c r="T548" s="1055"/>
      <c r="U548" s="1055"/>
      <c r="V548" s="1055"/>
      <c r="W548" s="1055"/>
      <c r="X548" s="1055"/>
      <c r="Y548" s="1055"/>
      <c r="Z548" s="1055"/>
      <c r="AA548" s="1055"/>
      <c r="AB548" s="1055"/>
      <c r="AC548" s="1055"/>
      <c r="AD548" s="1055"/>
      <c r="AE548" s="1055"/>
      <c r="AF548" s="1055"/>
      <c r="AG548" s="1055"/>
      <c r="AH548" s="1055"/>
      <c r="AI548" s="1055"/>
      <c r="AJ548" s="1055"/>
      <c r="AK548" s="1055"/>
      <c r="AL548" s="1055"/>
      <c r="AM548" s="1055"/>
      <c r="AN548" s="1055"/>
      <c r="AO548" s="1055"/>
      <c r="AP548" s="1055"/>
      <c r="AQ548" s="1055"/>
      <c r="AR548" s="1055"/>
      <c r="AS548" s="1055"/>
      <c r="AT548" s="1055"/>
      <c r="AU548" s="1055"/>
      <c r="AV548" s="1055"/>
      <c r="AW548" s="1055"/>
      <c r="AX548" s="1055"/>
      <c r="AY548" s="1055"/>
      <c r="AZ548" s="1055"/>
      <c r="BA548" s="1055"/>
      <c r="BB548" s="1055"/>
      <c r="BC548" s="1055"/>
      <c r="BD548" s="1055"/>
      <c r="BE548" s="1055"/>
      <c r="BF548" s="1055"/>
      <c r="BG548" s="1056"/>
    </row>
    <row r="549" spans="1:59" ht="15" thickBot="1" x14ac:dyDescent="0.2">
      <c r="A549" s="1052"/>
      <c r="B549" s="1053"/>
      <c r="C549" s="1054"/>
      <c r="D549" s="1769" t="s">
        <v>584</v>
      </c>
      <c r="E549" s="1769"/>
      <c r="F549" s="1769"/>
      <c r="G549" s="1769"/>
      <c r="H549" s="1769"/>
      <c r="I549" s="1769"/>
      <c r="J549" s="1769"/>
      <c r="K549" s="1769"/>
      <c r="L549" s="1769"/>
      <c r="M549" s="1769"/>
      <c r="N549" s="1769"/>
      <c r="O549" s="1058"/>
      <c r="P549" s="1058" t="s">
        <v>297</v>
      </c>
      <c r="Q549" s="1058"/>
      <c r="R549" s="1058"/>
      <c r="S549" s="1057"/>
      <c r="T549" s="1058"/>
      <c r="U549" s="1058"/>
      <c r="V549" s="1057"/>
      <c r="W549" s="1057"/>
      <c r="X549" s="1057"/>
      <c r="Y549" s="1057"/>
      <c r="Z549" s="1057"/>
      <c r="AA549" s="1057"/>
      <c r="AB549" s="1057"/>
      <c r="AC549" s="1057"/>
      <c r="AD549" s="1057"/>
      <c r="AE549" s="1057"/>
      <c r="AF549" s="1057"/>
      <c r="AG549" s="1057"/>
      <c r="AH549" s="1057"/>
      <c r="AI549" s="1057"/>
      <c r="AJ549" s="1057"/>
      <c r="AK549" s="1057"/>
      <c r="AL549" s="1057"/>
      <c r="AM549" s="1057"/>
      <c r="AN549" s="1057"/>
      <c r="AO549" s="1057"/>
      <c r="AP549" s="1057"/>
      <c r="AQ549" s="1057"/>
      <c r="AR549" s="1057"/>
      <c r="AS549" s="1057"/>
      <c r="AT549" s="1057"/>
      <c r="AU549" s="1057"/>
      <c r="AV549" s="1057"/>
      <c r="AW549" s="1057"/>
      <c r="AX549" s="1057"/>
      <c r="AY549" s="1057"/>
      <c r="AZ549" s="1057"/>
      <c r="BA549" s="1057"/>
      <c r="BB549" s="1057"/>
      <c r="BC549" s="1057"/>
      <c r="BD549" s="1057"/>
      <c r="BE549" s="1057"/>
      <c r="BF549" s="1057"/>
      <c r="BG549" s="1056"/>
    </row>
    <row r="550" spans="1:59" ht="15" thickBot="1" x14ac:dyDescent="0.2">
      <c r="A550" s="1052"/>
      <c r="B550" s="1053"/>
      <c r="C550" s="1054"/>
      <c r="D550" s="1769"/>
      <c r="E550" s="1769"/>
      <c r="F550" s="1769"/>
      <c r="G550" s="1769"/>
      <c r="H550" s="1769"/>
      <c r="I550" s="1769"/>
      <c r="J550" s="1769"/>
      <c r="K550" s="1769"/>
      <c r="L550" s="1769"/>
      <c r="M550" s="1769"/>
      <c r="N550" s="1769"/>
      <c r="O550" s="1059"/>
      <c r="P550" s="1770" t="str">
        <f>+IF(irszamnyil="","",irszamnyil)</f>
        <v/>
      </c>
      <c r="Q550" s="1771"/>
      <c r="R550" s="1771"/>
      <c r="S550" s="1772"/>
      <c r="T550" s="1057"/>
      <c r="U550" s="1773" t="str">
        <f>+IF(helysegnyil="","",helysegnyil)</f>
        <v/>
      </c>
      <c r="V550" s="1774"/>
      <c r="W550" s="1774"/>
      <c r="X550" s="1774"/>
      <c r="Y550" s="1774"/>
      <c r="Z550" s="1774"/>
      <c r="AA550" s="1774"/>
      <c r="AB550" s="1774"/>
      <c r="AC550" s="1774"/>
      <c r="AD550" s="1774"/>
      <c r="AE550" s="1774"/>
      <c r="AF550" s="1774"/>
      <c r="AG550" s="1774"/>
      <c r="AH550" s="1774"/>
      <c r="AI550" s="1774"/>
      <c r="AJ550" s="1774"/>
      <c r="AK550" s="1774"/>
      <c r="AL550" s="1774"/>
      <c r="AM550" s="1774"/>
      <c r="AN550" s="1774"/>
      <c r="AO550" s="1774"/>
      <c r="AP550" s="1774"/>
      <c r="AQ550" s="1774"/>
      <c r="AR550" s="1774"/>
      <c r="AS550" s="1774"/>
      <c r="AT550" s="1774"/>
      <c r="AU550" s="1774"/>
      <c r="AV550" s="1774"/>
      <c r="AW550" s="1774"/>
      <c r="AX550" s="1774"/>
      <c r="AY550" s="1775"/>
      <c r="AZ550" s="1057"/>
      <c r="BA550" s="1770" t="str">
        <f>+IF(postafioknyil="","",postafioknyil)</f>
        <v/>
      </c>
      <c r="BB550" s="1771"/>
      <c r="BC550" s="1771"/>
      <c r="BD550" s="1771"/>
      <c r="BE550" s="1771"/>
      <c r="BF550" s="1772"/>
      <c r="BG550" s="1056"/>
    </row>
    <row r="551" spans="1:59" x14ac:dyDescent="0.15">
      <c r="A551" s="1052"/>
      <c r="B551" s="1053"/>
      <c r="C551" s="1054"/>
      <c r="D551" s="1769"/>
      <c r="E551" s="1769"/>
      <c r="F551" s="1769"/>
      <c r="G551" s="1769"/>
      <c r="H551" s="1769"/>
      <c r="I551" s="1769"/>
      <c r="J551" s="1769"/>
      <c r="K551" s="1769"/>
      <c r="L551" s="1769"/>
      <c r="M551" s="1769"/>
      <c r="N551" s="1769"/>
      <c r="O551" s="1057"/>
      <c r="P551" s="1057" t="s">
        <v>146</v>
      </c>
      <c r="Q551" s="1057"/>
      <c r="R551" s="1057"/>
      <c r="S551" s="1057"/>
      <c r="T551" s="1057"/>
      <c r="U551" s="1057" t="s">
        <v>147</v>
      </c>
      <c r="V551" s="1057"/>
      <c r="W551" s="1057"/>
      <c r="X551" s="1057"/>
      <c r="Y551" s="1057"/>
      <c r="Z551" s="1057"/>
      <c r="AA551" s="1057"/>
      <c r="AB551" s="1057"/>
      <c r="AC551" s="1057"/>
      <c r="AD551" s="1057"/>
      <c r="AE551" s="1057"/>
      <c r="AF551" s="1057"/>
      <c r="AG551" s="1057"/>
      <c r="AH551" s="1057"/>
      <c r="AI551" s="1057"/>
      <c r="AJ551" s="1057"/>
      <c r="AK551" s="1057"/>
      <c r="AL551" s="1057"/>
      <c r="AM551" s="1057"/>
      <c r="AN551" s="1057"/>
      <c r="AO551" s="1057"/>
      <c r="AP551" s="1057"/>
      <c r="AQ551" s="1057"/>
      <c r="AR551" s="1057"/>
      <c r="AS551" s="1057"/>
      <c r="AT551" s="1057"/>
      <c r="AU551" s="1057"/>
      <c r="AV551" s="1057"/>
      <c r="AW551" s="1057"/>
      <c r="AX551" s="1057"/>
      <c r="AY551" s="1057"/>
      <c r="AZ551" s="1057"/>
      <c r="BA551" s="1057" t="s">
        <v>148</v>
      </c>
      <c r="BB551" s="1057"/>
      <c r="BC551" s="1057"/>
      <c r="BD551" s="1057"/>
      <c r="BE551" s="1057"/>
      <c r="BF551" s="1057"/>
      <c r="BG551" s="1056"/>
    </row>
    <row r="552" spans="1:59" ht="15" thickBot="1" x14ac:dyDescent="0.2">
      <c r="A552" s="1052"/>
      <c r="B552" s="1053"/>
      <c r="C552" s="1054"/>
      <c r="D552" s="1060"/>
      <c r="E552" s="1060"/>
      <c r="F552" s="1060"/>
      <c r="G552" s="1060"/>
      <c r="H552" s="1060"/>
      <c r="I552" s="1060"/>
      <c r="J552" s="1060"/>
      <c r="K552" s="1060"/>
      <c r="L552" s="1060"/>
      <c r="M552" s="1060"/>
      <c r="N552" s="1060"/>
      <c r="O552" s="1061"/>
      <c r="P552" s="1057"/>
      <c r="Q552" s="1057"/>
      <c r="R552" s="1057"/>
      <c r="S552" s="1057"/>
      <c r="T552" s="1057"/>
      <c r="U552" s="1057"/>
      <c r="V552" s="1057"/>
      <c r="W552" s="1057"/>
      <c r="X552" s="1057"/>
      <c r="Y552" s="1057"/>
      <c r="Z552" s="1057"/>
      <c r="AA552" s="1057"/>
      <c r="AB552" s="1057"/>
      <c r="AC552" s="1057"/>
      <c r="AD552" s="1057"/>
      <c r="AE552" s="1057"/>
      <c r="AF552" s="1057"/>
      <c r="AG552" s="1057"/>
      <c r="AH552" s="1057"/>
      <c r="AI552" s="1057"/>
      <c r="AJ552" s="1057"/>
      <c r="AK552" s="1057"/>
      <c r="AL552" s="1057"/>
      <c r="AM552" s="1057"/>
      <c r="AN552" s="1057"/>
      <c r="AO552" s="1057"/>
      <c r="AP552" s="1057"/>
      <c r="AQ552" s="1057"/>
      <c r="AR552" s="1057"/>
      <c r="AS552" s="1057"/>
      <c r="AT552" s="1057"/>
      <c r="AU552" s="1057"/>
      <c r="AV552" s="1057"/>
      <c r="AW552" s="1057"/>
      <c r="AX552" s="1057"/>
      <c r="AY552" s="1057"/>
      <c r="AZ552" s="1057"/>
      <c r="BA552" s="1057"/>
      <c r="BB552" s="1057"/>
      <c r="BC552" s="1057"/>
      <c r="BD552" s="1057"/>
      <c r="BE552" s="1057"/>
      <c r="BF552" s="1057"/>
      <c r="BG552" s="1056"/>
    </row>
    <row r="553" spans="1:59" ht="15" thickBot="1" x14ac:dyDescent="0.2">
      <c r="A553" s="1052"/>
      <c r="B553" s="1053"/>
      <c r="C553" s="1054"/>
      <c r="D553" s="1770" t="str">
        <f>+IF(kozternevenyil="","",kozternevenyil)</f>
        <v/>
      </c>
      <c r="E553" s="1771"/>
      <c r="F553" s="1771"/>
      <c r="G553" s="1771"/>
      <c r="H553" s="1771"/>
      <c r="I553" s="1771"/>
      <c r="J553" s="1771"/>
      <c r="K553" s="1771"/>
      <c r="L553" s="1771"/>
      <c r="M553" s="1771"/>
      <c r="N553" s="1771"/>
      <c r="O553" s="1771"/>
      <c r="P553" s="1771"/>
      <c r="Q553" s="1771"/>
      <c r="R553" s="1771"/>
      <c r="S553" s="1771"/>
      <c r="T553" s="1771"/>
      <c r="U553" s="1771"/>
      <c r="V553" s="1771"/>
      <c r="W553" s="1771"/>
      <c r="X553" s="1771"/>
      <c r="Y553" s="1771"/>
      <c r="Z553" s="1771"/>
      <c r="AA553" s="1771"/>
      <c r="AB553" s="1771"/>
      <c r="AC553" s="1772"/>
      <c r="AD553" s="1062"/>
      <c r="AE553" s="1063"/>
      <c r="AF553" s="1770" t="str">
        <f>+IF(jellegnyil="","",jellegnyil)</f>
        <v>legördülő cella</v>
      </c>
      <c r="AG553" s="1771"/>
      <c r="AH553" s="1771"/>
      <c r="AI553" s="1771"/>
      <c r="AJ553" s="1771"/>
      <c r="AK553" s="1771"/>
      <c r="AL553" s="1771"/>
      <c r="AM553" s="1771"/>
      <c r="AN553" s="1771"/>
      <c r="AO553" s="1771"/>
      <c r="AP553" s="1772"/>
      <c r="AQ553" s="1062"/>
      <c r="AR553" s="1059"/>
      <c r="AS553" s="1059"/>
      <c r="AT553" s="1059"/>
      <c r="AU553" s="1059"/>
      <c r="AV553" s="1059"/>
      <c r="AW553" s="1059"/>
      <c r="AX553" s="1776" t="str">
        <f>+IF(ajtonyil="","",ajtonyil)</f>
        <v/>
      </c>
      <c r="AY553" s="1777"/>
      <c r="AZ553" s="1777"/>
      <c r="BA553" s="1777"/>
      <c r="BB553" s="1777"/>
      <c r="BC553" s="1777"/>
      <c r="BD553" s="1777"/>
      <c r="BE553" s="1777"/>
      <c r="BF553" s="1778"/>
      <c r="BG553" s="1056"/>
    </row>
    <row r="554" spans="1:59" x14ac:dyDescent="0.15">
      <c r="A554" s="1052"/>
      <c r="B554" s="1053"/>
      <c r="C554" s="1054"/>
      <c r="D554" s="1057" t="s">
        <v>149</v>
      </c>
      <c r="E554" s="1057"/>
      <c r="F554" s="1057"/>
      <c r="G554" s="1057"/>
      <c r="H554" s="1057"/>
      <c r="I554" s="1057"/>
      <c r="J554" s="1057"/>
      <c r="K554" s="1057"/>
      <c r="L554" s="1057"/>
      <c r="M554" s="1057"/>
      <c r="N554" s="1057"/>
      <c r="O554" s="1057"/>
      <c r="P554" s="1057"/>
      <c r="Q554" s="1057"/>
      <c r="R554" s="1057"/>
      <c r="S554" s="1057"/>
      <c r="T554" s="1057"/>
      <c r="U554" s="1057"/>
      <c r="V554" s="1057"/>
      <c r="W554" s="1057"/>
      <c r="X554" s="1057"/>
      <c r="Y554" s="1057"/>
      <c r="Z554" s="1057"/>
      <c r="AA554" s="1057"/>
      <c r="AB554" s="1057"/>
      <c r="AC554" s="1057"/>
      <c r="AD554" s="1057"/>
      <c r="AE554" s="1057"/>
      <c r="AF554" s="1057" t="s">
        <v>150</v>
      </c>
      <c r="AG554" s="1057"/>
      <c r="AH554" s="1057"/>
      <c r="AI554" s="1057"/>
      <c r="AJ554" s="1063"/>
      <c r="AK554" s="1057"/>
      <c r="AL554" s="1057"/>
      <c r="AM554" s="1057"/>
      <c r="AN554" s="1057"/>
      <c r="AO554" s="1057"/>
      <c r="AP554" s="1057"/>
      <c r="AQ554" s="1063"/>
      <c r="AR554" s="1057"/>
      <c r="AS554" s="1057"/>
      <c r="AT554" s="1057"/>
      <c r="AU554" s="1057"/>
      <c r="AV554" s="1057"/>
      <c r="AW554" s="1057"/>
      <c r="AX554" s="1058" t="s">
        <v>151</v>
      </c>
      <c r="AY554" s="1058"/>
      <c r="AZ554" s="1058"/>
      <c r="BA554" s="1058"/>
      <c r="BB554" s="1058"/>
      <c r="BC554" s="1058"/>
      <c r="BD554" s="1058"/>
      <c r="BE554" s="1058"/>
      <c r="BF554" s="1058"/>
      <c r="BG554" s="1056"/>
    </row>
    <row r="555" spans="1:59" x14ac:dyDescent="0.15">
      <c r="A555" s="1050"/>
      <c r="B555" s="1064"/>
      <c r="C555" s="1055"/>
      <c r="D555" s="1060"/>
      <c r="E555" s="1060"/>
      <c r="F555" s="1060"/>
      <c r="G555" s="1060"/>
      <c r="H555" s="1060"/>
      <c r="I555" s="1060"/>
      <c r="J555" s="1060"/>
      <c r="K555" s="1060"/>
      <c r="L555" s="1060"/>
      <c r="M555" s="1060"/>
      <c r="N555" s="1060"/>
      <c r="O555" s="1061"/>
      <c r="P555" s="1057"/>
      <c r="Q555" s="1057"/>
      <c r="R555" s="1057"/>
      <c r="S555" s="1057"/>
      <c r="T555" s="1057"/>
      <c r="U555" s="1057"/>
      <c r="V555" s="1057"/>
      <c r="W555" s="1057"/>
      <c r="X555" s="1057"/>
      <c r="Y555" s="1057"/>
      <c r="Z555" s="1057"/>
      <c r="AA555" s="1057"/>
      <c r="AB555" s="1057"/>
      <c r="AC555" s="1057"/>
      <c r="AD555" s="1057"/>
      <c r="AE555" s="1057"/>
      <c r="AF555" s="1057"/>
      <c r="AG555" s="1057"/>
      <c r="AH555" s="1057"/>
      <c r="AI555" s="1057"/>
      <c r="AJ555" s="1057"/>
      <c r="AK555" s="1057"/>
      <c r="AL555" s="1057"/>
      <c r="AM555" s="1057"/>
      <c r="AN555" s="1057"/>
      <c r="AO555" s="1057"/>
      <c r="AP555" s="1057"/>
      <c r="AQ555" s="1057"/>
      <c r="AR555" s="1057"/>
      <c r="AS555" s="1057"/>
      <c r="AT555" s="1057"/>
      <c r="AU555" s="1057"/>
      <c r="AV555" s="1057"/>
      <c r="AW555" s="1057"/>
      <c r="AX555" s="1057"/>
      <c r="AY555" s="1057"/>
      <c r="AZ555" s="1057"/>
      <c r="BA555" s="1057"/>
      <c r="BB555" s="1057"/>
      <c r="BC555" s="1057"/>
      <c r="BD555" s="1057"/>
      <c r="BE555" s="1057"/>
      <c r="BF555" s="1057"/>
      <c r="BG555" s="1056"/>
    </row>
    <row r="556" spans="1:59" ht="15" thickBot="1" x14ac:dyDescent="0.2">
      <c r="A556" s="1050"/>
      <c r="B556" s="1064"/>
      <c r="C556" s="1055"/>
      <c r="D556" s="1055"/>
      <c r="E556" s="1055"/>
      <c r="F556" s="1055"/>
      <c r="G556" s="1055"/>
      <c r="H556" s="1055"/>
      <c r="I556" s="1055"/>
      <c r="J556" s="1055"/>
      <c r="K556" s="1055"/>
      <c r="L556" s="1055"/>
      <c r="M556" s="1055"/>
      <c r="N556" s="1055"/>
      <c r="O556" s="1055"/>
      <c r="P556" s="1055"/>
      <c r="Q556" s="1055"/>
      <c r="R556" s="1055"/>
      <c r="S556" s="1055"/>
      <c r="T556" s="1055"/>
      <c r="U556" s="1055"/>
      <c r="V556" s="1055"/>
      <c r="W556" s="1055"/>
      <c r="X556" s="1055"/>
      <c r="Y556" s="1055"/>
      <c r="Z556" s="1055"/>
      <c r="AA556" s="1055"/>
      <c r="AB556" s="1055"/>
      <c r="AC556" s="1055"/>
      <c r="AD556" s="1055"/>
      <c r="AE556" s="1055"/>
      <c r="AF556" s="1055"/>
      <c r="AG556" s="1055"/>
      <c r="AH556" s="1055"/>
      <c r="AI556" s="1055"/>
      <c r="AJ556" s="1055"/>
      <c r="AK556" s="1055"/>
      <c r="AL556" s="1055"/>
      <c r="AM556" s="1055"/>
      <c r="AN556" s="1055"/>
      <c r="AO556" s="1055"/>
      <c r="AP556" s="1055"/>
      <c r="AQ556" s="1055"/>
      <c r="AR556" s="1055"/>
      <c r="AS556" s="1055"/>
      <c r="AT556" s="1055"/>
      <c r="AU556" s="1055"/>
      <c r="AV556" s="1055"/>
      <c r="AW556" s="1055"/>
      <c r="AX556" s="1055"/>
      <c r="AY556" s="1055"/>
      <c r="AZ556" s="1055"/>
      <c r="BA556" s="1055"/>
      <c r="BB556" s="1055"/>
      <c r="BC556" s="1055"/>
      <c r="BD556" s="1055"/>
      <c r="BE556" s="1055"/>
      <c r="BF556" s="1055"/>
      <c r="BG556" s="1056"/>
    </row>
    <row r="557" spans="1:59" ht="15" thickBot="1" x14ac:dyDescent="0.2">
      <c r="A557" s="1050"/>
      <c r="B557" s="1064"/>
      <c r="C557" s="1763" t="str">
        <f>+IF(adoszamnyil="","",adoszamnyil)</f>
        <v/>
      </c>
      <c r="D557" s="1764"/>
      <c r="E557" s="1764"/>
      <c r="F557" s="1764"/>
      <c r="G557" s="1764"/>
      <c r="H557" s="1764"/>
      <c r="I557" s="1764"/>
      <c r="J557" s="1764"/>
      <c r="K557" s="1764"/>
      <c r="L557" s="1764"/>
      <c r="M557" s="1764"/>
      <c r="N557" s="1764"/>
      <c r="O557" s="1764"/>
      <c r="P557" s="1764"/>
      <c r="Q557" s="1764"/>
      <c r="R557" s="1764"/>
      <c r="S557" s="1764"/>
      <c r="T557" s="1765"/>
      <c r="U557" s="1055"/>
      <c r="V557" s="1055"/>
      <c r="W557" s="1055"/>
      <c r="X557" s="1763" t="str">
        <f>+IF(evnyil="","",evnyil)</f>
        <v/>
      </c>
      <c r="Y557" s="1764"/>
      <c r="Z557" s="1764"/>
      <c r="AA557" s="1764"/>
      <c r="AB557" s="1764"/>
      <c r="AC557" s="1764"/>
      <c r="AD557" s="1764"/>
      <c r="AE557" s="1764"/>
      <c r="AF557" s="1764"/>
      <c r="AG557" s="1764"/>
      <c r="AH557" s="1764"/>
      <c r="AI557" s="1764"/>
      <c r="AJ557" s="1764"/>
      <c r="AK557" s="1764"/>
      <c r="AL557" s="1765"/>
      <c r="AM557" s="1055"/>
      <c r="AN557" s="1055"/>
      <c r="AO557" s="1763" t="str">
        <f>+IF(evszamnyil="","",evszamnyil)</f>
        <v/>
      </c>
      <c r="AP557" s="1764"/>
      <c r="AQ557" s="1764"/>
      <c r="AR557" s="1764"/>
      <c r="AS557" s="1764"/>
      <c r="AT557" s="1764"/>
      <c r="AU557" s="1764"/>
      <c r="AV557" s="1764"/>
      <c r="AW557" s="1764"/>
      <c r="AX557" s="1764"/>
      <c r="AY557" s="1764"/>
      <c r="AZ557" s="1764"/>
      <c r="BA557" s="1764"/>
      <c r="BB557" s="1764"/>
      <c r="BC557" s="1764"/>
      <c r="BD557" s="1764"/>
      <c r="BE557" s="1764"/>
      <c r="BF557" s="1765"/>
      <c r="BG557" s="1056"/>
    </row>
    <row r="558" spans="1:59" x14ac:dyDescent="0.15">
      <c r="A558" s="1050"/>
      <c r="B558" s="1064"/>
      <c r="C558" s="1055" t="s">
        <v>590</v>
      </c>
      <c r="D558" s="1055"/>
      <c r="E558" s="1055"/>
      <c r="F558" s="1055"/>
      <c r="G558" s="1055"/>
      <c r="H558" s="1055"/>
      <c r="I558" s="1055"/>
      <c r="J558" s="1055"/>
      <c r="K558" s="1055"/>
      <c r="L558" s="1055"/>
      <c r="M558" s="1055"/>
      <c r="N558" s="1055"/>
      <c r="O558" s="1055"/>
      <c r="P558" s="1055"/>
      <c r="Q558" s="1055"/>
      <c r="R558" s="1055"/>
      <c r="S558" s="1055"/>
      <c r="T558" s="1055"/>
      <c r="U558" s="1055"/>
      <c r="V558" s="1055"/>
      <c r="W558" s="1055"/>
      <c r="X558" s="1055" t="s">
        <v>591</v>
      </c>
      <c r="Y558" s="1055"/>
      <c r="Z558" s="1055"/>
      <c r="AA558" s="1055"/>
      <c r="AB558" s="1055"/>
      <c r="AC558" s="1055"/>
      <c r="AD558" s="1055"/>
      <c r="AE558" s="1055"/>
      <c r="AF558" s="1055"/>
      <c r="AG558" s="1055"/>
      <c r="AH558" s="1055"/>
      <c r="AI558" s="1055"/>
      <c r="AJ558" s="1055"/>
      <c r="AK558" s="1055"/>
      <c r="AL558" s="1055"/>
      <c r="AM558" s="1055"/>
      <c r="AN558" s="1055"/>
      <c r="AO558" s="1055" t="s">
        <v>592</v>
      </c>
      <c r="AP558" s="1055"/>
      <c r="AQ558" s="1055"/>
      <c r="AR558" s="1055"/>
      <c r="AS558" s="1055"/>
      <c r="AT558" s="1055"/>
      <c r="AU558" s="1055"/>
      <c r="AV558" s="1055"/>
      <c r="AW558" s="1055"/>
      <c r="AX558" s="1055"/>
      <c r="AY558" s="1055"/>
      <c r="AZ558" s="1055"/>
      <c r="BA558" s="1055"/>
      <c r="BB558" s="1055"/>
      <c r="BC558" s="1055"/>
      <c r="BD558" s="1055"/>
      <c r="BE558" s="1055"/>
      <c r="BF558" s="1055"/>
      <c r="BG558" s="1056"/>
    </row>
    <row r="559" spans="1:59" ht="15" thickBot="1" x14ac:dyDescent="0.2">
      <c r="A559" s="1050"/>
      <c r="B559" s="1064"/>
      <c r="C559" s="1055"/>
      <c r="D559" s="1055"/>
      <c r="E559" s="1055"/>
      <c r="F559" s="1055"/>
      <c r="G559" s="1055"/>
      <c r="H559" s="1055"/>
      <c r="I559" s="1055"/>
      <c r="J559" s="1055"/>
      <c r="K559" s="1055"/>
      <c r="L559" s="1055"/>
      <c r="M559" s="1055"/>
      <c r="N559" s="1055"/>
      <c r="O559" s="1055"/>
      <c r="P559" s="1055"/>
      <c r="Q559" s="1055"/>
      <c r="R559" s="1055"/>
      <c r="S559" s="1055"/>
      <c r="T559" s="1055"/>
      <c r="U559" s="1055"/>
      <c r="V559" s="1055"/>
      <c r="W559" s="1055"/>
      <c r="X559" s="1055"/>
      <c r="Y559" s="1055"/>
      <c r="Z559" s="1055"/>
      <c r="AA559" s="1055"/>
      <c r="AB559" s="1055"/>
      <c r="AC559" s="1055"/>
      <c r="AD559" s="1055"/>
      <c r="AE559" s="1055"/>
      <c r="AF559" s="1055"/>
      <c r="AG559" s="1055"/>
      <c r="AH559" s="1055"/>
      <c r="AI559" s="1055"/>
      <c r="AJ559" s="1055"/>
      <c r="AK559" s="1055"/>
      <c r="AL559" s="1055"/>
      <c r="AM559" s="1055"/>
      <c r="AN559" s="1055"/>
      <c r="AO559" s="1055"/>
      <c r="AP559" s="1055"/>
      <c r="AQ559" s="1055"/>
      <c r="AR559" s="1055"/>
      <c r="AS559" s="1055"/>
      <c r="AT559" s="1055"/>
      <c r="AU559" s="1055"/>
      <c r="AV559" s="1055"/>
      <c r="AW559" s="1055"/>
      <c r="AX559" s="1055"/>
      <c r="AY559" s="1055"/>
      <c r="AZ559" s="1055"/>
      <c r="BA559" s="1055"/>
      <c r="BB559" s="1055"/>
      <c r="BC559" s="1055"/>
      <c r="BD559" s="1055"/>
      <c r="BE559" s="1055"/>
      <c r="BF559" s="1055"/>
      <c r="BG559" s="1056"/>
    </row>
    <row r="560" spans="1:59" ht="15" thickBot="1" x14ac:dyDescent="0.2">
      <c r="A560" s="1050"/>
      <c r="B560" s="1064"/>
      <c r="C560" s="1763" t="str">
        <f>+IF(KKVnyil="","",KKVnyil)</f>
        <v>legördülő cella</v>
      </c>
      <c r="D560" s="1764"/>
      <c r="E560" s="1764"/>
      <c r="F560" s="1764"/>
      <c r="G560" s="1764"/>
      <c r="H560" s="1764"/>
      <c r="I560" s="1764"/>
      <c r="J560" s="1764"/>
      <c r="K560" s="1764"/>
      <c r="L560" s="1764"/>
      <c r="M560" s="1764"/>
      <c r="N560" s="1764"/>
      <c r="O560" s="1764"/>
      <c r="P560" s="1764"/>
      <c r="Q560" s="1764"/>
      <c r="R560" s="1764"/>
      <c r="S560" s="1764"/>
      <c r="T560" s="1765"/>
      <c r="U560" s="1055"/>
      <c r="V560" s="1055"/>
      <c r="W560" s="1055"/>
      <c r="X560" s="1763" t="str">
        <f>+IF(gazformnyil="","",gazformnyil)</f>
        <v>legördülő cella</v>
      </c>
      <c r="Y560" s="1764"/>
      <c r="Z560" s="1764"/>
      <c r="AA560" s="1764"/>
      <c r="AB560" s="1764"/>
      <c r="AC560" s="1764"/>
      <c r="AD560" s="1764"/>
      <c r="AE560" s="1764"/>
      <c r="AF560" s="1764"/>
      <c r="AG560" s="1764"/>
      <c r="AH560" s="1764"/>
      <c r="AI560" s="1764"/>
      <c r="AJ560" s="1764"/>
      <c r="AK560" s="1764"/>
      <c r="AL560" s="1765"/>
      <c r="AM560" s="1055"/>
      <c r="AN560" s="1055"/>
      <c r="AO560" s="1055"/>
      <c r="AP560" s="1055"/>
      <c r="AQ560" s="1055"/>
      <c r="AR560" s="1055"/>
      <c r="AS560" s="1055"/>
      <c r="AT560" s="1055"/>
      <c r="AU560" s="1055"/>
      <c r="AV560" s="1055"/>
      <c r="AW560" s="1055"/>
      <c r="AX560" s="1055"/>
      <c r="AY560" s="1055"/>
      <c r="AZ560" s="1055"/>
      <c r="BA560" s="1055"/>
      <c r="BB560" s="1055"/>
      <c r="BC560" s="1055"/>
      <c r="BD560" s="1055"/>
      <c r="BE560" s="1055"/>
      <c r="BF560" s="1055"/>
      <c r="BG560" s="1056"/>
    </row>
    <row r="561" spans="1:59" x14ac:dyDescent="0.15">
      <c r="A561" s="1050"/>
      <c r="B561" s="1064"/>
      <c r="C561" s="1055" t="s">
        <v>593</v>
      </c>
      <c r="D561" s="1055"/>
      <c r="E561" s="1055"/>
      <c r="F561" s="1055"/>
      <c r="G561" s="1055"/>
      <c r="H561" s="1055"/>
      <c r="I561" s="1055"/>
      <c r="J561" s="1055"/>
      <c r="K561" s="1055"/>
      <c r="L561" s="1055"/>
      <c r="M561" s="1055"/>
      <c r="N561" s="1055"/>
      <c r="O561" s="1055"/>
      <c r="P561" s="1055"/>
      <c r="Q561" s="1055"/>
      <c r="R561" s="1055"/>
      <c r="S561" s="1055"/>
      <c r="T561" s="1055"/>
      <c r="U561" s="1055"/>
      <c r="V561" s="1055"/>
      <c r="W561" s="1055"/>
      <c r="X561" s="1055" t="s">
        <v>594</v>
      </c>
      <c r="Y561" s="1055"/>
      <c r="Z561" s="1055"/>
      <c r="AA561" s="1055"/>
      <c r="AB561" s="1055"/>
      <c r="AC561" s="1055"/>
      <c r="AD561" s="1055"/>
      <c r="AE561" s="1055"/>
      <c r="AF561" s="1055"/>
      <c r="AG561" s="1055"/>
      <c r="AH561" s="1055"/>
      <c r="AI561" s="1055"/>
      <c r="AJ561" s="1055"/>
      <c r="AK561" s="1055"/>
      <c r="AL561" s="1055"/>
      <c r="AM561" s="1055"/>
      <c r="AN561" s="1055"/>
      <c r="AO561" s="1055"/>
      <c r="AP561" s="1055"/>
      <c r="AQ561" s="1055"/>
      <c r="AR561" s="1055"/>
      <c r="AS561" s="1055"/>
      <c r="AT561" s="1055"/>
      <c r="AU561" s="1055"/>
      <c r="AV561" s="1055"/>
      <c r="AW561" s="1055"/>
      <c r="AX561" s="1055"/>
      <c r="AY561" s="1055"/>
      <c r="AZ561" s="1055"/>
      <c r="BA561" s="1055"/>
      <c r="BB561" s="1055"/>
      <c r="BC561" s="1055"/>
      <c r="BD561" s="1055"/>
      <c r="BE561" s="1055"/>
      <c r="BF561" s="1055"/>
      <c r="BG561" s="1056"/>
    </row>
    <row r="562" spans="1:59" ht="15" thickBot="1" x14ac:dyDescent="0.2">
      <c r="A562" s="1050"/>
      <c r="B562" s="1064"/>
      <c r="C562" s="1055"/>
      <c r="D562" s="1055"/>
      <c r="E562" s="1055"/>
      <c r="F562" s="1055"/>
      <c r="G562" s="1055"/>
      <c r="H562" s="1055"/>
      <c r="I562" s="1055"/>
      <c r="J562" s="1055"/>
      <c r="K562" s="1055"/>
      <c r="L562" s="1055"/>
      <c r="M562" s="1055"/>
      <c r="N562" s="1055"/>
      <c r="O562" s="1055"/>
      <c r="P562" s="1055"/>
      <c r="Q562" s="1055"/>
      <c r="R562" s="1055"/>
      <c r="S562" s="1055"/>
      <c r="T562" s="1055"/>
      <c r="U562" s="1055"/>
      <c r="V562" s="1055"/>
      <c r="W562" s="1055"/>
      <c r="X562" s="1055"/>
      <c r="Y562" s="1055"/>
      <c r="Z562" s="1055"/>
      <c r="AA562" s="1055"/>
      <c r="AB562" s="1055"/>
      <c r="AC562" s="1055"/>
      <c r="AD562" s="1055"/>
      <c r="AE562" s="1055"/>
      <c r="AF562" s="1055"/>
      <c r="AG562" s="1055"/>
      <c r="AH562" s="1055"/>
      <c r="AI562" s="1055"/>
      <c r="AJ562" s="1055"/>
      <c r="AK562" s="1055"/>
      <c r="AL562" s="1055"/>
      <c r="AM562" s="1055"/>
      <c r="AN562" s="1055"/>
      <c r="AO562" s="1055"/>
      <c r="AP562" s="1055"/>
      <c r="AQ562" s="1055"/>
      <c r="AR562" s="1055"/>
      <c r="AS562" s="1055"/>
      <c r="AT562" s="1055"/>
      <c r="AU562" s="1055"/>
      <c r="AV562" s="1055"/>
      <c r="AW562" s="1055"/>
      <c r="AX562" s="1055"/>
      <c r="AY562" s="1055"/>
      <c r="AZ562" s="1055"/>
      <c r="BA562" s="1055"/>
      <c r="BB562" s="1055"/>
      <c r="BC562" s="1055"/>
      <c r="BD562" s="1055"/>
      <c r="BE562" s="1055"/>
      <c r="BF562" s="1055"/>
      <c r="BG562" s="1056"/>
    </row>
    <row r="563" spans="1:59" ht="15" thickBot="1" x14ac:dyDescent="0.2">
      <c r="A563" s="1050"/>
      <c r="B563" s="1064"/>
      <c r="C563" s="1763" t="str">
        <f>+IF(kapcsnyil="","",kapcsnyil)</f>
        <v/>
      </c>
      <c r="D563" s="1764"/>
      <c r="E563" s="1764"/>
      <c r="F563" s="1764"/>
      <c r="G563" s="1764"/>
      <c r="H563" s="1764"/>
      <c r="I563" s="1764"/>
      <c r="J563" s="1764"/>
      <c r="K563" s="1764"/>
      <c r="L563" s="1764"/>
      <c r="M563" s="1764"/>
      <c r="N563" s="1764"/>
      <c r="O563" s="1764"/>
      <c r="P563" s="1764"/>
      <c r="Q563" s="1764"/>
      <c r="R563" s="1764"/>
      <c r="S563" s="1764"/>
      <c r="T563" s="1765"/>
      <c r="U563" s="1055"/>
      <c r="V563" s="1055"/>
      <c r="W563" s="1055"/>
      <c r="X563" s="1763" t="str">
        <f>+IF(kapcstelnyil="","",kapcstelnyil)</f>
        <v/>
      </c>
      <c r="Y563" s="1764"/>
      <c r="Z563" s="1764"/>
      <c r="AA563" s="1764"/>
      <c r="AB563" s="1764"/>
      <c r="AC563" s="1764"/>
      <c r="AD563" s="1764"/>
      <c r="AE563" s="1764"/>
      <c r="AF563" s="1764"/>
      <c r="AG563" s="1764"/>
      <c r="AH563" s="1764"/>
      <c r="AI563" s="1764"/>
      <c r="AJ563" s="1764"/>
      <c r="AK563" s="1764"/>
      <c r="AL563" s="1765"/>
      <c r="AM563" s="1055"/>
      <c r="AN563" s="1055"/>
      <c r="AO563" s="1763" t="str">
        <f>+IF(kapcsemailnyil="","",kapcsemailnyil)</f>
        <v/>
      </c>
      <c r="AP563" s="1764"/>
      <c r="AQ563" s="1764"/>
      <c r="AR563" s="1764"/>
      <c r="AS563" s="1764"/>
      <c r="AT563" s="1764"/>
      <c r="AU563" s="1764"/>
      <c r="AV563" s="1764"/>
      <c r="AW563" s="1764"/>
      <c r="AX563" s="1764"/>
      <c r="AY563" s="1764"/>
      <c r="AZ563" s="1764"/>
      <c r="BA563" s="1764"/>
      <c r="BB563" s="1764"/>
      <c r="BC563" s="1764"/>
      <c r="BD563" s="1764"/>
      <c r="BE563" s="1764"/>
      <c r="BF563" s="1765"/>
      <c r="BG563" s="1056"/>
    </row>
    <row r="564" spans="1:59" x14ac:dyDescent="0.15">
      <c r="A564" s="1050"/>
      <c r="B564" s="1064"/>
      <c r="C564" s="1055" t="s">
        <v>587</v>
      </c>
      <c r="D564" s="1055"/>
      <c r="E564" s="1055"/>
      <c r="F564" s="1055"/>
      <c r="G564" s="1055"/>
      <c r="H564" s="1055"/>
      <c r="I564" s="1055"/>
      <c r="J564" s="1055"/>
      <c r="K564" s="1055"/>
      <c r="L564" s="1055"/>
      <c r="M564" s="1055"/>
      <c r="N564" s="1055"/>
      <c r="O564" s="1055"/>
      <c r="P564" s="1055"/>
      <c r="Q564" s="1055"/>
      <c r="R564" s="1055"/>
      <c r="S564" s="1055"/>
      <c r="T564" s="1055"/>
      <c r="U564" s="1055"/>
      <c r="V564" s="1055"/>
      <c r="W564" s="1055"/>
      <c r="X564" s="1055" t="s">
        <v>586</v>
      </c>
      <c r="Y564" s="1055"/>
      <c r="Z564" s="1055"/>
      <c r="AA564" s="1055"/>
      <c r="AB564" s="1055"/>
      <c r="AC564" s="1055"/>
      <c r="AD564" s="1055"/>
      <c r="AE564" s="1055"/>
      <c r="AF564" s="1055"/>
      <c r="AG564" s="1055"/>
      <c r="AH564" s="1055"/>
      <c r="AI564" s="1055"/>
      <c r="AJ564" s="1055"/>
      <c r="AK564" s="1055"/>
      <c r="AL564" s="1055"/>
      <c r="AM564" s="1055"/>
      <c r="AN564" s="1055"/>
      <c r="AO564" s="1055" t="s">
        <v>585</v>
      </c>
      <c r="AP564" s="1055"/>
      <c r="AQ564" s="1055"/>
      <c r="AR564" s="1055"/>
      <c r="AS564" s="1055"/>
      <c r="AT564" s="1055"/>
      <c r="AU564" s="1055"/>
      <c r="AV564" s="1055"/>
      <c r="AW564" s="1055"/>
      <c r="AX564" s="1055"/>
      <c r="AY564" s="1055"/>
      <c r="AZ564" s="1055"/>
      <c r="BA564" s="1055"/>
      <c r="BB564" s="1055"/>
      <c r="BC564" s="1055"/>
      <c r="BD564" s="1055"/>
      <c r="BE564" s="1055"/>
      <c r="BF564" s="1055"/>
      <c r="BG564" s="1056"/>
    </row>
    <row r="565" spans="1:59" ht="15" thickBot="1" x14ac:dyDescent="0.2">
      <c r="A565" s="1050"/>
      <c r="B565" s="1064"/>
      <c r="C565" s="1055"/>
      <c r="D565" s="1055"/>
      <c r="E565" s="1055"/>
      <c r="F565" s="1055"/>
      <c r="G565" s="1055"/>
      <c r="H565" s="1055"/>
      <c r="I565" s="1055"/>
      <c r="J565" s="1055"/>
      <c r="K565" s="1055"/>
      <c r="L565" s="1055"/>
      <c r="M565" s="1055"/>
      <c r="N565" s="1055"/>
      <c r="O565" s="1055"/>
      <c r="P565" s="1055"/>
      <c r="Q565" s="1055"/>
      <c r="R565" s="1055"/>
      <c r="S565" s="1055"/>
      <c r="T565" s="1055"/>
      <c r="U565" s="1055"/>
      <c r="V565" s="1055"/>
      <c r="W565" s="1055"/>
      <c r="X565" s="1055"/>
      <c r="Y565" s="1055"/>
      <c r="Z565" s="1055"/>
      <c r="AA565" s="1055"/>
      <c r="AB565" s="1055"/>
      <c r="AC565" s="1055"/>
      <c r="AD565" s="1055"/>
      <c r="AE565" s="1055"/>
      <c r="AF565" s="1055"/>
      <c r="AG565" s="1055"/>
      <c r="AH565" s="1055"/>
      <c r="AI565" s="1055"/>
      <c r="AJ565" s="1055"/>
      <c r="AK565" s="1055"/>
      <c r="AL565" s="1055"/>
      <c r="AM565" s="1055"/>
      <c r="AN565" s="1055"/>
      <c r="AO565" s="1055"/>
      <c r="AP565" s="1055"/>
      <c r="AQ565" s="1055"/>
      <c r="AR565" s="1055"/>
      <c r="AS565" s="1055"/>
      <c r="AT565" s="1055"/>
      <c r="AU565" s="1055"/>
      <c r="AV565" s="1055"/>
      <c r="AW565" s="1055"/>
      <c r="AX565" s="1055"/>
      <c r="AY565" s="1055"/>
      <c r="AZ565" s="1055"/>
      <c r="BA565" s="1055"/>
      <c r="BB565" s="1055"/>
      <c r="BC565" s="1055"/>
      <c r="BD565" s="1055"/>
      <c r="BE565" s="1055"/>
      <c r="BF565" s="1055"/>
      <c r="BG565" s="1056"/>
    </row>
    <row r="566" spans="1:59" ht="15" thickBot="1" x14ac:dyDescent="0.2">
      <c r="A566" s="1050"/>
      <c r="B566" s="1064"/>
      <c r="C566" s="1763" t="str">
        <f>+IF(vállemailnyil="","",vállemailnyil)</f>
        <v/>
      </c>
      <c r="D566" s="1764"/>
      <c r="E566" s="1764"/>
      <c r="F566" s="1764"/>
      <c r="G566" s="1764"/>
      <c r="H566" s="1764"/>
      <c r="I566" s="1764"/>
      <c r="J566" s="1764"/>
      <c r="K566" s="1764"/>
      <c r="L566" s="1764"/>
      <c r="M566" s="1764"/>
      <c r="N566" s="1764"/>
      <c r="O566" s="1764"/>
      <c r="P566" s="1764"/>
      <c r="Q566" s="1764"/>
      <c r="R566" s="1764"/>
      <c r="S566" s="1764"/>
      <c r="T566" s="1765"/>
      <c r="U566" s="1055"/>
      <c r="V566" s="1055"/>
      <c r="W566" s="1055"/>
      <c r="X566" s="1763" t="str">
        <f>+IF(válltelnyil="","",válltelnyil)</f>
        <v/>
      </c>
      <c r="Y566" s="1764"/>
      <c r="Z566" s="1764"/>
      <c r="AA566" s="1764"/>
      <c r="AB566" s="1764"/>
      <c r="AC566" s="1764"/>
      <c r="AD566" s="1764"/>
      <c r="AE566" s="1764"/>
      <c r="AF566" s="1764"/>
      <c r="AG566" s="1764"/>
      <c r="AH566" s="1764"/>
      <c r="AI566" s="1764"/>
      <c r="AJ566" s="1764"/>
      <c r="AK566" s="1764"/>
      <c r="AL566" s="1765"/>
      <c r="AM566" s="1055"/>
      <c r="AN566" s="1055"/>
      <c r="AO566" s="1055"/>
      <c r="AP566" s="1055"/>
      <c r="AQ566" s="1055"/>
      <c r="AR566" s="1055"/>
      <c r="AS566" s="1055"/>
      <c r="AT566" s="1055"/>
      <c r="AU566" s="1055"/>
      <c r="AV566" s="1055"/>
      <c r="AW566" s="1055"/>
      <c r="AX566" s="1055"/>
      <c r="AY566" s="1055"/>
      <c r="AZ566" s="1055"/>
      <c r="BA566" s="1055"/>
      <c r="BB566" s="1055"/>
      <c r="BC566" s="1055"/>
      <c r="BD566" s="1055"/>
      <c r="BE566" s="1055"/>
      <c r="BF566" s="1055"/>
      <c r="BG566" s="1056"/>
    </row>
    <row r="567" spans="1:59" x14ac:dyDescent="0.15">
      <c r="A567" s="1050"/>
      <c r="B567" s="1064"/>
      <c r="C567" s="1055" t="s">
        <v>588</v>
      </c>
      <c r="D567" s="1055"/>
      <c r="E567" s="1055"/>
      <c r="F567" s="1055"/>
      <c r="G567" s="1055"/>
      <c r="H567" s="1055"/>
      <c r="I567" s="1055"/>
      <c r="J567" s="1055"/>
      <c r="K567" s="1055"/>
      <c r="L567" s="1055"/>
      <c r="M567" s="1055"/>
      <c r="N567" s="1055"/>
      <c r="O567" s="1055"/>
      <c r="P567" s="1055"/>
      <c r="Q567" s="1055"/>
      <c r="R567" s="1055"/>
      <c r="S567" s="1055"/>
      <c r="T567" s="1055"/>
      <c r="U567" s="1055"/>
      <c r="V567" s="1055"/>
      <c r="W567" s="1055"/>
      <c r="X567" s="1055" t="s">
        <v>589</v>
      </c>
      <c r="Y567" s="1055"/>
      <c r="Z567" s="1055"/>
      <c r="AA567" s="1055"/>
      <c r="AB567" s="1055"/>
      <c r="AC567" s="1055"/>
      <c r="AD567" s="1055"/>
      <c r="AE567" s="1055"/>
      <c r="AF567" s="1055"/>
      <c r="AG567" s="1055"/>
      <c r="AH567" s="1055"/>
      <c r="AI567" s="1055"/>
      <c r="AJ567" s="1055"/>
      <c r="AK567" s="1055"/>
      <c r="AL567" s="1055"/>
      <c r="AM567" s="1055"/>
      <c r="AN567" s="1055"/>
      <c r="AO567" s="1055"/>
      <c r="AP567" s="1055"/>
      <c r="AQ567" s="1055"/>
      <c r="AR567" s="1055"/>
      <c r="AS567" s="1055"/>
      <c r="AT567" s="1055"/>
      <c r="AU567" s="1055"/>
      <c r="AV567" s="1055"/>
      <c r="AW567" s="1055"/>
      <c r="AX567" s="1055"/>
      <c r="AY567" s="1055"/>
      <c r="AZ567" s="1055"/>
      <c r="BA567" s="1055"/>
      <c r="BB567" s="1055"/>
      <c r="BC567" s="1055"/>
      <c r="BD567" s="1055"/>
      <c r="BE567" s="1055"/>
      <c r="BF567" s="1055"/>
      <c r="BG567" s="1056"/>
    </row>
    <row r="568" spans="1:59" x14ac:dyDescent="0.15">
      <c r="A568" s="1050"/>
      <c r="B568" s="1065"/>
      <c r="C568" s="1066"/>
      <c r="D568" s="1066"/>
      <c r="E568" s="1066"/>
      <c r="F568" s="1066"/>
      <c r="G568" s="1066"/>
      <c r="H568" s="1066"/>
      <c r="I568" s="1066"/>
      <c r="J568" s="1066"/>
      <c r="K568" s="1066"/>
      <c r="L568" s="1066"/>
      <c r="M568" s="1066"/>
      <c r="N568" s="1066"/>
      <c r="O568" s="1066"/>
      <c r="P568" s="1066"/>
      <c r="Q568" s="1066"/>
      <c r="R568" s="1066"/>
      <c r="S568" s="1066"/>
      <c r="T568" s="1066"/>
      <c r="U568" s="1066"/>
      <c r="V568" s="1066"/>
      <c r="W568" s="1066"/>
      <c r="X568" s="1066"/>
      <c r="Y568" s="1066"/>
      <c r="Z568" s="1066"/>
      <c r="AA568" s="1066"/>
      <c r="AB568" s="1066"/>
      <c r="AC568" s="1066"/>
      <c r="AD568" s="1066"/>
      <c r="AE568" s="1066"/>
      <c r="AF568" s="1066"/>
      <c r="AG568" s="1066"/>
      <c r="AH568" s="1066"/>
      <c r="AI568" s="1066"/>
      <c r="AJ568" s="1066"/>
      <c r="AK568" s="1066"/>
      <c r="AL568" s="1066"/>
      <c r="AM568" s="1066"/>
      <c r="AN568" s="1066"/>
      <c r="AO568" s="1066"/>
      <c r="AP568" s="1066"/>
      <c r="AQ568" s="1066"/>
      <c r="AR568" s="1066"/>
      <c r="AS568" s="1066"/>
      <c r="AT568" s="1066"/>
      <c r="AU568" s="1066"/>
      <c r="AV568" s="1066"/>
      <c r="AW568" s="1066"/>
      <c r="AX568" s="1066"/>
      <c r="AY568" s="1066"/>
      <c r="AZ568" s="1066"/>
      <c r="BA568" s="1066"/>
      <c r="BB568" s="1066"/>
      <c r="BC568" s="1066"/>
      <c r="BD568" s="1066"/>
      <c r="BE568" s="1066"/>
      <c r="BF568" s="1066"/>
      <c r="BG568" s="1067"/>
    </row>
    <row r="569" spans="1:59" x14ac:dyDescent="0.15">
      <c r="A569" s="1050"/>
      <c r="B569" s="1753" t="s">
        <v>846</v>
      </c>
      <c r="C569" s="1754"/>
      <c r="D569" s="1754"/>
      <c r="E569" s="1754"/>
      <c r="F569" s="1754"/>
      <c r="G569" s="1754"/>
      <c r="H569" s="1754"/>
      <c r="I569" s="1754"/>
      <c r="J569" s="1754"/>
      <c r="K569" s="1754"/>
      <c r="L569" s="1754"/>
      <c r="M569" s="1754"/>
      <c r="N569" s="1754"/>
      <c r="O569" s="1754"/>
      <c r="P569" s="1754"/>
      <c r="Q569" s="1754"/>
      <c r="R569" s="1754"/>
      <c r="S569" s="1754"/>
      <c r="T569" s="1754"/>
      <c r="U569" s="1754"/>
      <c r="V569" s="1754"/>
      <c r="W569" s="1754"/>
      <c r="X569" s="1754"/>
      <c r="Y569" s="1754"/>
      <c r="Z569" s="1754"/>
      <c r="AA569" s="1754"/>
      <c r="AB569" s="1754"/>
      <c r="AC569" s="1754"/>
      <c r="AD569" s="1754"/>
      <c r="AE569" s="1754"/>
      <c r="AF569" s="1754"/>
      <c r="AG569" s="1754"/>
      <c r="AH569" s="1754"/>
      <c r="AI569" s="1754"/>
      <c r="AJ569" s="1754"/>
      <c r="AK569" s="1754"/>
      <c r="AL569" s="1754"/>
      <c r="AM569" s="1754"/>
      <c r="AN569" s="1754"/>
      <c r="AO569" s="1754"/>
      <c r="AP569" s="1754"/>
      <c r="AQ569" s="1754"/>
      <c r="AR569" s="1754"/>
      <c r="AS569" s="1754"/>
      <c r="AT569" s="1754"/>
      <c r="AU569" s="1754"/>
      <c r="AV569" s="1754"/>
      <c r="AW569" s="1754"/>
      <c r="AX569" s="1754"/>
      <c r="AY569" s="1754"/>
      <c r="AZ569" s="1754"/>
      <c r="BA569" s="1754"/>
      <c r="BB569" s="1754"/>
      <c r="BC569" s="1754"/>
      <c r="BD569" s="1754"/>
      <c r="BE569" s="1754"/>
      <c r="BF569" s="1754"/>
      <c r="BG569" s="1755"/>
    </row>
    <row r="570" spans="1:59" x14ac:dyDescent="0.15">
      <c r="A570" s="1050"/>
      <c r="B570" s="1068"/>
      <c r="C570" s="1751" t="s">
        <v>777</v>
      </c>
      <c r="D570" s="1751"/>
      <c r="E570" s="1751"/>
      <c r="F570" s="1751"/>
      <c r="G570" s="1751"/>
      <c r="H570" s="1751"/>
      <c r="I570" s="1751"/>
      <c r="J570" s="1751"/>
      <c r="K570" s="1751"/>
      <c r="L570" s="1751"/>
      <c r="M570" s="1751"/>
      <c r="N570" s="1751"/>
      <c r="O570" s="1751"/>
      <c r="P570" s="1751"/>
      <c r="Q570" s="1751"/>
      <c r="R570" s="1751"/>
      <c r="S570" s="1751"/>
      <c r="T570" s="1751"/>
      <c r="U570" s="1751"/>
      <c r="V570" s="1751"/>
      <c r="W570" s="1751"/>
      <c r="X570" s="1751"/>
      <c r="Y570" s="1751"/>
      <c r="Z570" s="1751"/>
      <c r="AA570" s="1751"/>
      <c r="AB570" s="1751"/>
      <c r="AC570" s="1751"/>
      <c r="AD570" s="1751"/>
      <c r="AE570" s="1751"/>
      <c r="AF570" s="1751"/>
      <c r="AG570" s="1751"/>
      <c r="AH570" s="1751"/>
      <c r="AI570" s="1751"/>
      <c r="AJ570" s="1751"/>
      <c r="AK570" s="1751"/>
      <c r="AL570" s="1751"/>
      <c r="AM570" s="1751"/>
      <c r="AN570" s="1751"/>
      <c r="AO570" s="1751"/>
      <c r="AP570" s="1751"/>
      <c r="AQ570" s="1751"/>
      <c r="AR570" s="1751"/>
      <c r="AS570" s="1751"/>
      <c r="AT570" s="1751"/>
      <c r="AU570" s="1751"/>
      <c r="AV570" s="1751"/>
      <c r="AW570" s="1751"/>
      <c r="AX570" s="1751"/>
      <c r="AY570" s="1751"/>
      <c r="AZ570" s="1751"/>
      <c r="BA570" s="1751"/>
      <c r="BB570" s="1751"/>
      <c r="BC570" s="1751"/>
      <c r="BD570" s="1751"/>
      <c r="BE570" s="1751"/>
      <c r="BF570" s="1751"/>
      <c r="BG570" s="1069"/>
    </row>
    <row r="571" spans="1:59" ht="15" thickBot="1" x14ac:dyDescent="0.2">
      <c r="A571" s="1050"/>
      <c r="B571" s="1064"/>
      <c r="C571" s="1761" t="s">
        <v>914</v>
      </c>
      <c r="D571" s="1761"/>
      <c r="E571" s="1761"/>
      <c r="F571" s="1761"/>
      <c r="G571" s="1761"/>
      <c r="H571" s="1761"/>
      <c r="I571" s="1761"/>
      <c r="J571" s="1761"/>
      <c r="K571" s="1761"/>
      <c r="L571" s="1761"/>
      <c r="M571" s="1761"/>
      <c r="N571" s="1761"/>
      <c r="O571" s="1761"/>
      <c r="P571" s="1761"/>
      <c r="Q571" s="1761"/>
      <c r="R571" s="1761"/>
      <c r="S571" s="1761"/>
      <c r="T571" s="1761"/>
      <c r="U571" s="1761"/>
      <c r="V571" s="1761"/>
      <c r="W571" s="1761"/>
      <c r="X571" s="1761"/>
      <c r="Y571" s="1761"/>
      <c r="Z571" s="1761"/>
      <c r="AA571" s="1761"/>
      <c r="AB571" s="1761"/>
      <c r="AC571" s="1761"/>
      <c r="AD571" s="1761"/>
      <c r="AE571" s="1761"/>
      <c r="AF571" s="1761"/>
      <c r="AG571" s="1761"/>
      <c r="AH571" s="1761"/>
      <c r="AI571" s="1761"/>
      <c r="AJ571" s="1761"/>
      <c r="AK571" s="1761"/>
      <c r="AL571" s="1761"/>
      <c r="AM571" s="1761"/>
      <c r="AN571" s="1761"/>
      <c r="AO571" s="1761"/>
      <c r="AP571" s="1761"/>
      <c r="AQ571" s="1761"/>
      <c r="AR571" s="1761"/>
      <c r="AS571" s="1761"/>
      <c r="AT571" s="1761"/>
      <c r="AU571" s="1761"/>
      <c r="AV571" s="1761"/>
      <c r="AW571" s="1761"/>
      <c r="AX571" s="1761"/>
      <c r="AY571" s="1761"/>
      <c r="AZ571" s="1761"/>
      <c r="BA571" s="1761"/>
      <c r="BB571" s="1761"/>
      <c r="BC571" s="1761"/>
      <c r="BD571" s="1761"/>
      <c r="BE571" s="1761"/>
      <c r="BF571" s="1761"/>
      <c r="BG571" s="1056"/>
    </row>
    <row r="572" spans="1:59" ht="15" thickBot="1" x14ac:dyDescent="0.2">
      <c r="A572" s="1050"/>
      <c r="B572" s="1064"/>
      <c r="C572" s="1748" t="str">
        <f>+Nyilatkozatok!BX160</f>
        <v>elsődleges mezőgazdasági termeléshez kapcsolódó támogatás</v>
      </c>
      <c r="D572" s="1749"/>
      <c r="E572" s="1749"/>
      <c r="F572" s="1749"/>
      <c r="G572" s="1749"/>
      <c r="H572" s="1749"/>
      <c r="I572" s="1749"/>
      <c r="J572" s="1749"/>
      <c r="K572" s="1749"/>
      <c r="L572" s="1749"/>
      <c r="M572" s="1749"/>
      <c r="N572" s="1749"/>
      <c r="O572" s="1749"/>
      <c r="P572" s="1749"/>
      <c r="Q572" s="1749"/>
      <c r="R572" s="1749"/>
      <c r="S572" s="1749"/>
      <c r="T572" s="1749"/>
      <c r="U572" s="1749"/>
      <c r="V572" s="1749"/>
      <c r="W572" s="1749"/>
      <c r="X572" s="1749"/>
      <c r="Y572" s="1749"/>
      <c r="Z572" s="1749"/>
      <c r="AA572" s="1749"/>
      <c r="AB572" s="1749"/>
      <c r="AC572" s="1749"/>
      <c r="AD572" s="1749"/>
      <c r="AE572" s="1749"/>
      <c r="AF572" s="1749"/>
      <c r="AG572" s="1749"/>
      <c r="AH572" s="1750"/>
      <c r="AI572" s="1070"/>
      <c r="AJ572" s="1070"/>
      <c r="AK572" s="1070"/>
      <c r="AL572" s="1070"/>
      <c r="AM572" s="1070"/>
      <c r="AN572" s="1070"/>
      <c r="AO572" s="1070"/>
      <c r="AP572" s="1070"/>
      <c r="AQ572" s="1070"/>
      <c r="AR572" s="1070"/>
      <c r="AS572" s="1070"/>
      <c r="AT572" s="1070"/>
      <c r="AU572" s="1070"/>
      <c r="AV572" s="1070"/>
      <c r="AW572" s="1070"/>
      <c r="AX572" s="1070"/>
      <c r="AY572" s="1070"/>
      <c r="AZ572" s="1070"/>
      <c r="BA572" s="1070"/>
      <c r="BB572" s="1070"/>
      <c r="BC572" s="1070"/>
      <c r="BD572" s="1070"/>
      <c r="BE572" s="1070"/>
      <c r="BF572" s="1070"/>
      <c r="BG572" s="1056"/>
    </row>
    <row r="573" spans="1:59" x14ac:dyDescent="0.15">
      <c r="A573" s="1050"/>
      <c r="B573" s="1064"/>
      <c r="C573" s="1761" t="s">
        <v>856</v>
      </c>
      <c r="D573" s="1761"/>
      <c r="E573" s="1761"/>
      <c r="F573" s="1761"/>
      <c r="G573" s="1761"/>
      <c r="H573" s="1761"/>
      <c r="I573" s="1761"/>
      <c r="J573" s="1761"/>
      <c r="K573" s="1761"/>
      <c r="L573" s="1761"/>
      <c r="M573" s="1761"/>
      <c r="N573" s="1761"/>
      <c r="O573" s="1761"/>
      <c r="P573" s="1761"/>
      <c r="Q573" s="1761"/>
      <c r="R573" s="1761"/>
      <c r="S573" s="1761"/>
      <c r="T573" s="1761"/>
      <c r="U573" s="1761"/>
      <c r="V573" s="1761"/>
      <c r="W573" s="1761"/>
      <c r="X573" s="1761"/>
      <c r="Y573" s="1761"/>
      <c r="Z573" s="1761"/>
      <c r="AA573" s="1761"/>
      <c r="AB573" s="1761"/>
      <c r="AC573" s="1761"/>
      <c r="AD573" s="1761"/>
      <c r="AE573" s="1761"/>
      <c r="AF573" s="1761"/>
      <c r="AG573" s="1761"/>
      <c r="AH573" s="1761"/>
      <c r="AI573" s="1761"/>
      <c r="AJ573" s="1761"/>
      <c r="AK573" s="1761"/>
      <c r="AL573" s="1761"/>
      <c r="AM573" s="1761"/>
      <c r="AN573" s="1761"/>
      <c r="AO573" s="1761"/>
      <c r="AP573" s="1761"/>
      <c r="AQ573" s="1761"/>
      <c r="AR573" s="1761"/>
      <c r="AS573" s="1761"/>
      <c r="AT573" s="1761"/>
      <c r="AU573" s="1761"/>
      <c r="AV573" s="1761"/>
      <c r="AW573" s="1761"/>
      <c r="AX573" s="1761"/>
      <c r="AY573" s="1761"/>
      <c r="AZ573" s="1761"/>
      <c r="BA573" s="1761"/>
      <c r="BB573" s="1761"/>
      <c r="BC573" s="1761"/>
      <c r="BD573" s="1761"/>
      <c r="BE573" s="1761"/>
      <c r="BF573" s="1761"/>
      <c r="BG573" s="1056"/>
    </row>
    <row r="574" spans="1:59" x14ac:dyDescent="0.15">
      <c r="A574" s="1050"/>
      <c r="B574" s="1064"/>
      <c r="C574" s="1759" t="str">
        <f>+Nyilatkozatok!BX161</f>
        <v xml:space="preserve">– a finanszírozást nem használom fel visszaigényelhető általános forgalmi adó (ÁFA) finanszírozására, kivéve, ha ÁFA visszaigénylésére nem vagyok jogosult; </v>
      </c>
      <c r="D574" s="1759"/>
      <c r="E574" s="1759"/>
      <c r="F574" s="1759"/>
      <c r="G574" s="1759"/>
      <c r="H574" s="1759"/>
      <c r="I574" s="1759"/>
      <c r="J574" s="1759"/>
      <c r="K574" s="1759"/>
      <c r="L574" s="1759"/>
      <c r="M574" s="1759"/>
      <c r="N574" s="1759"/>
      <c r="O574" s="1759"/>
      <c r="P574" s="1759"/>
      <c r="Q574" s="1759"/>
      <c r="R574" s="1759"/>
      <c r="S574" s="1759"/>
      <c r="T574" s="1759"/>
      <c r="U574" s="1759"/>
      <c r="V574" s="1759"/>
      <c r="W574" s="1759"/>
      <c r="X574" s="1759"/>
      <c r="Y574" s="1759"/>
      <c r="Z574" s="1759"/>
      <c r="AA574" s="1759"/>
      <c r="AB574" s="1759"/>
      <c r="AC574" s="1759"/>
      <c r="AD574" s="1759"/>
      <c r="AE574" s="1759"/>
      <c r="AF574" s="1759"/>
      <c r="AG574" s="1759"/>
      <c r="AH574" s="1759"/>
      <c r="AI574" s="1759"/>
      <c r="AJ574" s="1759"/>
      <c r="AK574" s="1759"/>
      <c r="AL574" s="1759"/>
      <c r="AM574" s="1759"/>
      <c r="AN574" s="1759"/>
      <c r="AO574" s="1759"/>
      <c r="AP574" s="1759"/>
      <c r="AQ574" s="1759"/>
      <c r="AR574" s="1759"/>
      <c r="AS574" s="1759"/>
      <c r="AT574" s="1759"/>
      <c r="AU574" s="1759"/>
      <c r="AV574" s="1759"/>
      <c r="AW574" s="1759"/>
      <c r="AX574" s="1759"/>
      <c r="AY574" s="1759"/>
      <c r="AZ574" s="1759"/>
      <c r="BA574" s="1759"/>
      <c r="BB574" s="1759"/>
      <c r="BC574" s="1759"/>
      <c r="BD574" s="1759"/>
      <c r="BE574" s="1759"/>
      <c r="BF574" s="1759"/>
      <c r="BG574" s="1056"/>
    </row>
    <row r="575" spans="1:59" x14ac:dyDescent="0.15">
      <c r="A575" s="1050"/>
      <c r="B575" s="1064"/>
      <c r="C575" s="1759" t="str">
        <f>+Nyilatkozatok!BX162</f>
        <v xml:space="preserve">– a finanszírozást nem használom fel más hitel, lízing kiváltására, üzletrész, részvény, illetve más társasági részesedés vásárlására; </v>
      </c>
      <c r="D575" s="1759"/>
      <c r="E575" s="1759"/>
      <c r="F575" s="1759"/>
      <c r="G575" s="1759"/>
      <c r="H575" s="1759"/>
      <c r="I575" s="1759"/>
      <c r="J575" s="1759"/>
      <c r="K575" s="1759"/>
      <c r="L575" s="1759"/>
      <c r="M575" s="1759"/>
      <c r="N575" s="1759"/>
      <c r="O575" s="1759"/>
      <c r="P575" s="1759"/>
      <c r="Q575" s="1759"/>
      <c r="R575" s="1759"/>
      <c r="S575" s="1759"/>
      <c r="T575" s="1759"/>
      <c r="U575" s="1759"/>
      <c r="V575" s="1759"/>
      <c r="W575" s="1759"/>
      <c r="X575" s="1759"/>
      <c r="Y575" s="1759"/>
      <c r="Z575" s="1759"/>
      <c r="AA575" s="1759"/>
      <c r="AB575" s="1759"/>
      <c r="AC575" s="1759"/>
      <c r="AD575" s="1759"/>
      <c r="AE575" s="1759"/>
      <c r="AF575" s="1759"/>
      <c r="AG575" s="1759"/>
      <c r="AH575" s="1759"/>
      <c r="AI575" s="1759"/>
      <c r="AJ575" s="1759"/>
      <c r="AK575" s="1759"/>
      <c r="AL575" s="1759"/>
      <c r="AM575" s="1759"/>
      <c r="AN575" s="1759"/>
      <c r="AO575" s="1759"/>
      <c r="AP575" s="1759"/>
      <c r="AQ575" s="1759"/>
      <c r="AR575" s="1759"/>
      <c r="AS575" s="1759"/>
      <c r="AT575" s="1759"/>
      <c r="AU575" s="1759"/>
      <c r="AV575" s="1759"/>
      <c r="AW575" s="1759"/>
      <c r="AX575" s="1759"/>
      <c r="AY575" s="1759"/>
      <c r="AZ575" s="1759"/>
      <c r="BA575" s="1759"/>
      <c r="BB575" s="1759"/>
      <c r="BC575" s="1759"/>
      <c r="BD575" s="1759"/>
      <c r="BE575" s="1759"/>
      <c r="BF575" s="1759"/>
      <c r="BG575" s="1056"/>
    </row>
    <row r="576" spans="1:59" ht="30" customHeight="1" x14ac:dyDescent="0.15">
      <c r="A576" s="1050"/>
      <c r="B576" s="1064"/>
      <c r="C576" s="1759" t="str">
        <f>+Nyilatkozatok!BX163</f>
        <v xml:space="preserve">– a finanszírozást nem használom fel finanszírozásról szóló döntés napján fizikailag már lezárt (befejezett) vagy teljes mértékben (fizikailag és pénzügyileg is) végrehajtott beruházás finanszírozására; </v>
      </c>
      <c r="D576" s="1759"/>
      <c r="E576" s="1759"/>
      <c r="F576" s="1759"/>
      <c r="G576" s="1759"/>
      <c r="H576" s="1759"/>
      <c r="I576" s="1759"/>
      <c r="J576" s="1759"/>
      <c r="K576" s="1759"/>
      <c r="L576" s="1759"/>
      <c r="M576" s="1759"/>
      <c r="N576" s="1759"/>
      <c r="O576" s="1759"/>
      <c r="P576" s="1759"/>
      <c r="Q576" s="1759"/>
      <c r="R576" s="1759"/>
      <c r="S576" s="1759"/>
      <c r="T576" s="1759"/>
      <c r="U576" s="1759"/>
      <c r="V576" s="1759"/>
      <c r="W576" s="1759"/>
      <c r="X576" s="1759"/>
      <c r="Y576" s="1759"/>
      <c r="Z576" s="1759"/>
      <c r="AA576" s="1759"/>
      <c r="AB576" s="1759"/>
      <c r="AC576" s="1759"/>
      <c r="AD576" s="1759"/>
      <c r="AE576" s="1759"/>
      <c r="AF576" s="1759"/>
      <c r="AG576" s="1759"/>
      <c r="AH576" s="1759"/>
      <c r="AI576" s="1759"/>
      <c r="AJ576" s="1759"/>
      <c r="AK576" s="1759"/>
      <c r="AL576" s="1759"/>
      <c r="AM576" s="1759"/>
      <c r="AN576" s="1759"/>
      <c r="AO576" s="1759"/>
      <c r="AP576" s="1759"/>
      <c r="AQ576" s="1759"/>
      <c r="AR576" s="1759"/>
      <c r="AS576" s="1759"/>
      <c r="AT576" s="1759"/>
      <c r="AU576" s="1759"/>
      <c r="AV576" s="1759"/>
      <c r="AW576" s="1759"/>
      <c r="AX576" s="1759"/>
      <c r="AY576" s="1759"/>
      <c r="AZ576" s="1759"/>
      <c r="BA576" s="1759"/>
      <c r="BB576" s="1759"/>
      <c r="BC576" s="1759"/>
      <c r="BD576" s="1759"/>
      <c r="BE576" s="1759"/>
      <c r="BF576" s="1759"/>
      <c r="BG576" s="1056"/>
    </row>
    <row r="577" spans="1:59" ht="16.5" customHeight="1" x14ac:dyDescent="0.15">
      <c r="A577" s="1050"/>
      <c r="B577" s="1064"/>
      <c r="C577" s="1759" t="str">
        <f>+Nyilatkozatok!BX164</f>
        <v xml:space="preserve">– a finanszírozást nem használom fel forgóeszköz finanszírozáshoz </v>
      </c>
      <c r="D577" s="1759"/>
      <c r="E577" s="1759"/>
      <c r="F577" s="1759"/>
      <c r="G577" s="1759"/>
      <c r="H577" s="1759"/>
      <c r="I577" s="1759"/>
      <c r="J577" s="1759"/>
      <c r="K577" s="1759"/>
      <c r="L577" s="1759"/>
      <c r="M577" s="1759"/>
      <c r="N577" s="1759"/>
      <c r="O577" s="1759"/>
      <c r="P577" s="1759"/>
      <c r="Q577" s="1759"/>
      <c r="R577" s="1759"/>
      <c r="S577" s="1759"/>
      <c r="T577" s="1759"/>
      <c r="U577" s="1759"/>
      <c r="V577" s="1759"/>
      <c r="W577" s="1759"/>
      <c r="X577" s="1759"/>
      <c r="Y577" s="1759"/>
      <c r="Z577" s="1759"/>
      <c r="AA577" s="1759"/>
      <c r="AB577" s="1759"/>
      <c r="AC577" s="1759"/>
      <c r="AD577" s="1759"/>
      <c r="AE577" s="1759"/>
      <c r="AF577" s="1759"/>
      <c r="AG577" s="1759"/>
      <c r="AH577" s="1759"/>
      <c r="AI577" s="1759"/>
      <c r="AJ577" s="1759"/>
      <c r="AK577" s="1759"/>
      <c r="AL577" s="1759"/>
      <c r="AM577" s="1759"/>
      <c r="AN577" s="1759"/>
      <c r="AO577" s="1759"/>
      <c r="AP577" s="1759"/>
      <c r="AQ577" s="1759"/>
      <c r="AR577" s="1759"/>
      <c r="AS577" s="1759"/>
      <c r="AT577" s="1759"/>
      <c r="AU577" s="1759"/>
      <c r="AV577" s="1759"/>
      <c r="AW577" s="1759"/>
      <c r="AX577" s="1759"/>
      <c r="AY577" s="1759"/>
      <c r="AZ577" s="1759"/>
      <c r="BA577" s="1759"/>
      <c r="BB577" s="1759"/>
      <c r="BC577" s="1759"/>
      <c r="BD577" s="1759"/>
      <c r="BE577" s="1759"/>
      <c r="BF577" s="1759"/>
      <c r="BG577" s="1056"/>
    </row>
    <row r="578" spans="1:59" ht="29.25" customHeight="1" x14ac:dyDescent="0.15">
      <c r="A578" s="1050"/>
      <c r="B578" s="1064"/>
      <c r="C578" s="1759" t="str">
        <f>+Nyilatkozatok!BX165</f>
        <v>– a finanszírozást nem használom fel exporttal kapcsolatos tevékenységhez, ahol a támogatás az exportált mennyiségekhez, értékesítési hálózat kialakításához és működtetéséhez vagy az exporttevékenységgel összefüggésben felmerülő egyéb folyó kiadásokhoz közvetlenül kapcsolódik,</v>
      </c>
      <c r="D578" s="1759"/>
      <c r="E578" s="1759"/>
      <c r="F578" s="1759"/>
      <c r="G578" s="1759"/>
      <c r="H578" s="1759"/>
      <c r="I578" s="1759"/>
      <c r="J578" s="1759"/>
      <c r="K578" s="1759"/>
      <c r="L578" s="1759"/>
      <c r="M578" s="1759"/>
      <c r="N578" s="1759"/>
      <c r="O578" s="1759"/>
      <c r="P578" s="1759"/>
      <c r="Q578" s="1759"/>
      <c r="R578" s="1759"/>
      <c r="S578" s="1759"/>
      <c r="T578" s="1759"/>
      <c r="U578" s="1759"/>
      <c r="V578" s="1759"/>
      <c r="W578" s="1759"/>
      <c r="X578" s="1759"/>
      <c r="Y578" s="1759"/>
      <c r="Z578" s="1759"/>
      <c r="AA578" s="1759"/>
      <c r="AB578" s="1759"/>
      <c r="AC578" s="1759"/>
      <c r="AD578" s="1759"/>
      <c r="AE578" s="1759"/>
      <c r="AF578" s="1759"/>
      <c r="AG578" s="1759"/>
      <c r="AH578" s="1759"/>
      <c r="AI578" s="1759"/>
      <c r="AJ578" s="1759"/>
      <c r="AK578" s="1759"/>
      <c r="AL578" s="1759"/>
      <c r="AM578" s="1759"/>
      <c r="AN578" s="1759"/>
      <c r="AO578" s="1759"/>
      <c r="AP578" s="1759"/>
      <c r="AQ578" s="1759"/>
      <c r="AR578" s="1759"/>
      <c r="AS578" s="1759"/>
      <c r="AT578" s="1759"/>
      <c r="AU578" s="1759"/>
      <c r="AV578" s="1759"/>
      <c r="AW578" s="1759"/>
      <c r="AX578" s="1759"/>
      <c r="AY578" s="1759"/>
      <c r="AZ578" s="1759"/>
      <c r="BA578" s="1759"/>
      <c r="BB578" s="1759"/>
      <c r="BC578" s="1759"/>
      <c r="BD578" s="1759"/>
      <c r="BE578" s="1759"/>
      <c r="BF578" s="1759"/>
      <c r="BG578" s="1056"/>
    </row>
    <row r="579" spans="1:59" x14ac:dyDescent="0.15">
      <c r="A579" s="1050"/>
      <c r="B579" s="1064"/>
      <c r="C579" s="1759" t="str">
        <f>+Nyilatkozatok!BX166</f>
        <v>– a finanszírozást nem használom fel olyan feltétellel, amely az európai uniós jog megsértését eredményezi,</v>
      </c>
      <c r="D579" s="1759"/>
      <c r="E579" s="1759"/>
      <c r="F579" s="1759"/>
      <c r="G579" s="1759"/>
      <c r="H579" s="1759"/>
      <c r="I579" s="1759"/>
      <c r="J579" s="1759"/>
      <c r="K579" s="1759"/>
      <c r="L579" s="1759"/>
      <c r="M579" s="1759"/>
      <c r="N579" s="1759"/>
      <c r="O579" s="1759"/>
      <c r="P579" s="1759"/>
      <c r="Q579" s="1759"/>
      <c r="R579" s="1759"/>
      <c r="S579" s="1759"/>
      <c r="T579" s="1759"/>
      <c r="U579" s="1759"/>
      <c r="V579" s="1759"/>
      <c r="W579" s="1759"/>
      <c r="X579" s="1759"/>
      <c r="Y579" s="1759"/>
      <c r="Z579" s="1759"/>
      <c r="AA579" s="1759"/>
      <c r="AB579" s="1759"/>
      <c r="AC579" s="1759"/>
      <c r="AD579" s="1759"/>
      <c r="AE579" s="1759"/>
      <c r="AF579" s="1759"/>
      <c r="AG579" s="1759"/>
      <c r="AH579" s="1759"/>
      <c r="AI579" s="1759"/>
      <c r="AJ579" s="1759"/>
      <c r="AK579" s="1759"/>
      <c r="AL579" s="1759"/>
      <c r="AM579" s="1759"/>
      <c r="AN579" s="1759"/>
      <c r="AO579" s="1759"/>
      <c r="AP579" s="1759"/>
      <c r="AQ579" s="1759"/>
      <c r="AR579" s="1759"/>
      <c r="AS579" s="1759"/>
      <c r="AT579" s="1759"/>
      <c r="AU579" s="1759"/>
      <c r="AV579" s="1759"/>
      <c r="AW579" s="1759"/>
      <c r="AX579" s="1759"/>
      <c r="AY579" s="1759"/>
      <c r="AZ579" s="1759"/>
      <c r="BA579" s="1759"/>
      <c r="BB579" s="1759"/>
      <c r="BC579" s="1759"/>
      <c r="BD579" s="1759"/>
      <c r="BE579" s="1759"/>
      <c r="BF579" s="1759"/>
      <c r="BG579" s="1056"/>
    </row>
    <row r="580" spans="1:59" ht="18" customHeight="1" x14ac:dyDescent="0.15">
      <c r="A580" s="1050"/>
      <c r="B580" s="1064"/>
      <c r="C580" s="1759" t="str">
        <f>+Nyilatkozatok!BX167</f>
        <v>– a finanszírozást nem használom fel termelési jogok, támogatási jogosultságok és egynyári növények vásárlására</v>
      </c>
      <c r="D580" s="1759"/>
      <c r="E580" s="1759"/>
      <c r="F580" s="1759"/>
      <c r="G580" s="1759"/>
      <c r="H580" s="1759"/>
      <c r="I580" s="1759"/>
      <c r="J580" s="1759"/>
      <c r="K580" s="1759"/>
      <c r="L580" s="1759"/>
      <c r="M580" s="1759"/>
      <c r="N580" s="1759"/>
      <c r="O580" s="1759"/>
      <c r="P580" s="1759"/>
      <c r="Q580" s="1759"/>
      <c r="R580" s="1759"/>
      <c r="S580" s="1759"/>
      <c r="T580" s="1759"/>
      <c r="U580" s="1759"/>
      <c r="V580" s="1759"/>
      <c r="W580" s="1759"/>
      <c r="X580" s="1759"/>
      <c r="Y580" s="1759"/>
      <c r="Z580" s="1759"/>
      <c r="AA580" s="1759"/>
      <c r="AB580" s="1759"/>
      <c r="AC580" s="1759"/>
      <c r="AD580" s="1759"/>
      <c r="AE580" s="1759"/>
      <c r="AF580" s="1759"/>
      <c r="AG580" s="1759"/>
      <c r="AH580" s="1759"/>
      <c r="AI580" s="1759"/>
      <c r="AJ580" s="1759"/>
      <c r="AK580" s="1759"/>
      <c r="AL580" s="1759"/>
      <c r="AM580" s="1759"/>
      <c r="AN580" s="1759"/>
      <c r="AO580" s="1759"/>
      <c r="AP580" s="1759"/>
      <c r="AQ580" s="1759"/>
      <c r="AR580" s="1759"/>
      <c r="AS580" s="1759"/>
      <c r="AT580" s="1759"/>
      <c r="AU580" s="1759"/>
      <c r="AV580" s="1759"/>
      <c r="AW580" s="1759"/>
      <c r="AX580" s="1759"/>
      <c r="AY580" s="1759"/>
      <c r="AZ580" s="1759"/>
      <c r="BA580" s="1759"/>
      <c r="BB580" s="1759"/>
      <c r="BC580" s="1759"/>
      <c r="BD580" s="1759"/>
      <c r="BE580" s="1759"/>
      <c r="BF580" s="1759"/>
      <c r="BG580" s="1056"/>
    </row>
    <row r="581" spans="1:59" x14ac:dyDescent="0.15">
      <c r="A581" s="1050"/>
      <c r="B581" s="1064"/>
      <c r="C581" s="1759" t="str">
        <f>+Nyilatkozatok!BX168</f>
        <v>– a finanszírozást nem használom fel egynyári növények telepítésére</v>
      </c>
      <c r="D581" s="1759"/>
      <c r="E581" s="1759"/>
      <c r="F581" s="1759"/>
      <c r="G581" s="1759"/>
      <c r="H581" s="1759"/>
      <c r="I581" s="1759"/>
      <c r="J581" s="1759"/>
      <c r="K581" s="1759"/>
      <c r="L581" s="1759"/>
      <c r="M581" s="1759"/>
      <c r="N581" s="1759"/>
      <c r="O581" s="1759"/>
      <c r="P581" s="1759"/>
      <c r="Q581" s="1759"/>
      <c r="R581" s="1759"/>
      <c r="S581" s="1759"/>
      <c r="T581" s="1759"/>
      <c r="U581" s="1759"/>
      <c r="V581" s="1759"/>
      <c r="W581" s="1759"/>
      <c r="X581" s="1759"/>
      <c r="Y581" s="1759"/>
      <c r="Z581" s="1759"/>
      <c r="AA581" s="1759"/>
      <c r="AB581" s="1759"/>
      <c r="AC581" s="1759"/>
      <c r="AD581" s="1759"/>
      <c r="AE581" s="1759"/>
      <c r="AF581" s="1759"/>
      <c r="AG581" s="1759"/>
      <c r="AH581" s="1759"/>
      <c r="AI581" s="1759"/>
      <c r="AJ581" s="1759"/>
      <c r="AK581" s="1759"/>
      <c r="AL581" s="1759"/>
      <c r="AM581" s="1759"/>
      <c r="AN581" s="1759"/>
      <c r="AO581" s="1759"/>
      <c r="AP581" s="1759"/>
      <c r="AQ581" s="1759"/>
      <c r="AR581" s="1759"/>
      <c r="AS581" s="1759"/>
      <c r="AT581" s="1759"/>
      <c r="AU581" s="1759"/>
      <c r="AV581" s="1759"/>
      <c r="AW581" s="1759"/>
      <c r="AX581" s="1759"/>
      <c r="AY581" s="1759"/>
      <c r="AZ581" s="1759"/>
      <c r="BA581" s="1759"/>
      <c r="BB581" s="1759"/>
      <c r="BC581" s="1759"/>
      <c r="BD581" s="1759"/>
      <c r="BE581" s="1759"/>
      <c r="BF581" s="1759"/>
      <c r="BG581" s="1056"/>
    </row>
    <row r="582" spans="1:59" x14ac:dyDescent="0.15">
      <c r="A582" s="1050"/>
      <c r="B582" s="1064"/>
      <c r="C582" s="1759" t="str">
        <f>+Nyilatkozatok!BX169</f>
        <v>– a finanszírozást nem használom fel vízelvezetési munkálatokhoz</v>
      </c>
      <c r="D582" s="1759"/>
      <c r="E582" s="1759"/>
      <c r="F582" s="1759"/>
      <c r="G582" s="1759"/>
      <c r="H582" s="1759"/>
      <c r="I582" s="1759"/>
      <c r="J582" s="1759"/>
      <c r="K582" s="1759"/>
      <c r="L582" s="1759"/>
      <c r="M582" s="1759"/>
      <c r="N582" s="1759"/>
      <c r="O582" s="1759"/>
      <c r="P582" s="1759"/>
      <c r="Q582" s="1759"/>
      <c r="R582" s="1759"/>
      <c r="S582" s="1759"/>
      <c r="T582" s="1759"/>
      <c r="U582" s="1759"/>
      <c r="V582" s="1759"/>
      <c r="W582" s="1759"/>
      <c r="X582" s="1759"/>
      <c r="Y582" s="1759"/>
      <c r="Z582" s="1759"/>
      <c r="AA582" s="1759"/>
      <c r="AB582" s="1759"/>
      <c r="AC582" s="1759"/>
      <c r="AD582" s="1759"/>
      <c r="AE582" s="1759"/>
      <c r="AF582" s="1759"/>
      <c r="AG582" s="1759"/>
      <c r="AH582" s="1759"/>
      <c r="AI582" s="1759"/>
      <c r="AJ582" s="1759"/>
      <c r="AK582" s="1759"/>
      <c r="AL582" s="1759"/>
      <c r="AM582" s="1759"/>
      <c r="AN582" s="1759"/>
      <c r="AO582" s="1759"/>
      <c r="AP582" s="1759"/>
      <c r="AQ582" s="1759"/>
      <c r="AR582" s="1759"/>
      <c r="AS582" s="1759"/>
      <c r="AT582" s="1759"/>
      <c r="AU582" s="1759"/>
      <c r="AV582" s="1759"/>
      <c r="AW582" s="1759"/>
      <c r="AX582" s="1759"/>
      <c r="AY582" s="1759"/>
      <c r="AZ582" s="1759"/>
      <c r="BA582" s="1759"/>
      <c r="BB582" s="1759"/>
      <c r="BC582" s="1759"/>
      <c r="BD582" s="1759"/>
      <c r="BE582" s="1759"/>
      <c r="BF582" s="1759"/>
      <c r="BG582" s="1056"/>
    </row>
    <row r="583" spans="1:59" ht="33.75" customHeight="1" x14ac:dyDescent="0.15">
      <c r="A583" s="1050"/>
      <c r="B583" s="1064"/>
      <c r="C583" s="1759" t="str">
        <f>+Nyilatkozatok!BX170</f>
        <v>– finanszírozást nem használom fel  állatok vásárlására, kivéve a természeti katasztrófák, természeti katasztrófához hasonlítható kedvezőtlen éghajlati jelenségek, állatbetegségek vagy növénykárosítók által károsított termelési potenciál helyreállítása, vagy károkozás megelőzése esetén</v>
      </c>
      <c r="D583" s="1759"/>
      <c r="E583" s="1759"/>
      <c r="F583" s="1759"/>
      <c r="G583" s="1759"/>
      <c r="H583" s="1759"/>
      <c r="I583" s="1759"/>
      <c r="J583" s="1759"/>
      <c r="K583" s="1759"/>
      <c r="L583" s="1759"/>
      <c r="M583" s="1759"/>
      <c r="N583" s="1759"/>
      <c r="O583" s="1759"/>
      <c r="P583" s="1759"/>
      <c r="Q583" s="1759"/>
      <c r="R583" s="1759"/>
      <c r="S583" s="1759"/>
      <c r="T583" s="1759"/>
      <c r="U583" s="1759"/>
      <c r="V583" s="1759"/>
      <c r="W583" s="1759"/>
      <c r="X583" s="1759"/>
      <c r="Y583" s="1759"/>
      <c r="Z583" s="1759"/>
      <c r="AA583" s="1759"/>
      <c r="AB583" s="1759"/>
      <c r="AC583" s="1759"/>
      <c r="AD583" s="1759"/>
      <c r="AE583" s="1759"/>
      <c r="AF583" s="1759"/>
      <c r="AG583" s="1759"/>
      <c r="AH583" s="1759"/>
      <c r="AI583" s="1759"/>
      <c r="AJ583" s="1759"/>
      <c r="AK583" s="1759"/>
      <c r="AL583" s="1759"/>
      <c r="AM583" s="1759"/>
      <c r="AN583" s="1759"/>
      <c r="AO583" s="1759"/>
      <c r="AP583" s="1759"/>
      <c r="AQ583" s="1759"/>
      <c r="AR583" s="1759"/>
      <c r="AS583" s="1759"/>
      <c r="AT583" s="1759"/>
      <c r="AU583" s="1759"/>
      <c r="AV583" s="1759"/>
      <c r="AW583" s="1759"/>
      <c r="AX583" s="1759"/>
      <c r="AY583" s="1759"/>
      <c r="AZ583" s="1759"/>
      <c r="BA583" s="1759"/>
      <c r="BB583" s="1759"/>
      <c r="BC583" s="1759"/>
      <c r="BD583" s="1759"/>
      <c r="BE583" s="1759"/>
      <c r="BF583" s="1759"/>
      <c r="BG583" s="1056"/>
    </row>
    <row r="584" spans="1:59" ht="36.75" customHeight="1" x14ac:dyDescent="0.15">
      <c r="A584" s="1050"/>
      <c r="B584" s="1064"/>
      <c r="C584" s="1759" t="str">
        <f>+Nyilatkozatok!BX171</f>
        <v>– a finanszírozást nem használom fel uniós szabványoknak való megfelelést szolgáló beruházás megvalósítására (kivéve, ha fiatal mezőgazdasági termelő vagyok, és gazdálkodói tevékenységemet 24 hónapnál nem régebben kezdtem meg);</v>
      </c>
      <c r="D584" s="1759"/>
      <c r="E584" s="1759"/>
      <c r="F584" s="1759"/>
      <c r="G584" s="1759"/>
      <c r="H584" s="1759"/>
      <c r="I584" s="1759"/>
      <c r="J584" s="1759"/>
      <c r="K584" s="1759"/>
      <c r="L584" s="1759"/>
      <c r="M584" s="1759"/>
      <c r="N584" s="1759"/>
      <c r="O584" s="1759"/>
      <c r="P584" s="1759"/>
      <c r="Q584" s="1759"/>
      <c r="R584" s="1759"/>
      <c r="S584" s="1759"/>
      <c r="T584" s="1759"/>
      <c r="U584" s="1759"/>
      <c r="V584" s="1759"/>
      <c r="W584" s="1759"/>
      <c r="X584" s="1759"/>
      <c r="Y584" s="1759"/>
      <c r="Z584" s="1759"/>
      <c r="AA584" s="1759"/>
      <c r="AB584" s="1759"/>
      <c r="AC584" s="1759"/>
      <c r="AD584" s="1759"/>
      <c r="AE584" s="1759"/>
      <c r="AF584" s="1759"/>
      <c r="AG584" s="1759"/>
      <c r="AH584" s="1759"/>
      <c r="AI584" s="1759"/>
      <c r="AJ584" s="1759"/>
      <c r="AK584" s="1759"/>
      <c r="AL584" s="1759"/>
      <c r="AM584" s="1759"/>
      <c r="AN584" s="1759"/>
      <c r="AO584" s="1759"/>
      <c r="AP584" s="1759"/>
      <c r="AQ584" s="1759"/>
      <c r="AR584" s="1759"/>
      <c r="AS584" s="1759"/>
      <c r="AT584" s="1759"/>
      <c r="AU584" s="1759"/>
      <c r="AV584" s="1759"/>
      <c r="AW584" s="1759"/>
      <c r="AX584" s="1759"/>
      <c r="AY584" s="1759"/>
      <c r="AZ584" s="1759"/>
      <c r="BA584" s="1759"/>
      <c r="BB584" s="1759"/>
      <c r="BC584" s="1759"/>
      <c r="BD584" s="1759"/>
      <c r="BE584" s="1759"/>
      <c r="BF584" s="1759"/>
      <c r="BG584" s="1056"/>
    </row>
    <row r="585" spans="1:59" ht="36.75" customHeight="1" x14ac:dyDescent="0.15">
      <c r="A585" s="1050"/>
      <c r="B585" s="1064"/>
      <c r="C585" s="1759" t="str">
        <f>+Nyilatkozatok!BX172</f>
        <v>– a finanszírozást nem használom fel az 1308/2013/EU európai parlamenti és tanácsi rendeletben megállapított valamely tiltás vagy korlátozás - ide értve a kizárólag az 1308/2013/EU európai parlamenti és tanácsi rendeletben szabályozott uniós támogatásra vonatkozó esetet is – megszegésével.</v>
      </c>
      <c r="D585" s="1759"/>
      <c r="E585" s="1759"/>
      <c r="F585" s="1759"/>
      <c r="G585" s="1759"/>
      <c r="H585" s="1759"/>
      <c r="I585" s="1759"/>
      <c r="J585" s="1759"/>
      <c r="K585" s="1759"/>
      <c r="L585" s="1759"/>
      <c r="M585" s="1759"/>
      <c r="N585" s="1759"/>
      <c r="O585" s="1759"/>
      <c r="P585" s="1759"/>
      <c r="Q585" s="1759"/>
      <c r="R585" s="1759"/>
      <c r="S585" s="1759"/>
      <c r="T585" s="1759"/>
      <c r="U585" s="1759"/>
      <c r="V585" s="1759"/>
      <c r="W585" s="1759"/>
      <c r="X585" s="1759"/>
      <c r="Y585" s="1759"/>
      <c r="Z585" s="1759"/>
      <c r="AA585" s="1759"/>
      <c r="AB585" s="1759"/>
      <c r="AC585" s="1759"/>
      <c r="AD585" s="1759"/>
      <c r="AE585" s="1759"/>
      <c r="AF585" s="1759"/>
      <c r="AG585" s="1759"/>
      <c r="AH585" s="1759"/>
      <c r="AI585" s="1759"/>
      <c r="AJ585" s="1759"/>
      <c r="AK585" s="1759"/>
      <c r="AL585" s="1759"/>
      <c r="AM585" s="1759"/>
      <c r="AN585" s="1759"/>
      <c r="AO585" s="1759"/>
      <c r="AP585" s="1759"/>
      <c r="AQ585" s="1759"/>
      <c r="AR585" s="1759"/>
      <c r="AS585" s="1759"/>
      <c r="AT585" s="1759"/>
      <c r="AU585" s="1759"/>
      <c r="AV585" s="1759"/>
      <c r="AW585" s="1759"/>
      <c r="AX585" s="1759"/>
      <c r="AY585" s="1759"/>
      <c r="AZ585" s="1759"/>
      <c r="BA585" s="1759"/>
      <c r="BB585" s="1759"/>
      <c r="BC585" s="1759"/>
      <c r="BD585" s="1759"/>
      <c r="BE585" s="1759"/>
      <c r="BF585" s="1759"/>
      <c r="BG585" s="1056"/>
    </row>
    <row r="586" spans="1:59" ht="12.75" customHeight="1" x14ac:dyDescent="0.15">
      <c r="A586" s="1050"/>
      <c r="B586" s="1064"/>
      <c r="C586" s="1759" t="str">
        <f>+Nyilatkozatok!BX173</f>
        <v>– a környezeti hatásvizsgálati és az egységes környezethasználati engedélyezési eljárásról szóló 314/2005. (XII. 25.) Korm. rendelet szerinti eljárás lefolytatásra került.</v>
      </c>
      <c r="D586" s="1759"/>
      <c r="E586" s="1759"/>
      <c r="F586" s="1759"/>
      <c r="G586" s="1759"/>
      <c r="H586" s="1759"/>
      <c r="I586" s="1759"/>
      <c r="J586" s="1759"/>
      <c r="K586" s="1759"/>
      <c r="L586" s="1759"/>
      <c r="M586" s="1759"/>
      <c r="N586" s="1759"/>
      <c r="O586" s="1759"/>
      <c r="P586" s="1759"/>
      <c r="Q586" s="1759"/>
      <c r="R586" s="1759"/>
      <c r="S586" s="1759"/>
      <c r="T586" s="1759"/>
      <c r="U586" s="1759"/>
      <c r="V586" s="1759"/>
      <c r="W586" s="1759"/>
      <c r="X586" s="1759"/>
      <c r="Y586" s="1759"/>
      <c r="Z586" s="1759"/>
      <c r="AA586" s="1759"/>
      <c r="AB586" s="1759"/>
      <c r="AC586" s="1759"/>
      <c r="AD586" s="1759"/>
      <c r="AE586" s="1759"/>
      <c r="AF586" s="1759"/>
      <c r="AG586" s="1759"/>
      <c r="AH586" s="1759"/>
      <c r="AI586" s="1759"/>
      <c r="AJ586" s="1759"/>
      <c r="AK586" s="1759"/>
      <c r="AL586" s="1759"/>
      <c r="AM586" s="1759"/>
      <c r="AN586" s="1759"/>
      <c r="AO586" s="1759"/>
      <c r="AP586" s="1759"/>
      <c r="AQ586" s="1759"/>
      <c r="AR586" s="1759"/>
      <c r="AS586" s="1759"/>
      <c r="AT586" s="1759"/>
      <c r="AU586" s="1759"/>
      <c r="AV586" s="1759"/>
      <c r="AW586" s="1759"/>
      <c r="AX586" s="1759"/>
      <c r="AY586" s="1759"/>
      <c r="AZ586" s="1759"/>
      <c r="BA586" s="1759"/>
      <c r="BB586" s="1759"/>
      <c r="BC586" s="1759"/>
      <c r="BD586" s="1759"/>
      <c r="BE586" s="1759"/>
      <c r="BF586" s="1759"/>
      <c r="BG586" s="1056"/>
    </row>
    <row r="587" spans="1:59" ht="31.5" customHeight="1" x14ac:dyDescent="0.15">
      <c r="A587" s="1050"/>
      <c r="B587" s="1064"/>
      <c r="C587" s="1759" t="str">
        <f>+Nyilatkozatok!BX174</f>
        <v>Az alábbiak közül legalább egy állítás kiválasztásával nyilatkozom, hogy a beruházás a 702/2014/EU rendelet 14. cikkének a 3. bekezdésében meghatározott az alábbi célkitűzések egyikéhez kapcsolódik:</v>
      </c>
      <c r="D587" s="1759"/>
      <c r="E587" s="1759"/>
      <c r="F587" s="1759"/>
      <c r="G587" s="1759"/>
      <c r="H587" s="1759"/>
      <c r="I587" s="1759"/>
      <c r="J587" s="1759"/>
      <c r="K587" s="1759"/>
      <c r="L587" s="1759"/>
      <c r="M587" s="1759"/>
      <c r="N587" s="1759"/>
      <c r="O587" s="1759"/>
      <c r="P587" s="1759"/>
      <c r="Q587" s="1759"/>
      <c r="R587" s="1759"/>
      <c r="S587" s="1759"/>
      <c r="T587" s="1759"/>
      <c r="U587" s="1759"/>
      <c r="V587" s="1759"/>
      <c r="W587" s="1759"/>
      <c r="X587" s="1759"/>
      <c r="Y587" s="1759"/>
      <c r="Z587" s="1759"/>
      <c r="AA587" s="1759"/>
      <c r="AB587" s="1759"/>
      <c r="AC587" s="1759"/>
      <c r="AD587" s="1759"/>
      <c r="AE587" s="1759"/>
      <c r="AF587" s="1759"/>
      <c r="AG587" s="1759"/>
      <c r="AH587" s="1759"/>
      <c r="AI587" s="1759"/>
      <c r="AJ587" s="1759"/>
      <c r="AK587" s="1759"/>
      <c r="AL587" s="1759"/>
      <c r="AM587" s="1759"/>
      <c r="AN587" s="1759"/>
      <c r="AO587" s="1759"/>
      <c r="AP587" s="1759"/>
      <c r="AQ587" s="1759"/>
      <c r="AR587" s="1759"/>
      <c r="AS587" s="1759"/>
      <c r="AT587" s="1759"/>
      <c r="AU587" s="1759"/>
      <c r="AV587" s="1759"/>
      <c r="AW587" s="1759"/>
      <c r="AX587" s="1759"/>
      <c r="AY587" s="1759"/>
      <c r="AZ587" s="1759"/>
      <c r="BA587" s="1759"/>
      <c r="BB587" s="1759"/>
      <c r="BC587" s="1759"/>
      <c r="BD587" s="1759"/>
      <c r="BE587" s="1759"/>
      <c r="BF587" s="1759"/>
      <c r="BG587" s="1056"/>
    </row>
    <row r="588" spans="1:59" x14ac:dyDescent="0.15">
      <c r="A588" s="1050"/>
      <c r="B588" s="1073"/>
      <c r="C588" s="1759" t="str">
        <f>+Nyilatkozatok!BX175</f>
        <v>3a) a mezőgazdasági üzem összteljesítményének és fenntarthatóságának javítása</v>
      </c>
      <c r="D588" s="1759"/>
      <c r="E588" s="1759"/>
      <c r="F588" s="1759"/>
      <c r="G588" s="1759"/>
      <c r="H588" s="1759"/>
      <c r="I588" s="1759"/>
      <c r="J588" s="1759"/>
      <c r="K588" s="1759"/>
      <c r="L588" s="1759"/>
      <c r="M588" s="1759"/>
      <c r="N588" s="1759"/>
      <c r="O588" s="1759"/>
      <c r="P588" s="1759"/>
      <c r="Q588" s="1759"/>
      <c r="R588" s="1759"/>
      <c r="S588" s="1759"/>
      <c r="T588" s="1759"/>
      <c r="U588" s="1759"/>
      <c r="V588" s="1759"/>
      <c r="W588" s="1759"/>
      <c r="X588" s="1759"/>
      <c r="Y588" s="1759"/>
      <c r="Z588" s="1759"/>
      <c r="AA588" s="1759"/>
      <c r="AB588" s="1759"/>
      <c r="AC588" s="1759"/>
      <c r="AD588" s="1759"/>
      <c r="AE588" s="1759"/>
      <c r="AF588" s="1759"/>
      <c r="AG588" s="1759"/>
      <c r="AH588" s="1759"/>
      <c r="AI588" s="1759"/>
      <c r="AJ588" s="1759"/>
      <c r="AK588" s="1759"/>
      <c r="AL588" s="1759"/>
      <c r="AM588" s="1759"/>
      <c r="AN588" s="1759"/>
      <c r="AO588" s="1759"/>
      <c r="AP588" s="1759"/>
      <c r="AQ588" s="1759"/>
      <c r="AR588" s="1759"/>
      <c r="AS588" s="1759"/>
      <c r="AT588" s="1759"/>
      <c r="AU588" s="1759"/>
      <c r="AV588" s="1759"/>
      <c r="AW588" s="1759"/>
      <c r="AX588" s="1759"/>
      <c r="AY588" s="1759"/>
      <c r="AZ588" s="1759"/>
      <c r="BA588" s="1759"/>
      <c r="BB588" s="1759"/>
      <c r="BC588" s="1759"/>
      <c r="BD588" s="1759"/>
      <c r="BE588" s="1759"/>
      <c r="BF588" s="1759"/>
      <c r="BG588" s="1056"/>
    </row>
    <row r="589" spans="1:59" ht="30" customHeight="1" x14ac:dyDescent="0.15">
      <c r="A589" s="1050"/>
      <c r="B589" s="1073"/>
      <c r="C589" s="1759" t="str">
        <f>+Nyilatkozatok!BX176</f>
        <v>3b) a természeti környezet minőségének, a higiéniai körülményeknek vagy az állatjólét színvonalának javítása, feltéve, hogy az érintett beruházás normái szigorúbbak a hatályos uniós előírásoknál</v>
      </c>
      <c r="D589" s="1759"/>
      <c r="E589" s="1759"/>
      <c r="F589" s="1759"/>
      <c r="G589" s="1759"/>
      <c r="H589" s="1759"/>
      <c r="I589" s="1759"/>
      <c r="J589" s="1759"/>
      <c r="K589" s="1759"/>
      <c r="L589" s="1759"/>
      <c r="M589" s="1759"/>
      <c r="N589" s="1759"/>
      <c r="O589" s="1759"/>
      <c r="P589" s="1759"/>
      <c r="Q589" s="1759"/>
      <c r="R589" s="1759"/>
      <c r="S589" s="1759"/>
      <c r="T589" s="1759"/>
      <c r="U589" s="1759"/>
      <c r="V589" s="1759"/>
      <c r="W589" s="1759"/>
      <c r="X589" s="1759"/>
      <c r="Y589" s="1759"/>
      <c r="Z589" s="1759"/>
      <c r="AA589" s="1759"/>
      <c r="AB589" s="1759"/>
      <c r="AC589" s="1759"/>
      <c r="AD589" s="1759"/>
      <c r="AE589" s="1759"/>
      <c r="AF589" s="1759"/>
      <c r="AG589" s="1759"/>
      <c r="AH589" s="1759"/>
      <c r="AI589" s="1759"/>
      <c r="AJ589" s="1759"/>
      <c r="AK589" s="1759"/>
      <c r="AL589" s="1759"/>
      <c r="AM589" s="1759"/>
      <c r="AN589" s="1759"/>
      <c r="AO589" s="1759"/>
      <c r="AP589" s="1759"/>
      <c r="AQ589" s="1759"/>
      <c r="AR589" s="1759"/>
      <c r="AS589" s="1759"/>
      <c r="AT589" s="1759"/>
      <c r="AU589" s="1759"/>
      <c r="AV589" s="1759"/>
      <c r="AW589" s="1759"/>
      <c r="AX589" s="1759"/>
      <c r="AY589" s="1759"/>
      <c r="AZ589" s="1759"/>
      <c r="BA589" s="1759"/>
      <c r="BB589" s="1759"/>
      <c r="BC589" s="1759"/>
      <c r="BD589" s="1759"/>
      <c r="BE589" s="1759"/>
      <c r="BF589" s="1759"/>
      <c r="BG589" s="1056"/>
    </row>
    <row r="590" spans="1:59" ht="41.25" customHeight="1" x14ac:dyDescent="0.15">
      <c r="A590" s="1050"/>
      <c r="B590" s="1073"/>
      <c r="C590" s="1759" t="str">
        <f>+Nyilatkozatok!BX177</f>
        <v>3c) a mezőgazdaság fejlesztéséhez, átalakításához és korszerűsítéséhez – többek között a mezőgazdasági földterületekhez való hozzáféréshez, a birtokrendezéshez és a termőföld minőségének javításához, valamint az energia- és vízellátáshoz és az energia- és víztakarékossághoz – kapcsolódó infrastruktúra kiépítése és fejlesztése</v>
      </c>
      <c r="D590" s="1759"/>
      <c r="E590" s="1759"/>
      <c r="F590" s="1759"/>
      <c r="G590" s="1759"/>
      <c r="H590" s="1759"/>
      <c r="I590" s="1759"/>
      <c r="J590" s="1759"/>
      <c r="K590" s="1759"/>
      <c r="L590" s="1759"/>
      <c r="M590" s="1759"/>
      <c r="N590" s="1759"/>
      <c r="O590" s="1759"/>
      <c r="P590" s="1759"/>
      <c r="Q590" s="1759"/>
      <c r="R590" s="1759"/>
      <c r="S590" s="1759"/>
      <c r="T590" s="1759"/>
      <c r="U590" s="1759"/>
      <c r="V590" s="1759"/>
      <c r="W590" s="1759"/>
      <c r="X590" s="1759"/>
      <c r="Y590" s="1759"/>
      <c r="Z590" s="1759"/>
      <c r="AA590" s="1759"/>
      <c r="AB590" s="1759"/>
      <c r="AC590" s="1759"/>
      <c r="AD590" s="1759"/>
      <c r="AE590" s="1759"/>
      <c r="AF590" s="1759"/>
      <c r="AG590" s="1759"/>
      <c r="AH590" s="1759"/>
      <c r="AI590" s="1759"/>
      <c r="AJ590" s="1759"/>
      <c r="AK590" s="1759"/>
      <c r="AL590" s="1759"/>
      <c r="AM590" s="1759"/>
      <c r="AN590" s="1759"/>
      <c r="AO590" s="1759"/>
      <c r="AP590" s="1759"/>
      <c r="AQ590" s="1759"/>
      <c r="AR590" s="1759"/>
      <c r="AS590" s="1759"/>
      <c r="AT590" s="1759"/>
      <c r="AU590" s="1759"/>
      <c r="AV590" s="1759"/>
      <c r="AW590" s="1759"/>
      <c r="AX590" s="1759"/>
      <c r="AY590" s="1759"/>
      <c r="AZ590" s="1759"/>
      <c r="BA590" s="1759"/>
      <c r="BB590" s="1759"/>
      <c r="BC590" s="1759"/>
      <c r="BD590" s="1759"/>
      <c r="BE590" s="1759"/>
      <c r="BF590" s="1759"/>
      <c r="BG590" s="1056"/>
    </row>
    <row r="591" spans="1:59" ht="44.25" customHeight="1" x14ac:dyDescent="0.15">
      <c r="A591" s="1050"/>
      <c r="B591" s="1073"/>
      <c r="C591" s="1759" t="str">
        <f>+Nyilatkozatok!BX178</f>
        <v>3d) agrár-környezetvédelmi, illetve az éghajlattal kapcsolatos célkitűzések teljesítése, a biológiai sokféleséggel összefüggésben a fajok és az élőhelyek védettségi állapotának megőrzése, illetve valamely Natura 2000 terület vagy egyéb, a Vidékfejlesztési Programban meghatározott, jelentős természeti értéket képviselő rendszer közjóléti értékének növelése, feltéve, hogy a beruházás nem termelési célra irányul,</v>
      </c>
      <c r="D591" s="1759"/>
      <c r="E591" s="1759"/>
      <c r="F591" s="1759"/>
      <c r="G591" s="1759"/>
      <c r="H591" s="1759"/>
      <c r="I591" s="1759"/>
      <c r="J591" s="1759"/>
      <c r="K591" s="1759"/>
      <c r="L591" s="1759"/>
      <c r="M591" s="1759"/>
      <c r="N591" s="1759"/>
      <c r="O591" s="1759"/>
      <c r="P591" s="1759"/>
      <c r="Q591" s="1759"/>
      <c r="R591" s="1759"/>
      <c r="S591" s="1759"/>
      <c r="T591" s="1759"/>
      <c r="U591" s="1759"/>
      <c r="V591" s="1759"/>
      <c r="W591" s="1759"/>
      <c r="X591" s="1759"/>
      <c r="Y591" s="1759"/>
      <c r="Z591" s="1759"/>
      <c r="AA591" s="1759"/>
      <c r="AB591" s="1759"/>
      <c r="AC591" s="1759"/>
      <c r="AD591" s="1759"/>
      <c r="AE591" s="1759"/>
      <c r="AF591" s="1759"/>
      <c r="AG591" s="1759"/>
      <c r="AH591" s="1759"/>
      <c r="AI591" s="1759"/>
      <c r="AJ591" s="1759"/>
      <c r="AK591" s="1759"/>
      <c r="AL591" s="1759"/>
      <c r="AM591" s="1759"/>
      <c r="AN591" s="1759"/>
      <c r="AO591" s="1759"/>
      <c r="AP591" s="1759"/>
      <c r="AQ591" s="1759"/>
      <c r="AR591" s="1759"/>
      <c r="AS591" s="1759"/>
      <c r="AT591" s="1759"/>
      <c r="AU591" s="1759"/>
      <c r="AV591" s="1759"/>
      <c r="AW591" s="1759"/>
      <c r="AX591" s="1759"/>
      <c r="AY591" s="1759"/>
      <c r="AZ591" s="1759"/>
      <c r="BA591" s="1759"/>
      <c r="BB591" s="1759"/>
      <c r="BC591" s="1759"/>
      <c r="BD591" s="1759"/>
      <c r="BE591" s="1759"/>
      <c r="BF591" s="1759"/>
      <c r="BG591" s="1056"/>
    </row>
    <row r="592" spans="1:59" ht="30" customHeight="1" x14ac:dyDescent="0.15">
      <c r="A592" s="1050"/>
      <c r="B592" s="1073"/>
      <c r="C592" s="1759" t="str">
        <f>+Nyilatkozatok!BX179</f>
        <v>3e) a természeti katasztrófák, természeti katasztrófához hasonlítható kedvezőtlen éghajlati jelenségek, állatbetegségek vagy növénykárosítók által károsított termelési potenciál helyreállítása, vagy  károkozás megelőzése.</v>
      </c>
      <c r="D592" s="1759"/>
      <c r="E592" s="1759"/>
      <c r="F592" s="1759"/>
      <c r="G592" s="1759"/>
      <c r="H592" s="1759"/>
      <c r="I592" s="1759"/>
      <c r="J592" s="1759"/>
      <c r="K592" s="1759"/>
      <c r="L592" s="1759"/>
      <c r="M592" s="1759"/>
      <c r="N592" s="1759"/>
      <c r="O592" s="1759"/>
      <c r="P592" s="1759"/>
      <c r="Q592" s="1759"/>
      <c r="R592" s="1759"/>
      <c r="S592" s="1759"/>
      <c r="T592" s="1759"/>
      <c r="U592" s="1759"/>
      <c r="V592" s="1759"/>
      <c r="W592" s="1759"/>
      <c r="X592" s="1759"/>
      <c r="Y592" s="1759"/>
      <c r="Z592" s="1759"/>
      <c r="AA592" s="1759"/>
      <c r="AB592" s="1759"/>
      <c r="AC592" s="1759"/>
      <c r="AD592" s="1759"/>
      <c r="AE592" s="1759"/>
      <c r="AF592" s="1759"/>
      <c r="AG592" s="1759"/>
      <c r="AH592" s="1759"/>
      <c r="AI592" s="1759"/>
      <c r="AJ592" s="1759"/>
      <c r="AK592" s="1759"/>
      <c r="AL592" s="1759"/>
      <c r="AM592" s="1759"/>
      <c r="AN592" s="1759"/>
      <c r="AO592" s="1759"/>
      <c r="AP592" s="1759"/>
      <c r="AQ592" s="1759"/>
      <c r="AR592" s="1759"/>
      <c r="AS592" s="1759"/>
      <c r="AT592" s="1759"/>
      <c r="AU592" s="1759"/>
      <c r="AV592" s="1759"/>
      <c r="AW592" s="1759"/>
      <c r="AX592" s="1759"/>
      <c r="AY592" s="1759"/>
      <c r="AZ592" s="1759"/>
      <c r="BA592" s="1759"/>
      <c r="BB592" s="1759"/>
      <c r="BC592" s="1759"/>
      <c r="BD592" s="1759"/>
      <c r="BE592" s="1759"/>
      <c r="BF592" s="1759"/>
      <c r="BG592" s="1056"/>
    </row>
    <row r="593" spans="1:59" x14ac:dyDescent="0.15">
      <c r="A593" s="1050"/>
      <c r="B593" s="1064"/>
      <c r="C593" s="1759" t="str">
        <f>+Nyilatkozatok!BX180</f>
        <v>Tudomásul veszem:</v>
      </c>
      <c r="D593" s="1759"/>
      <c r="E593" s="1759"/>
      <c r="F593" s="1759"/>
      <c r="G593" s="1759"/>
      <c r="H593" s="1759"/>
      <c r="I593" s="1759"/>
      <c r="J593" s="1759"/>
      <c r="K593" s="1759"/>
      <c r="L593" s="1759"/>
      <c r="M593" s="1759"/>
      <c r="N593" s="1759"/>
      <c r="O593" s="1759"/>
      <c r="P593" s="1759"/>
      <c r="Q593" s="1759"/>
      <c r="R593" s="1759"/>
      <c r="S593" s="1759"/>
      <c r="T593" s="1759"/>
      <c r="U593" s="1759"/>
      <c r="V593" s="1759"/>
      <c r="W593" s="1759"/>
      <c r="X593" s="1759"/>
      <c r="Y593" s="1759"/>
      <c r="Z593" s="1759"/>
      <c r="AA593" s="1759"/>
      <c r="AB593" s="1759"/>
      <c r="AC593" s="1759"/>
      <c r="AD593" s="1759"/>
      <c r="AE593" s="1759"/>
      <c r="AF593" s="1759"/>
      <c r="AG593" s="1759"/>
      <c r="AH593" s="1759"/>
      <c r="AI593" s="1759"/>
      <c r="AJ593" s="1759"/>
      <c r="AK593" s="1759"/>
      <c r="AL593" s="1759"/>
      <c r="AM593" s="1759"/>
      <c r="AN593" s="1759"/>
      <c r="AO593" s="1759"/>
      <c r="AP593" s="1759"/>
      <c r="AQ593" s="1759"/>
      <c r="AR593" s="1759"/>
      <c r="AS593" s="1759"/>
      <c r="AT593" s="1759"/>
      <c r="AU593" s="1759"/>
      <c r="AV593" s="1759"/>
      <c r="AW593" s="1759"/>
      <c r="AX593" s="1759"/>
      <c r="AY593" s="1759"/>
      <c r="AZ593" s="1759"/>
      <c r="BA593" s="1759"/>
      <c r="BB593" s="1759"/>
      <c r="BC593" s="1759"/>
      <c r="BD593" s="1759"/>
      <c r="BE593" s="1759"/>
      <c r="BF593" s="1759"/>
      <c r="BG593" s="1056"/>
    </row>
    <row r="594" spans="1:59" x14ac:dyDescent="0.15">
      <c r="A594" s="1050"/>
      <c r="B594" s="1073"/>
      <c r="C594" s="1759" t="str">
        <f>+Nyilatkozatok!BX181</f>
        <v>a beruházást elsődleges mezőgazdasági termeléssel foglalkozó kis- és középvállalkozásként valósítom meg</v>
      </c>
      <c r="D594" s="1759"/>
      <c r="E594" s="1759"/>
      <c r="F594" s="1759"/>
      <c r="G594" s="1759"/>
      <c r="H594" s="1759"/>
      <c r="I594" s="1759"/>
      <c r="J594" s="1759"/>
      <c r="K594" s="1759"/>
      <c r="L594" s="1759"/>
      <c r="M594" s="1759"/>
      <c r="N594" s="1759"/>
      <c r="O594" s="1759"/>
      <c r="P594" s="1759"/>
      <c r="Q594" s="1759"/>
      <c r="R594" s="1759"/>
      <c r="S594" s="1759"/>
      <c r="T594" s="1759"/>
      <c r="U594" s="1759"/>
      <c r="V594" s="1759"/>
      <c r="W594" s="1759"/>
      <c r="X594" s="1759"/>
      <c r="Y594" s="1759"/>
      <c r="Z594" s="1759"/>
      <c r="AA594" s="1759"/>
      <c r="AB594" s="1759"/>
      <c r="AC594" s="1759"/>
      <c r="AD594" s="1759"/>
      <c r="AE594" s="1759"/>
      <c r="AF594" s="1759"/>
      <c r="AG594" s="1759"/>
      <c r="AH594" s="1759"/>
      <c r="AI594" s="1759"/>
      <c r="AJ594" s="1759"/>
      <c r="AK594" s="1759"/>
      <c r="AL594" s="1759"/>
      <c r="AM594" s="1759"/>
      <c r="AN594" s="1759"/>
      <c r="AO594" s="1759"/>
      <c r="AP594" s="1759"/>
      <c r="AQ594" s="1759"/>
      <c r="AR594" s="1759"/>
      <c r="AS594" s="1759"/>
      <c r="AT594" s="1759"/>
      <c r="AU594" s="1759"/>
      <c r="AV594" s="1759"/>
      <c r="AW594" s="1759"/>
      <c r="AX594" s="1759"/>
      <c r="AY594" s="1759"/>
      <c r="AZ594" s="1759"/>
      <c r="BA594" s="1759"/>
      <c r="BB594" s="1759"/>
      <c r="BC594" s="1759"/>
      <c r="BD594" s="1759"/>
      <c r="BE594" s="1759"/>
      <c r="BF594" s="1759"/>
      <c r="BG594" s="1056"/>
    </row>
    <row r="595" spans="1:59" ht="30.75" customHeight="1" x14ac:dyDescent="0.15">
      <c r="A595" s="1050"/>
      <c r="B595" s="1073"/>
      <c r="C595" s="1759" t="str">
        <f>+Nyilatkozatok!BX182</f>
        <v>a beruházás olyan tárgyi eszközt, illetve olyan immateriális javat érint, amelyet elsődleges mezőgazdasági termeléssel foglalkozó kis- és középvállalkozás használ</v>
      </c>
      <c r="D595" s="1759"/>
      <c r="E595" s="1759"/>
      <c r="F595" s="1759"/>
      <c r="G595" s="1759"/>
      <c r="H595" s="1759"/>
      <c r="I595" s="1759"/>
      <c r="J595" s="1759"/>
      <c r="K595" s="1759"/>
      <c r="L595" s="1759"/>
      <c r="M595" s="1759"/>
      <c r="N595" s="1759"/>
      <c r="O595" s="1759"/>
      <c r="P595" s="1759"/>
      <c r="Q595" s="1759"/>
      <c r="R595" s="1759"/>
      <c r="S595" s="1759"/>
      <c r="T595" s="1759"/>
      <c r="U595" s="1759"/>
      <c r="V595" s="1759"/>
      <c r="W595" s="1759"/>
      <c r="X595" s="1759"/>
      <c r="Y595" s="1759"/>
      <c r="Z595" s="1759"/>
      <c r="AA595" s="1759"/>
      <c r="AB595" s="1759"/>
      <c r="AC595" s="1759"/>
      <c r="AD595" s="1759"/>
      <c r="AE595" s="1759"/>
      <c r="AF595" s="1759"/>
      <c r="AG595" s="1759"/>
      <c r="AH595" s="1759"/>
      <c r="AI595" s="1759"/>
      <c r="AJ595" s="1759"/>
      <c r="AK595" s="1759"/>
      <c r="AL595" s="1759"/>
      <c r="AM595" s="1759"/>
      <c r="AN595" s="1759"/>
      <c r="AO595" s="1759"/>
      <c r="AP595" s="1759"/>
      <c r="AQ595" s="1759"/>
      <c r="AR595" s="1759"/>
      <c r="AS595" s="1759"/>
      <c r="AT595" s="1759"/>
      <c r="AU595" s="1759"/>
      <c r="AV595" s="1759"/>
      <c r="AW595" s="1759"/>
      <c r="AX595" s="1759"/>
      <c r="AY595" s="1759"/>
      <c r="AZ595" s="1759"/>
      <c r="BA595" s="1759"/>
      <c r="BB595" s="1759"/>
      <c r="BC595" s="1759"/>
      <c r="BD595" s="1759"/>
      <c r="BE595" s="1759"/>
      <c r="BF595" s="1759"/>
      <c r="BG595" s="1056"/>
    </row>
    <row r="596" spans="1:59" ht="29.25" customHeight="1" x14ac:dyDescent="0.15">
      <c r="A596" s="1050"/>
      <c r="B596" s="1064"/>
      <c r="C596" s="1759" t="str">
        <f>+Nyilatkozatok!BX183</f>
        <v>Bioüzemanyag vagy a megújuló energiaforrásból származó energia mezőgazdasági üzemen belül történő előállításához kapcsolódó beruházás esetén tudomásul veszem, hogy</v>
      </c>
      <c r="D596" s="1759"/>
      <c r="E596" s="1759"/>
      <c r="F596" s="1759"/>
      <c r="G596" s="1759"/>
      <c r="H596" s="1759"/>
      <c r="I596" s="1759"/>
      <c r="J596" s="1759"/>
      <c r="K596" s="1759"/>
      <c r="L596" s="1759"/>
      <c r="M596" s="1759"/>
      <c r="N596" s="1759"/>
      <c r="O596" s="1759"/>
      <c r="P596" s="1759"/>
      <c r="Q596" s="1759"/>
      <c r="R596" s="1759"/>
      <c r="S596" s="1759"/>
      <c r="T596" s="1759"/>
      <c r="U596" s="1759"/>
      <c r="V596" s="1759"/>
      <c r="W596" s="1759"/>
      <c r="X596" s="1759"/>
      <c r="Y596" s="1759"/>
      <c r="Z596" s="1759"/>
      <c r="AA596" s="1759"/>
      <c r="AB596" s="1759"/>
      <c r="AC596" s="1759"/>
      <c r="AD596" s="1759"/>
      <c r="AE596" s="1759"/>
      <c r="AF596" s="1759"/>
      <c r="AG596" s="1759"/>
      <c r="AH596" s="1759"/>
      <c r="AI596" s="1759"/>
      <c r="AJ596" s="1759"/>
      <c r="AK596" s="1759"/>
      <c r="AL596" s="1759"/>
      <c r="AM596" s="1759"/>
      <c r="AN596" s="1759"/>
      <c r="AO596" s="1759"/>
      <c r="AP596" s="1759"/>
      <c r="AQ596" s="1759"/>
      <c r="AR596" s="1759"/>
      <c r="AS596" s="1759"/>
      <c r="AT596" s="1759"/>
      <c r="AU596" s="1759"/>
      <c r="AV596" s="1759"/>
      <c r="AW596" s="1759"/>
      <c r="AX596" s="1759"/>
      <c r="AY596" s="1759"/>
      <c r="AZ596" s="1759"/>
      <c r="BA596" s="1759"/>
      <c r="BB596" s="1759"/>
      <c r="BC596" s="1759"/>
      <c r="BD596" s="1759"/>
      <c r="BE596" s="1759"/>
      <c r="BF596" s="1759"/>
      <c r="BG596" s="1056"/>
    </row>
    <row r="597" spans="1:59" ht="13.5" customHeight="1" x14ac:dyDescent="0.15">
      <c r="A597" s="1050"/>
      <c r="B597" s="1064"/>
      <c r="C597" s="1759" t="str">
        <f>+Nyilatkozatok!BX184</f>
        <v>a) az előállított üzemanyag- vagy energiamennyiség nem lépheti túl a mezőgazdasági üzem átlagos évi üzemanyag- vagy energiafogyasztását,</v>
      </c>
      <c r="D597" s="1759"/>
      <c r="E597" s="1759"/>
      <c r="F597" s="1759"/>
      <c r="G597" s="1759"/>
      <c r="H597" s="1759"/>
      <c r="I597" s="1759"/>
      <c r="J597" s="1759"/>
      <c r="K597" s="1759"/>
      <c r="L597" s="1759"/>
      <c r="M597" s="1759"/>
      <c r="N597" s="1759"/>
      <c r="O597" s="1759"/>
      <c r="P597" s="1759"/>
      <c r="Q597" s="1759"/>
      <c r="R597" s="1759"/>
      <c r="S597" s="1759"/>
      <c r="T597" s="1759"/>
      <c r="U597" s="1759"/>
      <c r="V597" s="1759"/>
      <c r="W597" s="1759"/>
      <c r="X597" s="1759"/>
      <c r="Y597" s="1759"/>
      <c r="Z597" s="1759"/>
      <c r="AA597" s="1759"/>
      <c r="AB597" s="1759"/>
      <c r="AC597" s="1759"/>
      <c r="AD597" s="1759"/>
      <c r="AE597" s="1759"/>
      <c r="AF597" s="1759"/>
      <c r="AG597" s="1759"/>
      <c r="AH597" s="1759"/>
      <c r="AI597" s="1759"/>
      <c r="AJ597" s="1759"/>
      <c r="AK597" s="1759"/>
      <c r="AL597" s="1759"/>
      <c r="AM597" s="1759"/>
      <c r="AN597" s="1759"/>
      <c r="AO597" s="1759"/>
      <c r="AP597" s="1759"/>
      <c r="AQ597" s="1759"/>
      <c r="AR597" s="1759"/>
      <c r="AS597" s="1759"/>
      <c r="AT597" s="1759"/>
      <c r="AU597" s="1759"/>
      <c r="AV597" s="1759"/>
      <c r="AW597" s="1759"/>
      <c r="AX597" s="1759"/>
      <c r="AY597" s="1759"/>
      <c r="AZ597" s="1759"/>
      <c r="BA597" s="1759"/>
      <c r="BB597" s="1759"/>
      <c r="BC597" s="1759"/>
      <c r="BD597" s="1759"/>
      <c r="BE597" s="1759"/>
      <c r="BF597" s="1759"/>
      <c r="BG597" s="1056"/>
    </row>
    <row r="598" spans="1:59" x14ac:dyDescent="0.15">
      <c r="A598" s="1050"/>
      <c r="B598" s="1064"/>
      <c r="C598" s="1759" t="str">
        <f>+Nyilatkozatok!BX185</f>
        <v>b) bioüzemanyag előállítására irányuló beruházás esetén
ba) az üzemanyag-termelő létesítmény termelési kapacitása nem haladhatja meg a mezőgazdasági üzem átlagos éves közlekedési célú üzemanyag-fogyasztásának megfelelő szintet, és
bb) az előállított bioüzemanyag nem értékesíthető a piacon,</v>
      </c>
      <c r="D598" s="1759"/>
      <c r="E598" s="1759"/>
      <c r="F598" s="1759"/>
      <c r="G598" s="1759"/>
      <c r="H598" s="1759"/>
      <c r="I598" s="1759"/>
      <c r="J598" s="1759"/>
      <c r="K598" s="1759"/>
      <c r="L598" s="1759"/>
      <c r="M598" s="1759"/>
      <c r="N598" s="1759"/>
      <c r="O598" s="1759"/>
      <c r="P598" s="1759"/>
      <c r="Q598" s="1759"/>
      <c r="R598" s="1759"/>
      <c r="S598" s="1759"/>
      <c r="T598" s="1759"/>
      <c r="U598" s="1759"/>
      <c r="V598" s="1759"/>
      <c r="W598" s="1759"/>
      <c r="X598" s="1759"/>
      <c r="Y598" s="1759"/>
      <c r="Z598" s="1759"/>
      <c r="AA598" s="1759"/>
      <c r="AB598" s="1759"/>
      <c r="AC598" s="1759"/>
      <c r="AD598" s="1759"/>
      <c r="AE598" s="1759"/>
      <c r="AF598" s="1759"/>
      <c r="AG598" s="1759"/>
      <c r="AH598" s="1759"/>
      <c r="AI598" s="1759"/>
      <c r="AJ598" s="1759"/>
      <c r="AK598" s="1759"/>
      <c r="AL598" s="1759"/>
      <c r="AM598" s="1759"/>
      <c r="AN598" s="1759"/>
      <c r="AO598" s="1759"/>
      <c r="AP598" s="1759"/>
      <c r="AQ598" s="1759"/>
      <c r="AR598" s="1759"/>
      <c r="AS598" s="1759"/>
      <c r="AT598" s="1759"/>
      <c r="AU598" s="1759"/>
      <c r="AV598" s="1759"/>
      <c r="AW598" s="1759"/>
      <c r="AX598" s="1759"/>
      <c r="AY598" s="1759"/>
      <c r="AZ598" s="1759"/>
      <c r="BA598" s="1759"/>
      <c r="BB598" s="1759"/>
      <c r="BC598" s="1759"/>
      <c r="BD598" s="1759"/>
      <c r="BE598" s="1759"/>
      <c r="BF598" s="1759"/>
      <c r="BG598" s="1056"/>
    </row>
    <row r="599" spans="1:59" x14ac:dyDescent="0.15">
      <c r="A599" s="1050"/>
      <c r="B599" s="1064"/>
      <c r="C599" s="1759" t="str">
        <f>+Nyilatkozatok!BX186</f>
        <v>c) a mezőgazdasági üzemben hőenergia és villamos energia megújuló forrásból történő előállítására irányuló beruházás esetén
ca) az energiatermelő létesítmény csak a kedvezményezett saját energiaszükségletének fedezésére szolgálhat, és termelési kapacitása nem haladhatja meg a mezőgazdasági üzem és az ahhoz kapcsolódó mezőgazdasági háztartás átlagos éves kombinált hőenergia- és villamosenergia-fogyasztását,
cb) az előállított villamos energia hálózatba történő eladásának mértéke nem lépheti túl az energiatermelő létesítmény átlagos éves fogyasztását, és
cc) az előállított energiának meg kell felelnie a 2009/28/EK európai parlamenti és tanácsi irányelv 17. cikk (2)-(6) bekezdésében meghatározott fenntarthatósági kritériumoknak.</v>
      </c>
      <c r="D599" s="1759"/>
      <c r="E599" s="1759"/>
      <c r="F599" s="1759"/>
      <c r="G599" s="1759"/>
      <c r="H599" s="1759"/>
      <c r="I599" s="1759"/>
      <c r="J599" s="1759"/>
      <c r="K599" s="1759"/>
      <c r="L599" s="1759"/>
      <c r="M599" s="1759"/>
      <c r="N599" s="1759"/>
      <c r="O599" s="1759"/>
      <c r="P599" s="1759"/>
      <c r="Q599" s="1759"/>
      <c r="R599" s="1759"/>
      <c r="S599" s="1759"/>
      <c r="T599" s="1759"/>
      <c r="U599" s="1759"/>
      <c r="V599" s="1759"/>
      <c r="W599" s="1759"/>
      <c r="X599" s="1759"/>
      <c r="Y599" s="1759"/>
      <c r="Z599" s="1759"/>
      <c r="AA599" s="1759"/>
      <c r="AB599" s="1759"/>
      <c r="AC599" s="1759"/>
      <c r="AD599" s="1759"/>
      <c r="AE599" s="1759"/>
      <c r="AF599" s="1759"/>
      <c r="AG599" s="1759"/>
      <c r="AH599" s="1759"/>
      <c r="AI599" s="1759"/>
      <c r="AJ599" s="1759"/>
      <c r="AK599" s="1759"/>
      <c r="AL599" s="1759"/>
      <c r="AM599" s="1759"/>
      <c r="AN599" s="1759"/>
      <c r="AO599" s="1759"/>
      <c r="AP599" s="1759"/>
      <c r="AQ599" s="1759"/>
      <c r="AR599" s="1759"/>
      <c r="AS599" s="1759"/>
      <c r="AT599" s="1759"/>
      <c r="AU599" s="1759"/>
      <c r="AV599" s="1759"/>
      <c r="AW599" s="1759"/>
      <c r="AX599" s="1759"/>
      <c r="AY599" s="1759"/>
      <c r="AZ599" s="1759"/>
      <c r="BA599" s="1759"/>
      <c r="BB599" s="1759"/>
      <c r="BC599" s="1759"/>
      <c r="BD599" s="1759"/>
      <c r="BE599" s="1759"/>
      <c r="BF599" s="1759"/>
      <c r="BG599" s="1056"/>
    </row>
    <row r="600" spans="1:59" x14ac:dyDescent="0.15">
      <c r="A600" s="1050"/>
      <c r="B600" s="1064"/>
      <c r="C600" s="1759" t="str">
        <f>+Nyilatkozatok!BX187</f>
        <v xml:space="preserve">Tudomásul veszem, hogy:                                         
</v>
      </c>
      <c r="D600" s="1759"/>
      <c r="E600" s="1759"/>
      <c r="F600" s="1759"/>
      <c r="G600" s="1759"/>
      <c r="H600" s="1759"/>
      <c r="I600" s="1759"/>
      <c r="J600" s="1759"/>
      <c r="K600" s="1759"/>
      <c r="L600" s="1759"/>
      <c r="M600" s="1759"/>
      <c r="N600" s="1759"/>
      <c r="O600" s="1759"/>
      <c r="P600" s="1759"/>
      <c r="Q600" s="1759"/>
      <c r="R600" s="1759"/>
      <c r="S600" s="1759"/>
      <c r="T600" s="1759"/>
      <c r="U600" s="1759"/>
      <c r="V600" s="1759"/>
      <c r="W600" s="1759"/>
      <c r="X600" s="1759"/>
      <c r="Y600" s="1759"/>
      <c r="Z600" s="1759"/>
      <c r="AA600" s="1759"/>
      <c r="AB600" s="1759"/>
      <c r="AC600" s="1759"/>
      <c r="AD600" s="1759"/>
      <c r="AE600" s="1759"/>
      <c r="AF600" s="1759"/>
      <c r="AG600" s="1759"/>
      <c r="AH600" s="1759"/>
      <c r="AI600" s="1759"/>
      <c r="AJ600" s="1759"/>
      <c r="AK600" s="1759"/>
      <c r="AL600" s="1759"/>
      <c r="AM600" s="1759"/>
      <c r="AN600" s="1759"/>
      <c r="AO600" s="1759"/>
      <c r="AP600" s="1759"/>
      <c r="AQ600" s="1759"/>
      <c r="AR600" s="1759"/>
      <c r="AS600" s="1759"/>
      <c r="AT600" s="1759"/>
      <c r="AU600" s="1759"/>
      <c r="AV600" s="1759"/>
      <c r="AW600" s="1759"/>
      <c r="AX600" s="1759"/>
      <c r="AY600" s="1759"/>
      <c r="AZ600" s="1759"/>
      <c r="BA600" s="1759"/>
      <c r="BB600" s="1759"/>
      <c r="BC600" s="1759"/>
      <c r="BD600" s="1759"/>
      <c r="BE600" s="1759"/>
      <c r="BF600" s="1759"/>
      <c r="BG600" s="1056"/>
    </row>
    <row r="601" spans="1:59" ht="32.25" customHeight="1" x14ac:dyDescent="0.15">
      <c r="A601" s="1050"/>
      <c r="B601" s="1064"/>
      <c r="C601" s="1759" t="str">
        <f>+Nyilatkozatok!BX188</f>
        <v>– ha a beruházást saját bioüzemanyag- és energiaszükségletük fedezése céljából több kedvezményezett hajtja végre, az átlagos éves fogyasztást valamennyi kedvezményezett átlagos éves fogyasztásának összegeként kell meghatározni.</v>
      </c>
      <c r="D601" s="1759"/>
      <c r="E601" s="1759"/>
      <c r="F601" s="1759"/>
      <c r="G601" s="1759"/>
      <c r="H601" s="1759"/>
      <c r="I601" s="1759"/>
      <c r="J601" s="1759"/>
      <c r="K601" s="1759"/>
      <c r="L601" s="1759"/>
      <c r="M601" s="1759"/>
      <c r="N601" s="1759"/>
      <c r="O601" s="1759"/>
      <c r="P601" s="1759"/>
      <c r="Q601" s="1759"/>
      <c r="R601" s="1759"/>
      <c r="S601" s="1759"/>
      <c r="T601" s="1759"/>
      <c r="U601" s="1759"/>
      <c r="V601" s="1759"/>
      <c r="W601" s="1759"/>
      <c r="X601" s="1759"/>
      <c r="Y601" s="1759"/>
      <c r="Z601" s="1759"/>
      <c r="AA601" s="1759"/>
      <c r="AB601" s="1759"/>
      <c r="AC601" s="1759"/>
      <c r="AD601" s="1759"/>
      <c r="AE601" s="1759"/>
      <c r="AF601" s="1759"/>
      <c r="AG601" s="1759"/>
      <c r="AH601" s="1759"/>
      <c r="AI601" s="1759"/>
      <c r="AJ601" s="1759"/>
      <c r="AK601" s="1759"/>
      <c r="AL601" s="1759"/>
      <c r="AM601" s="1759"/>
      <c r="AN601" s="1759"/>
      <c r="AO601" s="1759"/>
      <c r="AP601" s="1759"/>
      <c r="AQ601" s="1759"/>
      <c r="AR601" s="1759"/>
      <c r="AS601" s="1759"/>
      <c r="AT601" s="1759"/>
      <c r="AU601" s="1759"/>
      <c r="AV601" s="1759"/>
      <c r="AW601" s="1759"/>
      <c r="AX601" s="1759"/>
      <c r="AY601" s="1759"/>
      <c r="AZ601" s="1759"/>
      <c r="BA601" s="1759"/>
      <c r="BB601" s="1759"/>
      <c r="BC601" s="1759"/>
      <c r="BD601" s="1759"/>
      <c r="BE601" s="1759"/>
      <c r="BF601" s="1759"/>
      <c r="BG601" s="1056"/>
    </row>
    <row r="602" spans="1:59" ht="29.25" customHeight="1" x14ac:dyDescent="0.15">
      <c r="A602" s="1050"/>
      <c r="B602" s="1064"/>
      <c r="C602" s="1759" t="str">
        <f>+Nyilatkozatok!BX189</f>
        <v xml:space="preserve"> – az energiát fogyasztó vagy termelő, valamely megújuló energiához kapcsolódó infrastruktúrára irányuló beruházásnak meg kell felelnie a nemzeti energiahatékonysági szabványoknak.</v>
      </c>
      <c r="D602" s="1759"/>
      <c r="E602" s="1759"/>
      <c r="F602" s="1759"/>
      <c r="G602" s="1759"/>
      <c r="H602" s="1759"/>
      <c r="I602" s="1759"/>
      <c r="J602" s="1759"/>
      <c r="K602" s="1759"/>
      <c r="L602" s="1759"/>
      <c r="M602" s="1759"/>
      <c r="N602" s="1759"/>
      <c r="O602" s="1759"/>
      <c r="P602" s="1759"/>
      <c r="Q602" s="1759"/>
      <c r="R602" s="1759"/>
      <c r="S602" s="1759"/>
      <c r="T602" s="1759"/>
      <c r="U602" s="1759"/>
      <c r="V602" s="1759"/>
      <c r="W602" s="1759"/>
      <c r="X602" s="1759"/>
      <c r="Y602" s="1759"/>
      <c r="Z602" s="1759"/>
      <c r="AA602" s="1759"/>
      <c r="AB602" s="1759"/>
      <c r="AC602" s="1759"/>
      <c r="AD602" s="1759"/>
      <c r="AE602" s="1759"/>
      <c r="AF602" s="1759"/>
      <c r="AG602" s="1759"/>
      <c r="AH602" s="1759"/>
      <c r="AI602" s="1759"/>
      <c r="AJ602" s="1759"/>
      <c r="AK602" s="1759"/>
      <c r="AL602" s="1759"/>
      <c r="AM602" s="1759"/>
      <c r="AN602" s="1759"/>
      <c r="AO602" s="1759"/>
      <c r="AP602" s="1759"/>
      <c r="AQ602" s="1759"/>
      <c r="AR602" s="1759"/>
      <c r="AS602" s="1759"/>
      <c r="AT602" s="1759"/>
      <c r="AU602" s="1759"/>
      <c r="AV602" s="1759"/>
      <c r="AW602" s="1759"/>
      <c r="AX602" s="1759"/>
      <c r="AY602" s="1759"/>
      <c r="AZ602" s="1759"/>
      <c r="BA602" s="1759"/>
      <c r="BB602" s="1759"/>
      <c r="BC602" s="1759"/>
      <c r="BD602" s="1759"/>
      <c r="BE602" s="1759"/>
      <c r="BF602" s="1759"/>
      <c r="BG602" s="1056"/>
    </row>
    <row r="603" spans="1:59" ht="14.25" customHeight="1" x14ac:dyDescent="0.15">
      <c r="A603" s="1050"/>
      <c r="B603" s="1064"/>
      <c r="C603" s="1759" t="str">
        <f>+Nyilatkozatok!BX190</f>
        <v>Elsődlegesen biomassza-alapú villamosenergia-termelésre irányuló beruházás esetén kijelentem, hogy a nemzeti előírás szerinti arányban hőenergiát is hasznosítok.</v>
      </c>
      <c r="D603" s="1759"/>
      <c r="E603" s="1759"/>
      <c r="F603" s="1759"/>
      <c r="G603" s="1759"/>
      <c r="H603" s="1759"/>
      <c r="I603" s="1759"/>
      <c r="J603" s="1759"/>
      <c r="K603" s="1759"/>
      <c r="L603" s="1759"/>
      <c r="M603" s="1759"/>
      <c r="N603" s="1759"/>
      <c r="O603" s="1759"/>
      <c r="P603" s="1759"/>
      <c r="Q603" s="1759"/>
      <c r="R603" s="1759"/>
      <c r="S603" s="1759"/>
      <c r="T603" s="1759"/>
      <c r="U603" s="1759"/>
      <c r="V603" s="1759"/>
      <c r="W603" s="1759"/>
      <c r="X603" s="1759"/>
      <c r="Y603" s="1759"/>
      <c r="Z603" s="1759"/>
      <c r="AA603" s="1759"/>
      <c r="AB603" s="1759"/>
      <c r="AC603" s="1759"/>
      <c r="AD603" s="1759"/>
      <c r="AE603" s="1759"/>
      <c r="AF603" s="1759"/>
      <c r="AG603" s="1759"/>
      <c r="AH603" s="1759"/>
      <c r="AI603" s="1759"/>
      <c r="AJ603" s="1759"/>
      <c r="AK603" s="1759"/>
      <c r="AL603" s="1759"/>
      <c r="AM603" s="1759"/>
      <c r="AN603" s="1759"/>
      <c r="AO603" s="1759"/>
      <c r="AP603" s="1759"/>
      <c r="AQ603" s="1759"/>
      <c r="AR603" s="1759"/>
      <c r="AS603" s="1759"/>
      <c r="AT603" s="1759"/>
      <c r="AU603" s="1759"/>
      <c r="AV603" s="1759"/>
      <c r="AW603" s="1759"/>
      <c r="AX603" s="1759"/>
      <c r="AY603" s="1759"/>
      <c r="AZ603" s="1759"/>
      <c r="BA603" s="1759"/>
      <c r="BB603" s="1759"/>
      <c r="BC603" s="1759"/>
      <c r="BD603" s="1759"/>
      <c r="BE603" s="1759"/>
      <c r="BF603" s="1759"/>
      <c r="BG603" s="1056"/>
    </row>
    <row r="604" spans="1:59" ht="44.25" customHeight="1" x14ac:dyDescent="0.15">
      <c r="A604" s="1050"/>
      <c r="B604" s="1064"/>
      <c r="C604" s="1759" t="str">
        <f>+Nyilatkozatok!BX191</f>
        <v>Öntözéssel kapcsolatos beruházás esetén kijelentem, hogy a beruházás nem érint olyan felszín alatti vagy felszíni víztestet, amely a vonatkozó vízgyűjtő-gazdálkodási tervben vízmennyiséggel kapcsolatos ok miatt „jó” minősítésnél rosszabb minősítésű, továbbá nem olyan felszín alatti vagy felszíni víztestet érintő beruházást valósítok meg, amely az öntözött területek nettó növekedését eredményezi.</v>
      </c>
      <c r="D604" s="1759"/>
      <c r="E604" s="1759"/>
      <c r="F604" s="1759"/>
      <c r="G604" s="1759"/>
      <c r="H604" s="1759"/>
      <c r="I604" s="1759"/>
      <c r="J604" s="1759"/>
      <c r="K604" s="1759"/>
      <c r="L604" s="1759"/>
      <c r="M604" s="1759"/>
      <c r="N604" s="1759"/>
      <c r="O604" s="1759"/>
      <c r="P604" s="1759"/>
      <c r="Q604" s="1759"/>
      <c r="R604" s="1759"/>
      <c r="S604" s="1759"/>
      <c r="T604" s="1759"/>
      <c r="U604" s="1759"/>
      <c r="V604" s="1759"/>
      <c r="W604" s="1759"/>
      <c r="X604" s="1759"/>
      <c r="Y604" s="1759"/>
      <c r="Z604" s="1759"/>
      <c r="AA604" s="1759"/>
      <c r="AB604" s="1759"/>
      <c r="AC604" s="1759"/>
      <c r="AD604" s="1759"/>
      <c r="AE604" s="1759"/>
      <c r="AF604" s="1759"/>
      <c r="AG604" s="1759"/>
      <c r="AH604" s="1759"/>
      <c r="AI604" s="1759"/>
      <c r="AJ604" s="1759"/>
      <c r="AK604" s="1759"/>
      <c r="AL604" s="1759"/>
      <c r="AM604" s="1759"/>
      <c r="AN604" s="1759"/>
      <c r="AO604" s="1759"/>
      <c r="AP604" s="1759"/>
      <c r="AQ604" s="1759"/>
      <c r="AR604" s="1759"/>
      <c r="AS604" s="1759"/>
      <c r="AT604" s="1759"/>
      <c r="AU604" s="1759"/>
      <c r="AV604" s="1759"/>
      <c r="AW604" s="1759"/>
      <c r="AX604" s="1759"/>
      <c r="AY604" s="1759"/>
      <c r="AZ604" s="1759"/>
      <c r="BA604" s="1759"/>
      <c r="BB604" s="1759"/>
      <c r="BC604" s="1759"/>
      <c r="BD604" s="1759"/>
      <c r="BE604" s="1759"/>
      <c r="BF604" s="1759"/>
      <c r="BG604" s="1056"/>
    </row>
    <row r="605" spans="1:59" ht="15.75" customHeight="1" x14ac:dyDescent="0.15">
      <c r="A605" s="1050"/>
      <c r="B605" s="1064"/>
      <c r="C605" s="1759" t="str">
        <f>+Nyilatkozatok!BX192</f>
        <v xml:space="preserve">Az alábbiak közül legalább egy állítás kiválasztásával nyilatkozom, hogy </v>
      </c>
      <c r="D605" s="1759"/>
      <c r="E605" s="1759"/>
      <c r="F605" s="1759"/>
      <c r="G605" s="1759"/>
      <c r="H605" s="1759"/>
      <c r="I605" s="1759"/>
      <c r="J605" s="1759"/>
      <c r="K605" s="1759"/>
      <c r="L605" s="1759"/>
      <c r="M605" s="1759"/>
      <c r="N605" s="1759"/>
      <c r="O605" s="1759"/>
      <c r="P605" s="1759"/>
      <c r="Q605" s="1759"/>
      <c r="R605" s="1759"/>
      <c r="S605" s="1759"/>
      <c r="T605" s="1759"/>
      <c r="U605" s="1759"/>
      <c r="V605" s="1759"/>
      <c r="W605" s="1759"/>
      <c r="X605" s="1759"/>
      <c r="Y605" s="1759"/>
      <c r="Z605" s="1759"/>
      <c r="AA605" s="1759"/>
      <c r="AB605" s="1759"/>
      <c r="AC605" s="1759"/>
      <c r="AD605" s="1759"/>
      <c r="AE605" s="1759"/>
      <c r="AF605" s="1759"/>
      <c r="AG605" s="1759"/>
      <c r="AH605" s="1759"/>
      <c r="AI605" s="1759"/>
      <c r="AJ605" s="1759"/>
      <c r="AK605" s="1759"/>
      <c r="AL605" s="1759"/>
      <c r="AM605" s="1759"/>
      <c r="AN605" s="1759"/>
      <c r="AO605" s="1759"/>
      <c r="AP605" s="1759"/>
      <c r="AQ605" s="1759"/>
      <c r="AR605" s="1759"/>
      <c r="AS605" s="1759"/>
      <c r="AT605" s="1759"/>
      <c r="AU605" s="1759"/>
      <c r="AV605" s="1759"/>
      <c r="AW605" s="1759"/>
      <c r="AX605" s="1759"/>
      <c r="AY605" s="1759"/>
      <c r="AZ605" s="1759"/>
      <c r="BA605" s="1759"/>
      <c r="BB605" s="1759"/>
      <c r="BC605" s="1759"/>
      <c r="BD605" s="1759"/>
      <c r="BE605" s="1759"/>
      <c r="BF605" s="1759"/>
      <c r="BG605" s="1056"/>
    </row>
    <row r="606" spans="1:59" ht="36.75" customHeight="1" x14ac:dyDescent="0.15">
      <c r="A606" s="1050"/>
      <c r="B606" s="1064"/>
      <c r="C606" s="1759" t="str">
        <f>+Nyilatkozatok!BX193</f>
        <v>fiatal mezőgazdasági termelő vagyok, vagy olyan mezőgazdasági termelő vagyok, aki a hitelkérelem benyújtásának időpontját megelőző öt évben kezdte meg gazdálkodói tevékenységét.</v>
      </c>
      <c r="D606" s="1759"/>
      <c r="E606" s="1759"/>
      <c r="F606" s="1759"/>
      <c r="G606" s="1759"/>
      <c r="H606" s="1759"/>
      <c r="I606" s="1759"/>
      <c r="J606" s="1759"/>
      <c r="K606" s="1759"/>
      <c r="L606" s="1759"/>
      <c r="M606" s="1759"/>
      <c r="N606" s="1759"/>
      <c r="O606" s="1759"/>
      <c r="P606" s="1759"/>
      <c r="Q606" s="1759"/>
      <c r="R606" s="1759"/>
      <c r="S606" s="1759"/>
      <c r="T606" s="1759"/>
      <c r="U606" s="1759"/>
      <c r="V606" s="1759"/>
      <c r="W606" s="1759"/>
      <c r="X606" s="1759"/>
      <c r="Y606" s="1759"/>
      <c r="Z606" s="1759"/>
      <c r="AA606" s="1759"/>
      <c r="AB606" s="1759"/>
      <c r="AC606" s="1759"/>
      <c r="AD606" s="1759"/>
      <c r="AE606" s="1759"/>
      <c r="AF606" s="1759"/>
      <c r="AG606" s="1759"/>
      <c r="AH606" s="1759"/>
      <c r="AI606" s="1759"/>
      <c r="AJ606" s="1759"/>
      <c r="AK606" s="1759"/>
      <c r="AL606" s="1759"/>
      <c r="AM606" s="1759"/>
      <c r="AN606" s="1759"/>
      <c r="AO606" s="1759"/>
      <c r="AP606" s="1759"/>
      <c r="AQ606" s="1759"/>
      <c r="AR606" s="1759"/>
      <c r="AS606" s="1759"/>
      <c r="AT606" s="1759"/>
      <c r="AU606" s="1759"/>
      <c r="AV606" s="1759"/>
      <c r="AW606" s="1759"/>
      <c r="AX606" s="1759"/>
      <c r="AY606" s="1759"/>
      <c r="AZ606" s="1759"/>
      <c r="BA606" s="1759"/>
      <c r="BB606" s="1759"/>
      <c r="BC606" s="1759"/>
      <c r="BD606" s="1759"/>
      <c r="BE606" s="1759"/>
      <c r="BF606" s="1759"/>
      <c r="BG606" s="1056"/>
    </row>
    <row r="607" spans="1:59" ht="51" customHeight="1" x14ac:dyDescent="0.15">
      <c r="A607" s="1050"/>
      <c r="B607" s="1064"/>
      <c r="C607" s="1759" t="str">
        <f>+Nyilatkozatok!BX194</f>
        <v>kollektív beruházást hajtok végre (pl. mezőgazdasági termelők egy csoportja által használt raktározási létesítmények, vagy mezőgazdasági termékeknek a forgalmazásra való előkészítésére szolgáló létesítmények, valamint az 1305/2013/EU rendeletben előírt intézkedések közül többre is kiterjedő integrált projektek, beleértve a termelői szervezetek egyesüléséhez kapcsolódókat is)</v>
      </c>
      <c r="D607" s="1759"/>
      <c r="E607" s="1759"/>
      <c r="F607" s="1759"/>
      <c r="G607" s="1759"/>
      <c r="H607" s="1759"/>
      <c r="I607" s="1759"/>
      <c r="J607" s="1759"/>
      <c r="K607" s="1759"/>
      <c r="L607" s="1759"/>
      <c r="M607" s="1759"/>
      <c r="N607" s="1759"/>
      <c r="O607" s="1759"/>
      <c r="P607" s="1759"/>
      <c r="Q607" s="1759"/>
      <c r="R607" s="1759"/>
      <c r="S607" s="1759"/>
      <c r="T607" s="1759"/>
      <c r="U607" s="1759"/>
      <c r="V607" s="1759"/>
      <c r="W607" s="1759"/>
      <c r="X607" s="1759"/>
      <c r="Y607" s="1759"/>
      <c r="Z607" s="1759"/>
      <c r="AA607" s="1759"/>
      <c r="AB607" s="1759"/>
      <c r="AC607" s="1759"/>
      <c r="AD607" s="1759"/>
      <c r="AE607" s="1759"/>
      <c r="AF607" s="1759"/>
      <c r="AG607" s="1759"/>
      <c r="AH607" s="1759"/>
      <c r="AI607" s="1759"/>
      <c r="AJ607" s="1759"/>
      <c r="AK607" s="1759"/>
      <c r="AL607" s="1759"/>
      <c r="AM607" s="1759"/>
      <c r="AN607" s="1759"/>
      <c r="AO607" s="1759"/>
      <c r="AP607" s="1759"/>
      <c r="AQ607" s="1759"/>
      <c r="AR607" s="1759"/>
      <c r="AS607" s="1759"/>
      <c r="AT607" s="1759"/>
      <c r="AU607" s="1759"/>
      <c r="AV607" s="1759"/>
      <c r="AW607" s="1759"/>
      <c r="AX607" s="1759"/>
      <c r="AY607" s="1759"/>
      <c r="AZ607" s="1759"/>
      <c r="BA607" s="1759"/>
      <c r="BB607" s="1759"/>
      <c r="BC607" s="1759"/>
      <c r="BD607" s="1759"/>
      <c r="BE607" s="1759"/>
      <c r="BF607" s="1759"/>
      <c r="BG607" s="1056"/>
    </row>
    <row r="608" spans="1:59" x14ac:dyDescent="0.15">
      <c r="A608" s="1050"/>
      <c r="B608" s="1064"/>
      <c r="C608" s="1759" t="str">
        <f>+Nyilatkozatok!BX195</f>
        <v>természeti és egyéb sajátos hátrányokkal rendelkező területeken valósítom meg a hitelkérelem tárgyát képező beruházást</v>
      </c>
      <c r="D608" s="1759"/>
      <c r="E608" s="1759"/>
      <c r="F608" s="1759"/>
      <c r="G608" s="1759"/>
      <c r="H608" s="1759"/>
      <c r="I608" s="1759"/>
      <c r="J608" s="1759"/>
      <c r="K608" s="1759"/>
      <c r="L608" s="1759"/>
      <c r="M608" s="1759"/>
      <c r="N608" s="1759"/>
      <c r="O608" s="1759"/>
      <c r="P608" s="1759"/>
      <c r="Q608" s="1759"/>
      <c r="R608" s="1759"/>
      <c r="S608" s="1759"/>
      <c r="T608" s="1759"/>
      <c r="U608" s="1759"/>
      <c r="V608" s="1759"/>
      <c r="W608" s="1759"/>
      <c r="X608" s="1759"/>
      <c r="Y608" s="1759"/>
      <c r="Z608" s="1759"/>
      <c r="AA608" s="1759"/>
      <c r="AB608" s="1759"/>
      <c r="AC608" s="1759"/>
      <c r="AD608" s="1759"/>
      <c r="AE608" s="1759"/>
      <c r="AF608" s="1759"/>
      <c r="AG608" s="1759"/>
      <c r="AH608" s="1759"/>
      <c r="AI608" s="1759"/>
      <c r="AJ608" s="1759"/>
      <c r="AK608" s="1759"/>
      <c r="AL608" s="1759"/>
      <c r="AM608" s="1759"/>
      <c r="AN608" s="1759"/>
      <c r="AO608" s="1759"/>
      <c r="AP608" s="1759"/>
      <c r="AQ608" s="1759"/>
      <c r="AR608" s="1759"/>
      <c r="AS608" s="1759"/>
      <c r="AT608" s="1759"/>
      <c r="AU608" s="1759"/>
      <c r="AV608" s="1759"/>
      <c r="AW608" s="1759"/>
      <c r="AX608" s="1759"/>
      <c r="AY608" s="1759"/>
      <c r="AZ608" s="1759"/>
      <c r="BA608" s="1759"/>
      <c r="BB608" s="1759"/>
      <c r="BC608" s="1759"/>
      <c r="BD608" s="1759"/>
      <c r="BE608" s="1759"/>
      <c r="BF608" s="1759"/>
      <c r="BG608" s="1056"/>
    </row>
    <row r="609" spans="1:59" ht="50.25" customHeight="1" x14ac:dyDescent="0.15">
      <c r="A609" s="1050"/>
      <c r="B609" s="1064"/>
      <c r="C609" s="1759" t="str">
        <f>+Nyilatkozatok!BX196</f>
        <v>ez európai innovációs partnerség (EIP) keretében támogatott műveletet hajtok végre (pl. olyan új istálló létesítésére irányuló beruházást, amely lehetővéteszi valamely mezőgazdasági termelőkből, tudósokból, valamint állatjóléti nem kormányzati szervezetek képviselőiből álló operatív csoport által kifejlesztett új állattartási gyakorlat kipróbálását.)</v>
      </c>
      <c r="D609" s="1759"/>
      <c r="E609" s="1759"/>
      <c r="F609" s="1759"/>
      <c r="G609" s="1759"/>
      <c r="H609" s="1759"/>
      <c r="I609" s="1759"/>
      <c r="J609" s="1759"/>
      <c r="K609" s="1759"/>
      <c r="L609" s="1759"/>
      <c r="M609" s="1759"/>
      <c r="N609" s="1759"/>
      <c r="O609" s="1759"/>
      <c r="P609" s="1759"/>
      <c r="Q609" s="1759"/>
      <c r="R609" s="1759"/>
      <c r="S609" s="1759"/>
      <c r="T609" s="1759"/>
      <c r="U609" s="1759"/>
      <c r="V609" s="1759"/>
      <c r="W609" s="1759"/>
      <c r="X609" s="1759"/>
      <c r="Y609" s="1759"/>
      <c r="Z609" s="1759"/>
      <c r="AA609" s="1759"/>
      <c r="AB609" s="1759"/>
      <c r="AC609" s="1759"/>
      <c r="AD609" s="1759"/>
      <c r="AE609" s="1759"/>
      <c r="AF609" s="1759"/>
      <c r="AG609" s="1759"/>
      <c r="AH609" s="1759"/>
      <c r="AI609" s="1759"/>
      <c r="AJ609" s="1759"/>
      <c r="AK609" s="1759"/>
      <c r="AL609" s="1759"/>
      <c r="AM609" s="1759"/>
      <c r="AN609" s="1759"/>
      <c r="AO609" s="1759"/>
      <c r="AP609" s="1759"/>
      <c r="AQ609" s="1759"/>
      <c r="AR609" s="1759"/>
      <c r="AS609" s="1759"/>
      <c r="AT609" s="1759"/>
      <c r="AU609" s="1759"/>
      <c r="AV609" s="1759"/>
      <c r="AW609" s="1759"/>
      <c r="AX609" s="1759"/>
      <c r="AY609" s="1759"/>
      <c r="AZ609" s="1759"/>
      <c r="BA609" s="1759"/>
      <c r="BB609" s="1759"/>
      <c r="BC609" s="1759"/>
      <c r="BD609" s="1759"/>
      <c r="BE609" s="1759"/>
      <c r="BF609" s="1759"/>
      <c r="BG609" s="1056"/>
    </row>
    <row r="610" spans="1:59" ht="36.75" customHeight="1" x14ac:dyDescent="0.15">
      <c r="A610" s="1050"/>
      <c r="B610" s="1064"/>
      <c r="C610" s="1759" t="str">
        <f>+Nyilatkozatok!BX197</f>
        <v>természeti környezet minőségének, a higiéniai körülményeknek vagy az állatjólét színvonalának a javítására irányuló beruházást hajtok végre, amely a hatályban lévő uniós előírásokat meghaladó szint eléréséhez vezet, de nem vezet a termelési kapacitások növekedéséhez</v>
      </c>
      <c r="D610" s="1759"/>
      <c r="E610" s="1759"/>
      <c r="F610" s="1759"/>
      <c r="G610" s="1759"/>
      <c r="H610" s="1759"/>
      <c r="I610" s="1759"/>
      <c r="J610" s="1759"/>
      <c r="K610" s="1759"/>
      <c r="L610" s="1759"/>
      <c r="M610" s="1759"/>
      <c r="N610" s="1759"/>
      <c r="O610" s="1759"/>
      <c r="P610" s="1759"/>
      <c r="Q610" s="1759"/>
      <c r="R610" s="1759"/>
      <c r="S610" s="1759"/>
      <c r="T610" s="1759"/>
      <c r="U610" s="1759"/>
      <c r="V610" s="1759"/>
      <c r="W610" s="1759"/>
      <c r="X610" s="1759"/>
      <c r="Y610" s="1759"/>
      <c r="Z610" s="1759"/>
      <c r="AA610" s="1759"/>
      <c r="AB610" s="1759"/>
      <c r="AC610" s="1759"/>
      <c r="AD610" s="1759"/>
      <c r="AE610" s="1759"/>
      <c r="AF610" s="1759"/>
      <c r="AG610" s="1759"/>
      <c r="AH610" s="1759"/>
      <c r="AI610" s="1759"/>
      <c r="AJ610" s="1759"/>
      <c r="AK610" s="1759"/>
      <c r="AL610" s="1759"/>
      <c r="AM610" s="1759"/>
      <c r="AN610" s="1759"/>
      <c r="AO610" s="1759"/>
      <c r="AP610" s="1759"/>
      <c r="AQ610" s="1759"/>
      <c r="AR610" s="1759"/>
      <c r="AS610" s="1759"/>
      <c r="AT610" s="1759"/>
      <c r="AU610" s="1759"/>
      <c r="AV610" s="1759"/>
      <c r="AW610" s="1759"/>
      <c r="AX610" s="1759"/>
      <c r="AY610" s="1759"/>
      <c r="AZ610" s="1759"/>
      <c r="BA610" s="1759"/>
      <c r="BB610" s="1759"/>
      <c r="BC610" s="1759"/>
      <c r="BD610" s="1759"/>
      <c r="BE610" s="1759"/>
      <c r="BF610" s="1759"/>
      <c r="BG610" s="1056"/>
    </row>
    <row r="611" spans="1:59" x14ac:dyDescent="0.15">
      <c r="A611" s="1050"/>
      <c r="B611" s="1064"/>
      <c r="C611" s="1759" t="str">
        <f>+Nyilatkozatok!BX198</f>
        <v>3d) pont szerinti nem termelő beruházást, vagy 3e) pont szerinti természeti potenciál helyreállítására irányuló beruházást hajtok végre.</v>
      </c>
      <c r="D611" s="1759"/>
      <c r="E611" s="1759"/>
      <c r="F611" s="1759"/>
      <c r="G611" s="1759"/>
      <c r="H611" s="1759"/>
      <c r="I611" s="1759"/>
      <c r="J611" s="1759"/>
      <c r="K611" s="1759"/>
      <c r="L611" s="1759"/>
      <c r="M611" s="1759"/>
      <c r="N611" s="1759"/>
      <c r="O611" s="1759"/>
      <c r="P611" s="1759"/>
      <c r="Q611" s="1759"/>
      <c r="R611" s="1759"/>
      <c r="S611" s="1759"/>
      <c r="T611" s="1759"/>
      <c r="U611" s="1759"/>
      <c r="V611" s="1759"/>
      <c r="W611" s="1759"/>
      <c r="X611" s="1759"/>
      <c r="Y611" s="1759"/>
      <c r="Z611" s="1759"/>
      <c r="AA611" s="1759"/>
      <c r="AB611" s="1759"/>
      <c r="AC611" s="1759"/>
      <c r="AD611" s="1759"/>
      <c r="AE611" s="1759"/>
      <c r="AF611" s="1759"/>
      <c r="AG611" s="1759"/>
      <c r="AH611" s="1759"/>
      <c r="AI611" s="1759"/>
      <c r="AJ611" s="1759"/>
      <c r="AK611" s="1759"/>
      <c r="AL611" s="1759"/>
      <c r="AM611" s="1759"/>
      <c r="AN611" s="1759"/>
      <c r="AO611" s="1759"/>
      <c r="AP611" s="1759"/>
      <c r="AQ611" s="1759"/>
      <c r="AR611" s="1759"/>
      <c r="AS611" s="1759"/>
      <c r="AT611" s="1759"/>
      <c r="AU611" s="1759"/>
      <c r="AV611" s="1759"/>
      <c r="AW611" s="1759"/>
      <c r="AX611" s="1759"/>
      <c r="AY611" s="1759"/>
      <c r="AZ611" s="1759"/>
      <c r="BA611" s="1759"/>
      <c r="BB611" s="1759"/>
      <c r="BC611" s="1759"/>
      <c r="BD611" s="1759"/>
      <c r="BE611" s="1759"/>
      <c r="BF611" s="1759"/>
      <c r="BG611" s="1056"/>
    </row>
    <row r="612" spans="1:59" x14ac:dyDescent="0.15">
      <c r="A612" s="1050"/>
      <c r="B612" s="1064"/>
      <c r="C612" s="1759" t="str">
        <f>+Nyilatkozatok!BX199</f>
        <v>3e) pont szerinti megelőző intézkedésekkel kapcsolatos beruházást hajtok végre.</v>
      </c>
      <c r="D612" s="1759"/>
      <c r="E612" s="1759"/>
      <c r="F612" s="1759"/>
      <c r="G612" s="1759"/>
      <c r="H612" s="1759"/>
      <c r="I612" s="1759"/>
      <c r="J612" s="1759"/>
      <c r="K612" s="1759"/>
      <c r="L612" s="1759"/>
      <c r="M612" s="1759"/>
      <c r="N612" s="1759"/>
      <c r="O612" s="1759"/>
      <c r="P612" s="1759"/>
      <c r="Q612" s="1759"/>
      <c r="R612" s="1759"/>
      <c r="S612" s="1759"/>
      <c r="T612" s="1759"/>
      <c r="U612" s="1759"/>
      <c r="V612" s="1759"/>
      <c r="W612" s="1759"/>
      <c r="X612" s="1759"/>
      <c r="Y612" s="1759"/>
      <c r="Z612" s="1759"/>
      <c r="AA612" s="1759"/>
      <c r="AB612" s="1759"/>
      <c r="AC612" s="1759"/>
      <c r="AD612" s="1759"/>
      <c r="AE612" s="1759"/>
      <c r="AF612" s="1759"/>
      <c r="AG612" s="1759"/>
      <c r="AH612" s="1759"/>
      <c r="AI612" s="1759"/>
      <c r="AJ612" s="1759"/>
      <c r="AK612" s="1759"/>
      <c r="AL612" s="1759"/>
      <c r="AM612" s="1759"/>
      <c r="AN612" s="1759"/>
      <c r="AO612" s="1759"/>
      <c r="AP612" s="1759"/>
      <c r="AQ612" s="1759"/>
      <c r="AR612" s="1759"/>
      <c r="AS612" s="1759"/>
      <c r="AT612" s="1759"/>
      <c r="AU612" s="1759"/>
      <c r="AV612" s="1759"/>
      <c r="AW612" s="1759"/>
      <c r="AX612" s="1759"/>
      <c r="AY612" s="1759"/>
      <c r="AZ612" s="1759"/>
      <c r="BA612" s="1759"/>
      <c r="BB612" s="1759"/>
      <c r="BC612" s="1759"/>
      <c r="BD612" s="1759"/>
      <c r="BE612" s="1759"/>
      <c r="BF612" s="1759"/>
      <c r="BG612" s="1056"/>
    </row>
    <row r="613" spans="1:59" x14ac:dyDescent="0.15">
      <c r="A613" s="1050"/>
      <c r="B613" s="1064"/>
      <c r="C613" s="1759" t="str">
        <f>+Nyilatkozatok!BX200</f>
        <v>3e) pont szerinti megelőző intézkedésekkel kapcsolatos beruházást hajtok végre és a beruházást több kedvezményezett közösen valósítja meg.</v>
      </c>
      <c r="D613" s="1759"/>
      <c r="E613" s="1759"/>
      <c r="F613" s="1759"/>
      <c r="G613" s="1759"/>
      <c r="H613" s="1759"/>
      <c r="I613" s="1759"/>
      <c r="J613" s="1759"/>
      <c r="K613" s="1759"/>
      <c r="L613" s="1759"/>
      <c r="M613" s="1759"/>
      <c r="N613" s="1759"/>
      <c r="O613" s="1759"/>
      <c r="P613" s="1759"/>
      <c r="Q613" s="1759"/>
      <c r="R613" s="1759"/>
      <c r="S613" s="1759"/>
      <c r="T613" s="1759"/>
      <c r="U613" s="1759"/>
      <c r="V613" s="1759"/>
      <c r="W613" s="1759"/>
      <c r="X613" s="1759"/>
      <c r="Y613" s="1759"/>
      <c r="Z613" s="1759"/>
      <c r="AA613" s="1759"/>
      <c r="AB613" s="1759"/>
      <c r="AC613" s="1759"/>
      <c r="AD613" s="1759"/>
      <c r="AE613" s="1759"/>
      <c r="AF613" s="1759"/>
      <c r="AG613" s="1759"/>
      <c r="AH613" s="1759"/>
      <c r="AI613" s="1759"/>
      <c r="AJ613" s="1759"/>
      <c r="AK613" s="1759"/>
      <c r="AL613" s="1759"/>
      <c r="AM613" s="1759"/>
      <c r="AN613" s="1759"/>
      <c r="AO613" s="1759"/>
      <c r="AP613" s="1759"/>
      <c r="AQ613" s="1759"/>
      <c r="AR613" s="1759"/>
      <c r="AS613" s="1759"/>
      <c r="AT613" s="1759"/>
      <c r="AU613" s="1759"/>
      <c r="AV613" s="1759"/>
      <c r="AW613" s="1759"/>
      <c r="AX613" s="1759"/>
      <c r="AY613" s="1759"/>
      <c r="AZ613" s="1759"/>
      <c r="BA613" s="1759"/>
      <c r="BB613" s="1759"/>
      <c r="BC613" s="1759"/>
      <c r="BD613" s="1759"/>
      <c r="BE613" s="1759"/>
      <c r="BF613" s="1759"/>
      <c r="BG613" s="1056"/>
    </row>
    <row r="614" spans="1:59" x14ac:dyDescent="0.15">
      <c r="A614" s="1050"/>
      <c r="B614" s="1064"/>
      <c r="C614" s="1759" t="str">
        <f>+Nyilatkozatok!BX201</f>
        <v>A fentiek egyike sem áll fenn.</v>
      </c>
      <c r="D614" s="1759"/>
      <c r="E614" s="1759"/>
      <c r="F614" s="1759"/>
      <c r="G614" s="1759"/>
      <c r="H614" s="1759"/>
      <c r="I614" s="1759"/>
      <c r="J614" s="1759"/>
      <c r="K614" s="1759"/>
      <c r="L614" s="1759"/>
      <c r="M614" s="1759"/>
      <c r="N614" s="1759"/>
      <c r="O614" s="1759"/>
      <c r="P614" s="1759"/>
      <c r="Q614" s="1759"/>
      <c r="R614" s="1759"/>
      <c r="S614" s="1759"/>
      <c r="T614" s="1759"/>
      <c r="U614" s="1759"/>
      <c r="V614" s="1759"/>
      <c r="W614" s="1759"/>
      <c r="X614" s="1759"/>
      <c r="Y614" s="1759"/>
      <c r="Z614" s="1759"/>
      <c r="AA614" s="1759"/>
      <c r="AB614" s="1759"/>
      <c r="AC614" s="1759"/>
      <c r="AD614" s="1759"/>
      <c r="AE614" s="1759"/>
      <c r="AF614" s="1759"/>
      <c r="AG614" s="1759"/>
      <c r="AH614" s="1759"/>
      <c r="AI614" s="1759"/>
      <c r="AJ614" s="1759"/>
      <c r="AK614" s="1759"/>
      <c r="AL614" s="1759"/>
      <c r="AM614" s="1759"/>
      <c r="AN614" s="1759"/>
      <c r="AO614" s="1759"/>
      <c r="AP614" s="1759"/>
      <c r="AQ614" s="1759"/>
      <c r="AR614" s="1759"/>
      <c r="AS614" s="1759"/>
      <c r="AT614" s="1759"/>
      <c r="AU614" s="1759"/>
      <c r="AV614" s="1759"/>
      <c r="AW614" s="1759"/>
      <c r="AX614" s="1759"/>
      <c r="AY614" s="1759"/>
      <c r="AZ614" s="1759"/>
      <c r="BA614" s="1759"/>
      <c r="BB614" s="1759"/>
      <c r="BC614" s="1759"/>
      <c r="BD614" s="1759"/>
      <c r="BE614" s="1759"/>
      <c r="BF614" s="1759"/>
      <c r="BG614" s="1056"/>
    </row>
    <row r="615" spans="1:59" x14ac:dyDescent="0.15">
      <c r="A615" s="1050"/>
      <c r="B615" s="1064"/>
      <c r="C615" s="1779" t="s">
        <v>787</v>
      </c>
      <c r="D615" s="1761"/>
      <c r="E615" s="1761"/>
      <c r="F615" s="1761"/>
      <c r="G615" s="1761"/>
      <c r="H615" s="1761"/>
      <c r="I615" s="1761"/>
      <c r="J615" s="1761"/>
      <c r="K615" s="1761"/>
      <c r="L615" s="1761"/>
      <c r="M615" s="1761"/>
      <c r="N615" s="1761"/>
      <c r="O615" s="1761"/>
      <c r="P615" s="1761"/>
      <c r="Q615" s="1761"/>
      <c r="R615" s="1761"/>
      <c r="S615" s="1761"/>
      <c r="T615" s="1761"/>
      <c r="U615" s="1761"/>
      <c r="V615" s="1761"/>
      <c r="W615" s="1761"/>
      <c r="X615" s="1761"/>
      <c r="Y615" s="1761"/>
      <c r="Z615" s="1761"/>
      <c r="AA615" s="1761"/>
      <c r="AB615" s="1761"/>
      <c r="AC615" s="1761"/>
      <c r="AD615" s="1761"/>
      <c r="AE615" s="1761"/>
      <c r="AF615" s="1761"/>
      <c r="AG615" s="1761"/>
      <c r="AH615" s="1761"/>
      <c r="AI615" s="1761"/>
      <c r="AJ615" s="1761"/>
      <c r="AK615" s="1761"/>
      <c r="AL615" s="1761"/>
      <c r="AM615" s="1761"/>
      <c r="AN615" s="1761"/>
      <c r="AO615" s="1761"/>
      <c r="AP615" s="1761"/>
      <c r="AQ615" s="1761"/>
      <c r="AR615" s="1761"/>
      <c r="AS615" s="1761"/>
      <c r="AT615" s="1761"/>
      <c r="AU615" s="1761"/>
      <c r="AV615" s="1761"/>
      <c r="AW615" s="1761"/>
      <c r="AX615" s="1761"/>
      <c r="AY615" s="1761"/>
      <c r="AZ615" s="1761"/>
      <c r="BA615" s="1761"/>
      <c r="BB615" s="1761"/>
      <c r="BC615" s="1761"/>
      <c r="BD615" s="1761"/>
      <c r="BE615" s="1761"/>
      <c r="BF615" s="1761"/>
      <c r="BG615" s="1056"/>
    </row>
    <row r="616" spans="1:59" x14ac:dyDescent="0.15">
      <c r="A616" s="1050"/>
      <c r="B616" s="1053"/>
      <c r="C616" s="1760"/>
      <c r="D616" s="1760"/>
      <c r="E616" s="1760"/>
      <c r="F616" s="1760"/>
      <c r="G616" s="1760"/>
      <c r="H616" s="1760"/>
      <c r="I616" s="1760"/>
      <c r="J616" s="1760"/>
      <c r="K616" s="1760"/>
      <c r="L616" s="1760"/>
      <c r="M616" s="1760"/>
      <c r="N616" s="1760"/>
      <c r="O616" s="1760"/>
      <c r="P616" s="1760"/>
      <c r="Q616" s="1760"/>
      <c r="R616" s="1760"/>
      <c r="S616" s="1760"/>
      <c r="T616" s="1760"/>
      <c r="U616" s="1760"/>
      <c r="V616" s="1760"/>
      <c r="W616" s="1760"/>
      <c r="X616" s="1760"/>
      <c r="Y616" s="1760"/>
      <c r="Z616" s="1760"/>
      <c r="AA616" s="1760"/>
      <c r="AB616" s="1760"/>
      <c r="AC616" s="1760"/>
      <c r="AD616" s="1760"/>
      <c r="AE616" s="1760"/>
      <c r="AF616" s="1760"/>
      <c r="AG616" s="1760"/>
      <c r="AH616" s="1760"/>
      <c r="AI616" s="1760"/>
      <c r="AJ616" s="1760"/>
      <c r="AK616" s="1760"/>
      <c r="AL616" s="1760"/>
      <c r="AM616" s="1760"/>
      <c r="AN616" s="1760"/>
      <c r="AO616" s="1760"/>
      <c r="AP616" s="1760"/>
      <c r="AQ616" s="1760"/>
      <c r="AR616" s="1760"/>
      <c r="AS616" s="1760"/>
      <c r="AT616" s="1760"/>
      <c r="AU616" s="1760"/>
      <c r="AV616" s="1760"/>
      <c r="AW616" s="1760"/>
      <c r="AX616" s="1760"/>
      <c r="AY616" s="1760"/>
      <c r="AZ616" s="1760"/>
      <c r="BA616" s="1760"/>
      <c r="BB616" s="1760"/>
      <c r="BC616" s="1760"/>
      <c r="BD616" s="1760"/>
      <c r="BE616" s="1760"/>
      <c r="BF616" s="1760"/>
      <c r="BG616" s="1071"/>
    </row>
    <row r="617" spans="1:59" x14ac:dyDescent="0.15">
      <c r="A617" s="1050"/>
      <c r="B617" s="1064"/>
      <c r="C617" s="1760"/>
      <c r="D617" s="1760"/>
      <c r="E617" s="1760"/>
      <c r="F617" s="1760"/>
      <c r="G617" s="1760"/>
      <c r="H617" s="1760"/>
      <c r="I617" s="1760"/>
      <c r="J617" s="1760"/>
      <c r="K617" s="1760"/>
      <c r="L617" s="1760"/>
      <c r="M617" s="1760"/>
      <c r="N617" s="1760"/>
      <c r="O617" s="1760"/>
      <c r="P617" s="1760"/>
      <c r="Q617" s="1760"/>
      <c r="R617" s="1760"/>
      <c r="S617" s="1760"/>
      <c r="T617" s="1760"/>
      <c r="U617" s="1760"/>
      <c r="V617" s="1760"/>
      <c r="W617" s="1760"/>
      <c r="X617" s="1760"/>
      <c r="Y617" s="1760"/>
      <c r="Z617" s="1760"/>
      <c r="AA617" s="1760"/>
      <c r="AB617" s="1760"/>
      <c r="AC617" s="1760"/>
      <c r="AD617" s="1760"/>
      <c r="AE617" s="1760"/>
      <c r="AF617" s="1760"/>
      <c r="AG617" s="1760"/>
      <c r="AH617" s="1760"/>
      <c r="AI617" s="1760"/>
      <c r="AJ617" s="1760"/>
      <c r="AK617" s="1760"/>
      <c r="AL617" s="1760"/>
      <c r="AM617" s="1760"/>
      <c r="AN617" s="1760"/>
      <c r="AO617" s="1760"/>
      <c r="AP617" s="1760"/>
      <c r="AQ617" s="1760"/>
      <c r="AR617" s="1760"/>
      <c r="AS617" s="1760"/>
      <c r="AT617" s="1760"/>
      <c r="AU617" s="1760"/>
      <c r="AV617" s="1760"/>
      <c r="AW617" s="1760"/>
      <c r="AX617" s="1760"/>
      <c r="AY617" s="1760"/>
      <c r="AZ617" s="1760"/>
      <c r="BA617" s="1760"/>
      <c r="BB617" s="1760"/>
      <c r="BC617" s="1760"/>
      <c r="BD617" s="1760"/>
      <c r="BE617" s="1760"/>
      <c r="BF617" s="1760"/>
      <c r="BG617" s="1056"/>
    </row>
    <row r="618" spans="1:59" x14ac:dyDescent="0.15">
      <c r="A618" s="1050"/>
      <c r="B618" s="1064"/>
      <c r="C618" s="1054"/>
      <c r="D618" s="1054"/>
      <c r="E618" s="1054"/>
      <c r="F618" s="1054" t="s">
        <v>796</v>
      </c>
      <c r="G618" s="1054"/>
      <c r="H618" s="1780" t="str">
        <f>+IF(keltezes="","",keltezes)</f>
        <v/>
      </c>
      <c r="I618" s="1760"/>
      <c r="J618" s="1760"/>
      <c r="K618" s="1760"/>
      <c r="L618" s="1760"/>
      <c r="M618" s="1760"/>
      <c r="N618" s="1760"/>
      <c r="O618" s="1760"/>
      <c r="P618" s="1760"/>
      <c r="Q618" s="1760"/>
      <c r="R618" s="1760"/>
      <c r="S618" s="1760"/>
      <c r="T618" s="1760"/>
      <c r="U618" s="1054"/>
      <c r="V618" s="1054"/>
      <c r="W618" s="1054"/>
      <c r="X618" s="1054"/>
      <c r="Y618" s="1054"/>
      <c r="Z618" s="1054"/>
      <c r="AA618" s="1054"/>
      <c r="AB618" s="1054"/>
      <c r="AC618" s="1054"/>
      <c r="AD618" s="1054"/>
      <c r="AE618" s="1054"/>
      <c r="AF618" s="1054"/>
      <c r="AG618" s="1054"/>
      <c r="AH618" s="1054"/>
      <c r="AI618" s="1054"/>
      <c r="AJ618" s="1054"/>
      <c r="AK618" s="1054"/>
      <c r="AL618" s="1054"/>
      <c r="AM618" s="1054"/>
      <c r="AN618" s="1054"/>
      <c r="AO618" s="1054"/>
      <c r="AP618" s="1054"/>
      <c r="AQ618" s="1054"/>
      <c r="AR618" s="1054"/>
      <c r="AS618" s="1054"/>
      <c r="AT618" s="1054"/>
      <c r="AU618" s="1054"/>
      <c r="AV618" s="1054"/>
      <c r="AW618" s="1054"/>
      <c r="AX618" s="1054"/>
      <c r="AY618" s="1054"/>
      <c r="AZ618" s="1054"/>
      <c r="BA618" s="1054"/>
      <c r="BB618" s="1054"/>
      <c r="BC618" s="1054"/>
      <c r="BD618" s="1054"/>
      <c r="BE618" s="1054"/>
      <c r="BF618" s="1054"/>
      <c r="BG618" s="1056"/>
    </row>
    <row r="619" spans="1:59" x14ac:dyDescent="0.15">
      <c r="A619" s="1050"/>
      <c r="B619" s="1064"/>
      <c r="C619" s="1054"/>
      <c r="D619" s="1054"/>
      <c r="E619" s="1054"/>
      <c r="F619" s="1054"/>
      <c r="G619" s="1054"/>
      <c r="H619" s="1054"/>
      <c r="I619" s="1054"/>
      <c r="J619" s="1054"/>
      <c r="K619" s="1054"/>
      <c r="L619" s="1054"/>
      <c r="M619" s="1054"/>
      <c r="N619" s="1054"/>
      <c r="O619" s="1054"/>
      <c r="P619" s="1054"/>
      <c r="Q619" s="1054"/>
      <c r="R619" s="1054"/>
      <c r="S619" s="1054"/>
      <c r="T619" s="1054"/>
      <c r="U619" s="1054"/>
      <c r="V619" s="1054"/>
      <c r="W619" s="1054"/>
      <c r="X619" s="1054"/>
      <c r="Y619" s="1054"/>
      <c r="Z619" s="1054"/>
      <c r="AA619" s="1054"/>
      <c r="AB619" s="1054"/>
      <c r="AC619" s="1054"/>
      <c r="AD619" s="1054"/>
      <c r="AE619" s="1054"/>
      <c r="AF619" s="1054"/>
      <c r="AG619" s="1054"/>
      <c r="AH619" s="1054"/>
      <c r="AI619" s="1054"/>
      <c r="AJ619" s="1054"/>
      <c r="AK619" s="1054"/>
      <c r="AL619" s="1054"/>
      <c r="AM619" s="1054"/>
      <c r="AN619" s="1054"/>
      <c r="AO619" s="1054"/>
      <c r="AP619" s="1054"/>
      <c r="AQ619" s="1054"/>
      <c r="AR619" s="1054"/>
      <c r="AS619" s="1054"/>
      <c r="AT619" s="1054"/>
      <c r="AU619" s="1054"/>
      <c r="AV619" s="1054"/>
      <c r="AW619" s="1054"/>
      <c r="AX619" s="1054"/>
      <c r="AY619" s="1054"/>
      <c r="AZ619" s="1054"/>
      <c r="BA619" s="1054"/>
      <c r="BB619" s="1054"/>
      <c r="BC619" s="1054"/>
      <c r="BD619" s="1054"/>
      <c r="BE619" s="1054"/>
      <c r="BF619" s="1054"/>
      <c r="BG619" s="1056"/>
    </row>
    <row r="620" spans="1:59" x14ac:dyDescent="0.15">
      <c r="A620" s="1050"/>
      <c r="B620" s="1064"/>
      <c r="C620" s="1054"/>
      <c r="D620" s="1054"/>
      <c r="E620" s="1054"/>
      <c r="F620" s="1054"/>
      <c r="G620" s="1054"/>
      <c r="H620" s="1054"/>
      <c r="I620" s="1054"/>
      <c r="J620" s="1054"/>
      <c r="K620" s="1054"/>
      <c r="L620" s="1054"/>
      <c r="M620" s="1054"/>
      <c r="N620" s="1054"/>
      <c r="O620" s="1054"/>
      <c r="P620" s="1054"/>
      <c r="Q620" s="1054"/>
      <c r="R620" s="1054"/>
      <c r="S620" s="1054"/>
      <c r="T620" s="1054"/>
      <c r="U620" s="1054"/>
      <c r="V620" s="1054"/>
      <c r="W620" s="1054"/>
      <c r="X620" s="1054"/>
      <c r="Y620" s="1054"/>
      <c r="Z620" s="1054"/>
      <c r="AA620" s="1054"/>
      <c r="AB620" s="1054"/>
      <c r="AC620" s="1054"/>
      <c r="AD620" s="1054"/>
      <c r="AE620" s="1054"/>
      <c r="AF620" s="1054"/>
      <c r="AG620" s="1747"/>
      <c r="AH620" s="1747"/>
      <c r="AI620" s="1747"/>
      <c r="AJ620" s="1747"/>
      <c r="AK620" s="1747"/>
      <c r="AL620" s="1747"/>
      <c r="AM620" s="1747"/>
      <c r="AN620" s="1747"/>
      <c r="AO620" s="1747"/>
      <c r="AP620" s="1747"/>
      <c r="AQ620" s="1747"/>
      <c r="AR620" s="1747"/>
      <c r="AS620" s="1747"/>
      <c r="AT620" s="1747"/>
      <c r="AU620" s="1747"/>
      <c r="AV620" s="1747"/>
      <c r="AW620" s="1747"/>
      <c r="AX620" s="1747"/>
      <c r="AY620" s="1747"/>
      <c r="AZ620" s="1747"/>
      <c r="BA620" s="1747"/>
      <c r="BB620" s="1747"/>
      <c r="BC620" s="1747"/>
      <c r="BD620" s="1747"/>
      <c r="BE620" s="1054"/>
      <c r="BF620" s="1054"/>
      <c r="BG620" s="1056"/>
    </row>
    <row r="621" spans="1:59" ht="15" customHeight="1" x14ac:dyDescent="0.15">
      <c r="A621" s="1050"/>
      <c r="B621" s="1064"/>
      <c r="C621" s="1054"/>
      <c r="D621" s="1054"/>
      <c r="E621" s="1054"/>
      <c r="F621" s="1054"/>
      <c r="G621" s="1054"/>
      <c r="H621" s="1054"/>
      <c r="I621" s="1054"/>
      <c r="J621" s="1054"/>
      <c r="K621" s="1054"/>
      <c r="L621" s="1054"/>
      <c r="M621" s="1054"/>
      <c r="N621" s="1054"/>
      <c r="O621" s="1054"/>
      <c r="P621" s="1054"/>
      <c r="Q621" s="1054"/>
      <c r="R621" s="1054"/>
      <c r="S621" s="1054"/>
      <c r="T621" s="1054"/>
      <c r="U621" s="1054"/>
      <c r="V621" s="1054"/>
      <c r="W621" s="1054"/>
      <c r="X621" s="1054"/>
      <c r="Y621" s="1054"/>
      <c r="Z621" s="1054"/>
      <c r="AA621" s="1054"/>
      <c r="AB621" s="1054"/>
      <c r="AC621" s="1054"/>
      <c r="AD621" s="1054"/>
      <c r="AE621" s="1054"/>
      <c r="AF621" s="1054"/>
      <c r="AG621" s="1072" t="str">
        <f>+IF('Támogatási Nyilatkozatok_all'!C542="","",'Támogatási Nyilatkozatok_all'!C542)</f>
        <v/>
      </c>
      <c r="AH621" s="1072"/>
      <c r="AI621" s="1072"/>
      <c r="AJ621" s="1072"/>
      <c r="AK621" s="1072"/>
      <c r="AL621" s="1072"/>
      <c r="AM621" s="1072"/>
      <c r="AN621" s="1072"/>
      <c r="AO621" s="1072"/>
      <c r="AP621" s="1072"/>
      <c r="AQ621" s="1072"/>
      <c r="AR621" s="1072"/>
      <c r="AS621" s="1072"/>
      <c r="AT621" s="1072"/>
      <c r="AU621" s="1072"/>
      <c r="AV621" s="1072"/>
      <c r="AW621" s="1072"/>
      <c r="AX621" s="1072"/>
      <c r="AY621" s="1072"/>
      <c r="AZ621" s="1072"/>
      <c r="BA621" s="1072"/>
      <c r="BB621" s="1072"/>
      <c r="BC621" s="1072"/>
      <c r="BD621" s="1072"/>
      <c r="BE621" s="1054"/>
      <c r="BF621" s="1054"/>
      <c r="BG621" s="1056"/>
    </row>
    <row r="622" spans="1:59" x14ac:dyDescent="0.15">
      <c r="A622" s="1050"/>
      <c r="B622" s="1064"/>
      <c r="C622" s="1054"/>
      <c r="D622" s="1054"/>
      <c r="E622" s="1054"/>
      <c r="F622" s="1054"/>
      <c r="G622" s="1054"/>
      <c r="H622" s="1054"/>
      <c r="I622" s="1054"/>
      <c r="J622" s="1054"/>
      <c r="K622" s="1054"/>
      <c r="L622" s="1054"/>
      <c r="M622" s="1054"/>
      <c r="N622" s="1054"/>
      <c r="O622" s="1054"/>
      <c r="P622" s="1054"/>
      <c r="Q622" s="1054"/>
      <c r="R622" s="1054"/>
      <c r="S622" s="1054"/>
      <c r="T622" s="1054"/>
      <c r="U622" s="1054"/>
      <c r="V622" s="1054"/>
      <c r="W622" s="1054"/>
      <c r="X622" s="1054"/>
      <c r="Y622" s="1054"/>
      <c r="Z622" s="1054"/>
      <c r="AA622" s="1054"/>
      <c r="AB622" s="1054"/>
      <c r="AC622" s="1054"/>
      <c r="AD622" s="1054"/>
      <c r="AE622" s="1054"/>
      <c r="AF622" s="1054"/>
      <c r="AG622" s="1054"/>
      <c r="AH622" s="1054"/>
      <c r="AI622" s="1054"/>
      <c r="AJ622" s="1054"/>
      <c r="AK622" s="1054"/>
      <c r="AL622" s="1054"/>
      <c r="AM622" s="1054"/>
      <c r="AN622" s="1054"/>
      <c r="AO622" s="1054"/>
      <c r="AP622" s="1054"/>
      <c r="AQ622" s="1054"/>
      <c r="AR622" s="1054"/>
      <c r="AS622" s="1054"/>
      <c r="AT622" s="1054"/>
      <c r="AU622" s="1054"/>
      <c r="AV622" s="1054"/>
      <c r="AW622" s="1054"/>
      <c r="AX622" s="1054"/>
      <c r="AY622" s="1054"/>
      <c r="AZ622" s="1054"/>
      <c r="BA622" s="1054"/>
      <c r="BB622" s="1054"/>
      <c r="BC622" s="1054"/>
      <c r="BD622" s="1054"/>
      <c r="BE622" s="1054"/>
      <c r="BF622" s="1054"/>
      <c r="BG622" s="1056"/>
    </row>
    <row r="623" spans="1:59" x14ac:dyDescent="0.15">
      <c r="A623" s="1050"/>
      <c r="B623" s="1064"/>
      <c r="C623" s="1054"/>
      <c r="D623" s="1054"/>
      <c r="E623" s="1054"/>
      <c r="F623" s="1054"/>
      <c r="G623" s="1054"/>
      <c r="H623" s="1054"/>
      <c r="I623" s="1054"/>
      <c r="J623" s="1054"/>
      <c r="K623" s="1054"/>
      <c r="L623" s="1054"/>
      <c r="M623" s="1054"/>
      <c r="N623" s="1054"/>
      <c r="O623" s="1054"/>
      <c r="P623" s="1054"/>
      <c r="Q623" s="1054"/>
      <c r="R623" s="1054"/>
      <c r="S623" s="1054"/>
      <c r="T623" s="1054"/>
      <c r="U623" s="1054"/>
      <c r="V623" s="1054"/>
      <c r="W623" s="1054"/>
      <c r="X623" s="1054"/>
      <c r="Y623" s="1054"/>
      <c r="Z623" s="1054"/>
      <c r="AA623" s="1054"/>
      <c r="AB623" s="1054"/>
      <c r="AC623" s="1054"/>
      <c r="AD623" s="1054"/>
      <c r="AE623" s="1054"/>
      <c r="AF623" s="1054"/>
      <c r="AG623" s="1054"/>
      <c r="AH623" s="1054"/>
      <c r="AI623" s="1054"/>
      <c r="AJ623" s="1054"/>
      <c r="AK623" s="1054"/>
      <c r="AL623" s="1054"/>
      <c r="AM623" s="1054"/>
      <c r="AN623" s="1054"/>
      <c r="AO623" s="1054"/>
      <c r="AP623" s="1054"/>
      <c r="AQ623" s="1054"/>
      <c r="AR623" s="1054"/>
      <c r="AS623" s="1054"/>
      <c r="AT623" s="1054"/>
      <c r="AU623" s="1054"/>
      <c r="AV623" s="1054"/>
      <c r="AW623" s="1054"/>
      <c r="AX623" s="1054"/>
      <c r="AY623" s="1054"/>
      <c r="AZ623" s="1054"/>
      <c r="BA623" s="1054"/>
      <c r="BB623" s="1054"/>
      <c r="BC623" s="1054"/>
      <c r="BD623" s="1054"/>
      <c r="BE623" s="1054"/>
      <c r="BF623" s="1054"/>
      <c r="BG623" s="1056"/>
    </row>
    <row r="624" spans="1:59" x14ac:dyDescent="0.15">
      <c r="A624" s="1050"/>
      <c r="B624" s="1064"/>
      <c r="C624" s="1054"/>
      <c r="D624" s="1054"/>
      <c r="E624" s="1054" t="s">
        <v>797</v>
      </c>
      <c r="F624" s="1054"/>
      <c r="G624" s="1054"/>
      <c r="H624" s="1054"/>
      <c r="I624" s="1054"/>
      <c r="J624" s="1054"/>
      <c r="K624" s="1054"/>
      <c r="L624" s="1054"/>
      <c r="M624" s="1054"/>
      <c r="N624" s="1054"/>
      <c r="O624" s="1054"/>
      <c r="P624" s="1054"/>
      <c r="Q624" s="1054"/>
      <c r="R624" s="1054"/>
      <c r="S624" s="1054"/>
      <c r="T624" s="1054"/>
      <c r="U624" s="1054"/>
      <c r="V624" s="1054"/>
      <c r="W624" s="1054"/>
      <c r="X624" s="1054"/>
      <c r="Y624" s="1054"/>
      <c r="Z624" s="1054"/>
      <c r="AA624" s="1054"/>
      <c r="AB624" s="1054"/>
      <c r="AC624" s="1054"/>
      <c r="AD624" s="1054"/>
      <c r="AE624" s="1054"/>
      <c r="AF624" s="1054"/>
      <c r="AG624" s="1054"/>
      <c r="AH624" s="1054"/>
      <c r="AI624" s="1054"/>
      <c r="AJ624" s="1054"/>
      <c r="AK624" s="1054"/>
      <c r="AL624" s="1054"/>
      <c r="AM624" s="1054"/>
      <c r="AN624" s="1054"/>
      <c r="AO624" s="1054"/>
      <c r="AP624" s="1054"/>
      <c r="AQ624" s="1054"/>
      <c r="AR624" s="1054"/>
      <c r="AS624" s="1054"/>
      <c r="AT624" s="1054"/>
      <c r="AU624" s="1054"/>
      <c r="AV624" s="1054"/>
      <c r="AW624" s="1054"/>
      <c r="AX624" s="1054"/>
      <c r="AY624" s="1054"/>
      <c r="AZ624" s="1054"/>
      <c r="BA624" s="1054"/>
      <c r="BB624" s="1054"/>
      <c r="BC624" s="1054"/>
      <c r="BD624" s="1054"/>
      <c r="BE624" s="1054"/>
      <c r="BF624" s="1054"/>
      <c r="BG624" s="1056"/>
    </row>
    <row r="625" spans="1:59" x14ac:dyDescent="0.15">
      <c r="A625" s="1050"/>
      <c r="B625" s="1064"/>
      <c r="C625" s="1054"/>
      <c r="D625" s="1054"/>
      <c r="E625" s="1054" t="s">
        <v>798</v>
      </c>
      <c r="F625" s="1054"/>
      <c r="G625" s="1054"/>
      <c r="H625" s="1054"/>
      <c r="I625" s="1054"/>
      <c r="J625" s="1054"/>
      <c r="K625" s="1054"/>
      <c r="L625" s="1054"/>
      <c r="M625" s="1054"/>
      <c r="N625" s="1054"/>
      <c r="O625" s="1054"/>
      <c r="P625" s="1054"/>
      <c r="Q625" s="1054"/>
      <c r="R625" s="1054"/>
      <c r="S625" s="1054"/>
      <c r="T625" s="1054"/>
      <c r="U625" s="1054"/>
      <c r="V625" s="1054"/>
      <c r="W625" s="1054"/>
      <c r="X625" s="1054"/>
      <c r="Y625" s="1054"/>
      <c r="Z625" s="1054"/>
      <c r="AA625" s="1054"/>
      <c r="AB625" s="1054"/>
      <c r="AC625" s="1054"/>
      <c r="AD625" s="1054"/>
      <c r="AE625" s="1054"/>
      <c r="AF625" s="1054"/>
      <c r="AG625" s="1054"/>
      <c r="AH625" s="1054"/>
      <c r="AI625" s="1054"/>
      <c r="AJ625" s="1054"/>
      <c r="AK625" s="1054"/>
      <c r="AL625" s="1054"/>
      <c r="AM625" s="1054"/>
      <c r="AN625" s="1054"/>
      <c r="AO625" s="1054"/>
      <c r="AP625" s="1054"/>
      <c r="AQ625" s="1054"/>
      <c r="AR625" s="1054"/>
      <c r="AS625" s="1054"/>
      <c r="AT625" s="1054"/>
      <c r="AU625" s="1054"/>
      <c r="AV625" s="1054"/>
      <c r="AW625" s="1054"/>
      <c r="AX625" s="1054"/>
      <c r="AY625" s="1054"/>
      <c r="AZ625" s="1054"/>
      <c r="BA625" s="1054"/>
      <c r="BB625" s="1054"/>
      <c r="BC625" s="1054"/>
      <c r="BD625" s="1054"/>
      <c r="BE625" s="1054"/>
      <c r="BF625" s="1054"/>
      <c r="BG625" s="1056"/>
    </row>
    <row r="626" spans="1:59" x14ac:dyDescent="0.15">
      <c r="A626" s="1050"/>
      <c r="B626" s="1064"/>
      <c r="C626" s="1054"/>
      <c r="D626" s="1054"/>
      <c r="E626" s="1054"/>
      <c r="F626" s="1054"/>
      <c r="G626" s="1054"/>
      <c r="H626" s="1054"/>
      <c r="I626" s="1054"/>
      <c r="J626" s="1054"/>
      <c r="K626" s="1054"/>
      <c r="L626" s="1054"/>
      <c r="M626" s="1054"/>
      <c r="N626" s="1054"/>
      <c r="O626" s="1054"/>
      <c r="P626" s="1054"/>
      <c r="Q626" s="1054"/>
      <c r="R626" s="1054"/>
      <c r="S626" s="1054"/>
      <c r="T626" s="1054"/>
      <c r="U626" s="1054"/>
      <c r="V626" s="1054"/>
      <c r="W626" s="1054"/>
      <c r="X626" s="1054"/>
      <c r="Y626" s="1054"/>
      <c r="Z626" s="1054"/>
      <c r="AA626" s="1054"/>
      <c r="AB626" s="1054"/>
      <c r="AC626" s="1054"/>
      <c r="AD626" s="1054"/>
      <c r="AE626" s="1054"/>
      <c r="AF626" s="1054"/>
      <c r="AG626" s="1054"/>
      <c r="AH626" s="1054"/>
      <c r="AI626" s="1054"/>
      <c r="AJ626" s="1054"/>
      <c r="AK626" s="1054"/>
      <c r="AL626" s="1054"/>
      <c r="AM626" s="1054"/>
      <c r="AN626" s="1054"/>
      <c r="AO626" s="1054"/>
      <c r="AP626" s="1054"/>
      <c r="AQ626" s="1054"/>
      <c r="AR626" s="1054"/>
      <c r="AS626" s="1054"/>
      <c r="AT626" s="1054"/>
      <c r="AU626" s="1054"/>
      <c r="AV626" s="1054"/>
      <c r="AW626" s="1054"/>
      <c r="AX626" s="1054"/>
      <c r="AY626" s="1054"/>
      <c r="AZ626" s="1054"/>
      <c r="BA626" s="1054"/>
      <c r="BB626" s="1054"/>
      <c r="BC626" s="1054"/>
      <c r="BD626" s="1054"/>
      <c r="BE626" s="1054"/>
      <c r="BF626" s="1054"/>
      <c r="BG626" s="1056"/>
    </row>
    <row r="627" spans="1:59" x14ac:dyDescent="0.15">
      <c r="A627" s="1050"/>
      <c r="B627" s="1064"/>
      <c r="C627" s="1055"/>
      <c r="D627" s="1055"/>
      <c r="E627" s="1055" t="s">
        <v>799</v>
      </c>
      <c r="F627" s="1055"/>
      <c r="G627" s="1055"/>
      <c r="H627" s="1055"/>
      <c r="I627" s="1055"/>
      <c r="J627" s="1747"/>
      <c r="K627" s="1747"/>
      <c r="L627" s="1747"/>
      <c r="M627" s="1747"/>
      <c r="N627" s="1747"/>
      <c r="O627" s="1747"/>
      <c r="P627" s="1747"/>
      <c r="Q627" s="1747"/>
      <c r="R627" s="1747"/>
      <c r="S627" s="1747"/>
      <c r="T627" s="1747"/>
      <c r="U627" s="1747"/>
      <c r="V627" s="1747"/>
      <c r="W627" s="1747"/>
      <c r="X627" s="1747"/>
      <c r="Y627" s="1747"/>
      <c r="Z627" s="1747"/>
      <c r="AA627" s="1747"/>
      <c r="AB627" s="1747"/>
      <c r="AC627" s="1055"/>
      <c r="AD627" s="1055"/>
      <c r="AE627" s="1055"/>
      <c r="AF627" s="1055" t="s">
        <v>800</v>
      </c>
      <c r="AG627" s="1055"/>
      <c r="AH627" s="1055"/>
      <c r="AI627" s="1055"/>
      <c r="AJ627" s="1747"/>
      <c r="AK627" s="1747"/>
      <c r="AL627" s="1747"/>
      <c r="AM627" s="1747"/>
      <c r="AN627" s="1747"/>
      <c r="AO627" s="1747"/>
      <c r="AP627" s="1747"/>
      <c r="AQ627" s="1747"/>
      <c r="AR627" s="1747"/>
      <c r="AS627" s="1747"/>
      <c r="AT627" s="1747"/>
      <c r="AU627" s="1747"/>
      <c r="AV627" s="1747"/>
      <c r="AW627" s="1747"/>
      <c r="AX627" s="1747"/>
      <c r="AY627" s="1747"/>
      <c r="AZ627" s="1747"/>
      <c r="BA627" s="1747"/>
      <c r="BB627" s="1747"/>
      <c r="BC627" s="1055"/>
      <c r="BD627" s="1055"/>
      <c r="BE627" s="1055"/>
      <c r="BF627" s="1055"/>
      <c r="BG627" s="1056"/>
    </row>
    <row r="628" spans="1:59" x14ac:dyDescent="0.15">
      <c r="A628" s="1050"/>
      <c r="B628" s="1064"/>
      <c r="C628" s="1055"/>
      <c r="D628" s="1055"/>
      <c r="E628" s="1055"/>
      <c r="F628" s="1055"/>
      <c r="G628" s="1055"/>
      <c r="H628" s="1055"/>
      <c r="I628" s="1055"/>
      <c r="J628" s="1055"/>
      <c r="K628" s="1055"/>
      <c r="L628" s="1055"/>
      <c r="M628" s="1055"/>
      <c r="N628" s="1746" t="s">
        <v>315</v>
      </c>
      <c r="O628" s="1746"/>
      <c r="P628" s="1746"/>
      <c r="Q628" s="1746"/>
      <c r="R628" s="1746"/>
      <c r="S628" s="1746"/>
      <c r="T628" s="1746"/>
      <c r="U628" s="1746"/>
      <c r="V628" s="1746"/>
      <c r="W628" s="1746"/>
      <c r="X628" s="1746"/>
      <c r="Y628" s="1055"/>
      <c r="Z628" s="1055"/>
      <c r="AA628" s="1055"/>
      <c r="AB628" s="1055"/>
      <c r="AC628" s="1055"/>
      <c r="AD628" s="1055"/>
      <c r="AE628" s="1055"/>
      <c r="AF628" s="1055"/>
      <c r="AG628" s="1055"/>
      <c r="AH628" s="1055"/>
      <c r="AI628" s="1055"/>
      <c r="AJ628" s="1055"/>
      <c r="AK628" s="1055"/>
      <c r="AL628" s="1055"/>
      <c r="AM628" s="1055"/>
      <c r="AN628" s="1746" t="s">
        <v>315</v>
      </c>
      <c r="AO628" s="1746"/>
      <c r="AP628" s="1746"/>
      <c r="AQ628" s="1746"/>
      <c r="AR628" s="1746"/>
      <c r="AS628" s="1746"/>
      <c r="AT628" s="1746"/>
      <c r="AU628" s="1746"/>
      <c r="AV628" s="1746"/>
      <c r="AW628" s="1746"/>
      <c r="AX628" s="1746"/>
      <c r="AY628" s="1055"/>
      <c r="AZ628" s="1055"/>
      <c r="BA628" s="1055"/>
      <c r="BB628" s="1055"/>
      <c r="BC628" s="1055"/>
      <c r="BD628" s="1055"/>
      <c r="BE628" s="1055"/>
      <c r="BF628" s="1055"/>
      <c r="BG628" s="1056"/>
    </row>
    <row r="629" spans="1:59" x14ac:dyDescent="0.15">
      <c r="A629" s="1050"/>
      <c r="B629" s="1064"/>
      <c r="C629" s="1055"/>
      <c r="D629" s="1055"/>
      <c r="E629" s="1055"/>
      <c r="F629" s="1055"/>
      <c r="G629" s="1055"/>
      <c r="H629" s="1055"/>
      <c r="I629" s="1055"/>
      <c r="J629" s="1055"/>
      <c r="K629" s="1055"/>
      <c r="L629" s="1055"/>
      <c r="M629" s="1055"/>
      <c r="N629" s="1055"/>
      <c r="O629" s="1055"/>
      <c r="P629" s="1055"/>
      <c r="Q629" s="1055"/>
      <c r="R629" s="1055"/>
      <c r="S629" s="1055"/>
      <c r="T629" s="1055"/>
      <c r="U629" s="1055"/>
      <c r="V629" s="1055"/>
      <c r="W629" s="1055"/>
      <c r="X629" s="1055"/>
      <c r="Y629" s="1055"/>
      <c r="Z629" s="1055"/>
      <c r="AA629" s="1055"/>
      <c r="AB629" s="1055"/>
      <c r="AC629" s="1055"/>
      <c r="AD629" s="1055"/>
      <c r="AE629" s="1055"/>
      <c r="AF629" s="1055"/>
      <c r="AG629" s="1055"/>
      <c r="AH629" s="1055"/>
      <c r="AI629" s="1055"/>
      <c r="AJ629" s="1055"/>
      <c r="AK629" s="1055"/>
      <c r="AL629" s="1055"/>
      <c r="AM629" s="1055"/>
      <c r="AN629" s="1055"/>
      <c r="AO629" s="1055"/>
      <c r="AP629" s="1055"/>
      <c r="AQ629" s="1055"/>
      <c r="AR629" s="1055"/>
      <c r="AS629" s="1055"/>
      <c r="AT629" s="1055"/>
      <c r="AU629" s="1055"/>
      <c r="AV629" s="1055"/>
      <c r="AW629" s="1055"/>
      <c r="AX629" s="1055"/>
      <c r="AY629" s="1055"/>
      <c r="AZ629" s="1055"/>
      <c r="BA629" s="1055"/>
      <c r="BB629" s="1055"/>
      <c r="BC629" s="1055"/>
      <c r="BD629" s="1055"/>
      <c r="BE629" s="1055"/>
      <c r="BF629" s="1055"/>
      <c r="BG629" s="1056"/>
    </row>
    <row r="630" spans="1:59" x14ac:dyDescent="0.15">
      <c r="A630" s="1050"/>
      <c r="B630" s="1064"/>
      <c r="C630" s="1055"/>
      <c r="D630" s="1055"/>
      <c r="E630" s="1055"/>
      <c r="F630" s="1055"/>
      <c r="G630" s="1055"/>
      <c r="H630" s="1055"/>
      <c r="I630" s="1055"/>
      <c r="J630" s="1055"/>
      <c r="K630" s="1055"/>
      <c r="L630" s="1055"/>
      <c r="M630" s="1055"/>
      <c r="N630" s="1055"/>
      <c r="O630" s="1055"/>
      <c r="P630" s="1055"/>
      <c r="Q630" s="1055"/>
      <c r="R630" s="1055"/>
      <c r="S630" s="1055"/>
      <c r="T630" s="1055"/>
      <c r="U630" s="1055"/>
      <c r="V630" s="1055"/>
      <c r="W630" s="1055"/>
      <c r="X630" s="1055"/>
      <c r="Y630" s="1055"/>
      <c r="Z630" s="1055"/>
      <c r="AA630" s="1055"/>
      <c r="AB630" s="1055"/>
      <c r="AC630" s="1055"/>
      <c r="AD630" s="1055"/>
      <c r="AE630" s="1055"/>
      <c r="AF630" s="1055"/>
      <c r="AG630" s="1055"/>
      <c r="AH630" s="1055"/>
      <c r="AI630" s="1055"/>
      <c r="AJ630" s="1055"/>
      <c r="AK630" s="1055"/>
      <c r="AL630" s="1055"/>
      <c r="AM630" s="1055"/>
      <c r="AN630" s="1055"/>
      <c r="AO630" s="1055"/>
      <c r="AP630" s="1055"/>
      <c r="AQ630" s="1055"/>
      <c r="AR630" s="1055"/>
      <c r="AS630" s="1055"/>
      <c r="AT630" s="1055"/>
      <c r="AU630" s="1055"/>
      <c r="AV630" s="1055"/>
      <c r="AW630" s="1055"/>
      <c r="AX630" s="1055"/>
      <c r="AY630" s="1055"/>
      <c r="AZ630" s="1055"/>
      <c r="BA630" s="1055"/>
      <c r="BB630" s="1055"/>
      <c r="BC630" s="1055"/>
      <c r="BD630" s="1055"/>
      <c r="BE630" s="1055"/>
      <c r="BF630" s="1055"/>
      <c r="BG630" s="1056"/>
    </row>
    <row r="631" spans="1:59" x14ac:dyDescent="0.15">
      <c r="A631" s="1050"/>
      <c r="B631" s="1064"/>
      <c r="C631" s="1055"/>
      <c r="D631" s="1055"/>
      <c r="E631" s="1055"/>
      <c r="F631" s="1055"/>
      <c r="G631" s="1055"/>
      <c r="H631" s="1055"/>
      <c r="I631" s="1055"/>
      <c r="J631" s="1747"/>
      <c r="K631" s="1747"/>
      <c r="L631" s="1747"/>
      <c r="M631" s="1747"/>
      <c r="N631" s="1747"/>
      <c r="O631" s="1747"/>
      <c r="P631" s="1747"/>
      <c r="Q631" s="1747"/>
      <c r="R631" s="1747"/>
      <c r="S631" s="1747"/>
      <c r="T631" s="1747"/>
      <c r="U631" s="1747"/>
      <c r="V631" s="1747"/>
      <c r="W631" s="1747"/>
      <c r="X631" s="1747"/>
      <c r="Y631" s="1747"/>
      <c r="Z631" s="1747"/>
      <c r="AA631" s="1747"/>
      <c r="AB631" s="1747"/>
      <c r="AC631" s="1055"/>
      <c r="AD631" s="1055"/>
      <c r="AE631" s="1055"/>
      <c r="AF631" s="1055"/>
      <c r="AG631" s="1055"/>
      <c r="AH631" s="1055"/>
      <c r="AI631" s="1055"/>
      <c r="AJ631" s="1747"/>
      <c r="AK631" s="1747"/>
      <c r="AL631" s="1747"/>
      <c r="AM631" s="1747"/>
      <c r="AN631" s="1747"/>
      <c r="AO631" s="1747"/>
      <c r="AP631" s="1747"/>
      <c r="AQ631" s="1747"/>
      <c r="AR631" s="1747"/>
      <c r="AS631" s="1747"/>
      <c r="AT631" s="1747"/>
      <c r="AU631" s="1747"/>
      <c r="AV631" s="1747"/>
      <c r="AW631" s="1747"/>
      <c r="AX631" s="1747"/>
      <c r="AY631" s="1747"/>
      <c r="AZ631" s="1747"/>
      <c r="BA631" s="1747"/>
      <c r="BB631" s="1747"/>
      <c r="BC631" s="1055"/>
      <c r="BD631" s="1055"/>
      <c r="BE631" s="1055"/>
      <c r="BF631" s="1055"/>
      <c r="BG631" s="1056"/>
    </row>
    <row r="632" spans="1:59" x14ac:dyDescent="0.15">
      <c r="A632" s="1050"/>
      <c r="B632" s="1064"/>
      <c r="C632" s="1055"/>
      <c r="D632" s="1055"/>
      <c r="E632" s="1055"/>
      <c r="F632" s="1055"/>
      <c r="G632" s="1055"/>
      <c r="H632" s="1055"/>
      <c r="I632" s="1055"/>
      <c r="J632" s="1055"/>
      <c r="K632" s="1055"/>
      <c r="L632" s="1055"/>
      <c r="M632" s="1055"/>
      <c r="N632" s="1746" t="s">
        <v>316</v>
      </c>
      <c r="O632" s="1746"/>
      <c r="P632" s="1746"/>
      <c r="Q632" s="1746"/>
      <c r="R632" s="1746"/>
      <c r="S632" s="1746"/>
      <c r="T632" s="1746"/>
      <c r="U632" s="1746"/>
      <c r="V632" s="1746"/>
      <c r="W632" s="1746"/>
      <c r="X632" s="1746"/>
      <c r="Y632" s="1055"/>
      <c r="Z632" s="1055"/>
      <c r="AA632" s="1055"/>
      <c r="AB632" s="1055"/>
      <c r="AC632" s="1055"/>
      <c r="AD632" s="1055"/>
      <c r="AE632" s="1055"/>
      <c r="AF632" s="1055"/>
      <c r="AG632" s="1055"/>
      <c r="AH632" s="1055"/>
      <c r="AI632" s="1055"/>
      <c r="AJ632" s="1055"/>
      <c r="AK632" s="1055"/>
      <c r="AL632" s="1055"/>
      <c r="AM632" s="1055"/>
      <c r="AN632" s="1746" t="s">
        <v>316</v>
      </c>
      <c r="AO632" s="1746"/>
      <c r="AP632" s="1746"/>
      <c r="AQ632" s="1746"/>
      <c r="AR632" s="1746"/>
      <c r="AS632" s="1746"/>
      <c r="AT632" s="1746"/>
      <c r="AU632" s="1746"/>
      <c r="AV632" s="1746"/>
      <c r="AW632" s="1746"/>
      <c r="AX632" s="1746"/>
      <c r="AY632" s="1055"/>
      <c r="AZ632" s="1055"/>
      <c r="BA632" s="1055"/>
      <c r="BB632" s="1055"/>
      <c r="BC632" s="1055"/>
      <c r="BD632" s="1055"/>
      <c r="BE632" s="1055"/>
      <c r="BF632" s="1055"/>
      <c r="BG632" s="1056"/>
    </row>
    <row r="633" spans="1:59" x14ac:dyDescent="0.15">
      <c r="A633" s="1050"/>
      <c r="B633" s="1064"/>
      <c r="C633" s="1055"/>
      <c r="D633" s="1055"/>
      <c r="E633" s="1055"/>
      <c r="F633" s="1055"/>
      <c r="G633" s="1055"/>
      <c r="H633" s="1055"/>
      <c r="I633" s="1055"/>
      <c r="J633" s="1055"/>
      <c r="K633" s="1055"/>
      <c r="L633" s="1055"/>
      <c r="M633" s="1055"/>
      <c r="N633" s="1055"/>
      <c r="O633" s="1055"/>
      <c r="P633" s="1055"/>
      <c r="Q633" s="1055"/>
      <c r="R633" s="1055"/>
      <c r="S633" s="1055"/>
      <c r="T633" s="1055"/>
      <c r="U633" s="1055"/>
      <c r="V633" s="1055"/>
      <c r="W633" s="1055"/>
      <c r="X633" s="1055"/>
      <c r="Y633" s="1055"/>
      <c r="Z633" s="1055"/>
      <c r="AA633" s="1055"/>
      <c r="AB633" s="1055"/>
      <c r="AC633" s="1055"/>
      <c r="AD633" s="1055"/>
      <c r="AE633" s="1055"/>
      <c r="AF633" s="1055"/>
      <c r="AG633" s="1055"/>
      <c r="AH633" s="1055"/>
      <c r="AI633" s="1055"/>
      <c r="AJ633" s="1055"/>
      <c r="AK633" s="1055"/>
      <c r="AL633" s="1055"/>
      <c r="AM633" s="1055"/>
      <c r="AN633" s="1055"/>
      <c r="AO633" s="1055"/>
      <c r="AP633" s="1055"/>
      <c r="AQ633" s="1055"/>
      <c r="AR633" s="1055"/>
      <c r="AS633" s="1055"/>
      <c r="AT633" s="1055"/>
      <c r="AU633" s="1055"/>
      <c r="AV633" s="1055"/>
      <c r="AW633" s="1055"/>
      <c r="AX633" s="1055"/>
      <c r="AY633" s="1055"/>
      <c r="AZ633" s="1055"/>
      <c r="BA633" s="1055"/>
      <c r="BB633" s="1055"/>
      <c r="BC633" s="1055"/>
      <c r="BD633" s="1055"/>
      <c r="BE633" s="1055"/>
      <c r="BF633" s="1055"/>
      <c r="BG633" s="1056"/>
    </row>
    <row r="634" spans="1:59" x14ac:dyDescent="0.15">
      <c r="A634" s="1050"/>
      <c r="B634" s="1064"/>
      <c r="C634" s="1055"/>
      <c r="D634" s="1055"/>
      <c r="E634" s="1055"/>
      <c r="F634" s="1055"/>
      <c r="G634" s="1055"/>
      <c r="H634" s="1055"/>
      <c r="I634" s="1055"/>
      <c r="J634" s="1055"/>
      <c r="K634" s="1055"/>
      <c r="L634" s="1055"/>
      <c r="M634" s="1055"/>
      <c r="N634" s="1055"/>
      <c r="O634" s="1055"/>
      <c r="P634" s="1055"/>
      <c r="Q634" s="1055"/>
      <c r="R634" s="1055"/>
      <c r="S634" s="1055"/>
      <c r="T634" s="1055"/>
      <c r="U634" s="1055"/>
      <c r="V634" s="1055"/>
      <c r="W634" s="1055"/>
      <c r="X634" s="1055"/>
      <c r="Y634" s="1055"/>
      <c r="Z634" s="1055"/>
      <c r="AA634" s="1055"/>
      <c r="AB634" s="1055"/>
      <c r="AC634" s="1055"/>
      <c r="AD634" s="1055"/>
      <c r="AE634" s="1055"/>
      <c r="AF634" s="1055"/>
      <c r="AG634" s="1055"/>
      <c r="AH634" s="1055"/>
      <c r="AI634" s="1055"/>
      <c r="AJ634" s="1055"/>
      <c r="AK634" s="1055"/>
      <c r="AL634" s="1055"/>
      <c r="AM634" s="1055"/>
      <c r="AN634" s="1055"/>
      <c r="AO634" s="1055"/>
      <c r="AP634" s="1055"/>
      <c r="AQ634" s="1055"/>
      <c r="AR634" s="1055"/>
      <c r="AS634" s="1055"/>
      <c r="AT634" s="1055"/>
      <c r="AU634" s="1055"/>
      <c r="AV634" s="1055"/>
      <c r="AW634" s="1055"/>
      <c r="AX634" s="1055"/>
      <c r="AY634" s="1055"/>
      <c r="AZ634" s="1055"/>
      <c r="BA634" s="1055"/>
      <c r="BB634" s="1055"/>
      <c r="BC634" s="1055"/>
      <c r="BD634" s="1055"/>
      <c r="BE634" s="1055"/>
      <c r="BF634" s="1055"/>
      <c r="BG634" s="1056"/>
    </row>
    <row r="635" spans="1:59" x14ac:dyDescent="0.15">
      <c r="A635" s="1050"/>
      <c r="B635" s="1064"/>
      <c r="C635" s="1055"/>
      <c r="D635" s="1055"/>
      <c r="E635" s="1055"/>
      <c r="F635" s="1055"/>
      <c r="G635" s="1055"/>
      <c r="H635" s="1055"/>
      <c r="I635" s="1055"/>
      <c r="J635" s="1747"/>
      <c r="K635" s="1747"/>
      <c r="L635" s="1747"/>
      <c r="M635" s="1747"/>
      <c r="N635" s="1747"/>
      <c r="O635" s="1747"/>
      <c r="P635" s="1747"/>
      <c r="Q635" s="1747"/>
      <c r="R635" s="1747"/>
      <c r="S635" s="1747"/>
      <c r="T635" s="1747"/>
      <c r="U635" s="1747"/>
      <c r="V635" s="1747"/>
      <c r="W635" s="1747"/>
      <c r="X635" s="1747"/>
      <c r="Y635" s="1747"/>
      <c r="Z635" s="1747"/>
      <c r="AA635" s="1747"/>
      <c r="AB635" s="1747"/>
      <c r="AC635" s="1055"/>
      <c r="AD635" s="1055"/>
      <c r="AE635" s="1055"/>
      <c r="AF635" s="1055"/>
      <c r="AG635" s="1055"/>
      <c r="AH635" s="1055"/>
      <c r="AI635" s="1055"/>
      <c r="AJ635" s="1747"/>
      <c r="AK635" s="1747"/>
      <c r="AL635" s="1747"/>
      <c r="AM635" s="1747"/>
      <c r="AN635" s="1747"/>
      <c r="AO635" s="1747"/>
      <c r="AP635" s="1747"/>
      <c r="AQ635" s="1747"/>
      <c r="AR635" s="1747"/>
      <c r="AS635" s="1747"/>
      <c r="AT635" s="1747"/>
      <c r="AU635" s="1747"/>
      <c r="AV635" s="1747"/>
      <c r="AW635" s="1747"/>
      <c r="AX635" s="1747"/>
      <c r="AY635" s="1747"/>
      <c r="AZ635" s="1747"/>
      <c r="BA635" s="1747"/>
      <c r="BB635" s="1747"/>
      <c r="BC635" s="1055"/>
      <c r="BD635" s="1055"/>
      <c r="BE635" s="1055"/>
      <c r="BF635" s="1055"/>
      <c r="BG635" s="1056"/>
    </row>
    <row r="636" spans="1:59" x14ac:dyDescent="0.15">
      <c r="A636" s="1050"/>
      <c r="B636" s="1064"/>
      <c r="C636" s="1055"/>
      <c r="D636" s="1055"/>
      <c r="E636" s="1055"/>
      <c r="F636" s="1055"/>
      <c r="G636" s="1055"/>
      <c r="H636" s="1055"/>
      <c r="I636" s="1055"/>
      <c r="J636" s="1055"/>
      <c r="K636" s="1055"/>
      <c r="L636" s="1055"/>
      <c r="M636" s="1055"/>
      <c r="N636" s="1746" t="s">
        <v>801</v>
      </c>
      <c r="O636" s="1746"/>
      <c r="P636" s="1746"/>
      <c r="Q636" s="1746"/>
      <c r="R636" s="1746"/>
      <c r="S636" s="1746"/>
      <c r="T636" s="1746"/>
      <c r="U636" s="1746"/>
      <c r="V636" s="1746"/>
      <c r="W636" s="1746"/>
      <c r="X636" s="1746"/>
      <c r="Y636" s="1055"/>
      <c r="Z636" s="1055"/>
      <c r="AA636" s="1055"/>
      <c r="AB636" s="1055"/>
      <c r="AC636" s="1055"/>
      <c r="AD636" s="1055"/>
      <c r="AE636" s="1055"/>
      <c r="AF636" s="1055"/>
      <c r="AG636" s="1055"/>
      <c r="AH636" s="1055"/>
      <c r="AI636" s="1055"/>
      <c r="AJ636" s="1055"/>
      <c r="AK636" s="1055"/>
      <c r="AL636" s="1055"/>
      <c r="AM636" s="1055"/>
      <c r="AN636" s="1746" t="s">
        <v>801</v>
      </c>
      <c r="AO636" s="1746"/>
      <c r="AP636" s="1746"/>
      <c r="AQ636" s="1746"/>
      <c r="AR636" s="1746"/>
      <c r="AS636" s="1746"/>
      <c r="AT636" s="1746"/>
      <c r="AU636" s="1746"/>
      <c r="AV636" s="1746"/>
      <c r="AW636" s="1746"/>
      <c r="AX636" s="1746"/>
      <c r="AY636" s="1055"/>
      <c r="AZ636" s="1055"/>
      <c r="BA636" s="1055"/>
      <c r="BB636" s="1055"/>
      <c r="BC636" s="1055"/>
      <c r="BD636" s="1055"/>
      <c r="BE636" s="1055"/>
      <c r="BF636" s="1055"/>
      <c r="BG636" s="1056"/>
    </row>
    <row r="637" spans="1:59" x14ac:dyDescent="0.15">
      <c r="A637" s="1050"/>
      <c r="B637" s="1064"/>
      <c r="C637" s="1055"/>
      <c r="D637" s="1055"/>
      <c r="E637" s="1055"/>
      <c r="F637" s="1055"/>
      <c r="G637" s="1055"/>
      <c r="H637" s="1055"/>
      <c r="I637" s="1055"/>
      <c r="J637" s="1055"/>
      <c r="K637" s="1055"/>
      <c r="L637" s="1055"/>
      <c r="M637" s="1055"/>
      <c r="N637" s="1055"/>
      <c r="O637" s="1055"/>
      <c r="P637" s="1055"/>
      <c r="Q637" s="1055"/>
      <c r="R637" s="1055"/>
      <c r="S637" s="1055"/>
      <c r="T637" s="1055"/>
      <c r="U637" s="1055"/>
      <c r="V637" s="1055"/>
      <c r="W637" s="1055"/>
      <c r="X637" s="1055"/>
      <c r="Y637" s="1055"/>
      <c r="Z637" s="1055"/>
      <c r="AA637" s="1055"/>
      <c r="AB637" s="1055"/>
      <c r="AC637" s="1055"/>
      <c r="AD637" s="1055"/>
      <c r="AE637" s="1055"/>
      <c r="AF637" s="1055"/>
      <c r="AG637" s="1055"/>
      <c r="AH637" s="1055"/>
      <c r="AI637" s="1055"/>
      <c r="AJ637" s="1055"/>
      <c r="AK637" s="1055"/>
      <c r="AL637" s="1055"/>
      <c r="AM637" s="1055"/>
      <c r="AN637" s="1055"/>
      <c r="AO637" s="1055"/>
      <c r="AP637" s="1055"/>
      <c r="AQ637" s="1055"/>
      <c r="AR637" s="1055"/>
      <c r="AS637" s="1055"/>
      <c r="AT637" s="1055"/>
      <c r="AU637" s="1055"/>
      <c r="AV637" s="1055"/>
      <c r="AW637" s="1055"/>
      <c r="AX637" s="1055"/>
      <c r="AY637" s="1055"/>
      <c r="AZ637" s="1055"/>
      <c r="BA637" s="1055"/>
      <c r="BB637" s="1055"/>
      <c r="BC637" s="1055"/>
      <c r="BD637" s="1055"/>
      <c r="BE637" s="1055"/>
      <c r="BF637" s="1055"/>
      <c r="BG637" s="1056"/>
    </row>
    <row r="638" spans="1:59" x14ac:dyDescent="0.15">
      <c r="A638" s="1050"/>
      <c r="B638" s="1064"/>
      <c r="C638" s="1055"/>
      <c r="D638" s="1055"/>
      <c r="E638" s="1055"/>
      <c r="F638" s="1055"/>
      <c r="G638" s="1055"/>
      <c r="H638" s="1055"/>
      <c r="I638" s="1055"/>
      <c r="J638" s="1055"/>
      <c r="K638" s="1055"/>
      <c r="L638" s="1055"/>
      <c r="M638" s="1055"/>
      <c r="N638" s="1055"/>
      <c r="O638" s="1055"/>
      <c r="P638" s="1055"/>
      <c r="Q638" s="1055"/>
      <c r="R638" s="1055"/>
      <c r="S638" s="1055"/>
      <c r="T638" s="1055"/>
      <c r="U638" s="1055"/>
      <c r="V638" s="1055"/>
      <c r="W638" s="1055"/>
      <c r="X638" s="1055"/>
      <c r="Y638" s="1055"/>
      <c r="Z638" s="1055"/>
      <c r="AA638" s="1055"/>
      <c r="AB638" s="1055"/>
      <c r="AC638" s="1055"/>
      <c r="AD638" s="1055"/>
      <c r="AE638" s="1055"/>
      <c r="AF638" s="1055"/>
      <c r="AG638" s="1055"/>
      <c r="AH638" s="1055"/>
      <c r="AI638" s="1055"/>
      <c r="AJ638" s="1055"/>
      <c r="AK638" s="1055"/>
      <c r="AL638" s="1055"/>
      <c r="AM638" s="1055"/>
      <c r="AN638" s="1055"/>
      <c r="AO638" s="1055"/>
      <c r="AP638" s="1055"/>
      <c r="AQ638" s="1055"/>
      <c r="AR638" s="1055"/>
      <c r="AS638" s="1055"/>
      <c r="AT638" s="1055"/>
      <c r="AU638" s="1055"/>
      <c r="AV638" s="1055"/>
      <c r="AW638" s="1055"/>
      <c r="AX638" s="1055"/>
      <c r="AY638" s="1055"/>
      <c r="AZ638" s="1055"/>
      <c r="BA638" s="1055"/>
      <c r="BB638" s="1055"/>
      <c r="BC638" s="1055"/>
      <c r="BD638" s="1055"/>
      <c r="BE638" s="1055"/>
      <c r="BF638" s="1055"/>
      <c r="BG638" s="1056"/>
    </row>
    <row r="639" spans="1:59" x14ac:dyDescent="0.15">
      <c r="A639" s="1050"/>
      <c r="B639" s="1064"/>
      <c r="C639" s="1055"/>
      <c r="D639" s="1055"/>
      <c r="E639" s="1055"/>
      <c r="F639" s="1055"/>
      <c r="G639" s="1055"/>
      <c r="H639" s="1055"/>
      <c r="I639" s="1055"/>
      <c r="J639" s="1747"/>
      <c r="K639" s="1747"/>
      <c r="L639" s="1747"/>
      <c r="M639" s="1747"/>
      <c r="N639" s="1747"/>
      <c r="O639" s="1747"/>
      <c r="P639" s="1747"/>
      <c r="Q639" s="1747"/>
      <c r="R639" s="1747"/>
      <c r="S639" s="1747"/>
      <c r="T639" s="1747"/>
      <c r="U639" s="1747"/>
      <c r="V639" s="1747"/>
      <c r="W639" s="1747"/>
      <c r="X639" s="1747"/>
      <c r="Y639" s="1747"/>
      <c r="Z639" s="1747"/>
      <c r="AA639" s="1747"/>
      <c r="AB639" s="1747"/>
      <c r="AC639" s="1055"/>
      <c r="AD639" s="1055"/>
      <c r="AE639" s="1055"/>
      <c r="AF639" s="1055"/>
      <c r="AG639" s="1055"/>
      <c r="AH639" s="1055"/>
      <c r="AI639" s="1055"/>
      <c r="AJ639" s="1747"/>
      <c r="AK639" s="1747"/>
      <c r="AL639" s="1747"/>
      <c r="AM639" s="1747"/>
      <c r="AN639" s="1747"/>
      <c r="AO639" s="1747"/>
      <c r="AP639" s="1747"/>
      <c r="AQ639" s="1747"/>
      <c r="AR639" s="1747"/>
      <c r="AS639" s="1747"/>
      <c r="AT639" s="1747"/>
      <c r="AU639" s="1747"/>
      <c r="AV639" s="1747"/>
      <c r="AW639" s="1747"/>
      <c r="AX639" s="1747"/>
      <c r="AY639" s="1747"/>
      <c r="AZ639" s="1747"/>
      <c r="BA639" s="1747"/>
      <c r="BB639" s="1747"/>
      <c r="BC639" s="1055"/>
      <c r="BD639" s="1055"/>
      <c r="BE639" s="1055"/>
      <c r="BF639" s="1055"/>
      <c r="BG639" s="1056"/>
    </row>
    <row r="640" spans="1:59" x14ac:dyDescent="0.15">
      <c r="A640" s="1050"/>
      <c r="B640" s="1064"/>
      <c r="C640" s="1055"/>
      <c r="D640" s="1055"/>
      <c r="E640" s="1055"/>
      <c r="F640" s="1055"/>
      <c r="G640" s="1055"/>
      <c r="H640" s="1055"/>
      <c r="I640" s="1055"/>
      <c r="J640" s="1055"/>
      <c r="K640" s="1055"/>
      <c r="L640" s="1055"/>
      <c r="M640" s="1055"/>
      <c r="N640" s="1746" t="s">
        <v>802</v>
      </c>
      <c r="O640" s="1746"/>
      <c r="P640" s="1746"/>
      <c r="Q640" s="1746"/>
      <c r="R640" s="1746"/>
      <c r="S640" s="1746"/>
      <c r="T640" s="1746"/>
      <c r="U640" s="1746"/>
      <c r="V640" s="1746"/>
      <c r="W640" s="1746"/>
      <c r="X640" s="1746"/>
      <c r="Y640" s="1055"/>
      <c r="Z640" s="1055"/>
      <c r="AA640" s="1055"/>
      <c r="AB640" s="1055"/>
      <c r="AC640" s="1055"/>
      <c r="AD640" s="1055"/>
      <c r="AE640" s="1055"/>
      <c r="AF640" s="1055"/>
      <c r="AG640" s="1055"/>
      <c r="AH640" s="1055"/>
      <c r="AI640" s="1055"/>
      <c r="AJ640" s="1055"/>
      <c r="AK640" s="1055"/>
      <c r="AL640" s="1055"/>
      <c r="AM640" s="1055"/>
      <c r="AN640" s="1746" t="s">
        <v>802</v>
      </c>
      <c r="AO640" s="1746"/>
      <c r="AP640" s="1746"/>
      <c r="AQ640" s="1746"/>
      <c r="AR640" s="1746"/>
      <c r="AS640" s="1746"/>
      <c r="AT640" s="1746"/>
      <c r="AU640" s="1746"/>
      <c r="AV640" s="1746"/>
      <c r="AW640" s="1746"/>
      <c r="AX640" s="1746"/>
      <c r="AY640" s="1055"/>
      <c r="AZ640" s="1055"/>
      <c r="BA640" s="1055"/>
      <c r="BB640" s="1055"/>
      <c r="BC640" s="1055"/>
      <c r="BD640" s="1055"/>
      <c r="BE640" s="1055"/>
      <c r="BF640" s="1055"/>
      <c r="BG640" s="1056"/>
    </row>
    <row r="641" spans="1:59" x14ac:dyDescent="0.15">
      <c r="A641" s="1050"/>
      <c r="B641" s="1064"/>
      <c r="C641" s="1760"/>
      <c r="D641" s="1760"/>
      <c r="E641" s="1760"/>
      <c r="F641" s="1760"/>
      <c r="G641" s="1760"/>
      <c r="H641" s="1760"/>
      <c r="I641" s="1760"/>
      <c r="J641" s="1760"/>
      <c r="K641" s="1760"/>
      <c r="L641" s="1760"/>
      <c r="M641" s="1760"/>
      <c r="N641" s="1760"/>
      <c r="O641" s="1760"/>
      <c r="P641" s="1760"/>
      <c r="Q641" s="1760"/>
      <c r="R641" s="1760"/>
      <c r="S641" s="1760"/>
      <c r="T641" s="1760"/>
      <c r="U641" s="1760"/>
      <c r="V641" s="1760"/>
      <c r="W641" s="1760"/>
      <c r="X641" s="1760"/>
      <c r="Y641" s="1760"/>
      <c r="Z641" s="1760"/>
      <c r="AA641" s="1760"/>
      <c r="AB641" s="1760"/>
      <c r="AC641" s="1760"/>
      <c r="AD641" s="1760"/>
      <c r="AE641" s="1760"/>
      <c r="AF641" s="1760"/>
      <c r="AG641" s="1760"/>
      <c r="AH641" s="1760"/>
      <c r="AI641" s="1760"/>
      <c r="AJ641" s="1760"/>
      <c r="AK641" s="1760"/>
      <c r="AL641" s="1760"/>
      <c r="AM641" s="1760"/>
      <c r="AN641" s="1760"/>
      <c r="AO641" s="1760"/>
      <c r="AP641" s="1760"/>
      <c r="AQ641" s="1760"/>
      <c r="AR641" s="1760"/>
      <c r="AS641" s="1760"/>
      <c r="AT641" s="1760"/>
      <c r="AU641" s="1760"/>
      <c r="AV641" s="1760"/>
      <c r="AW641" s="1760"/>
      <c r="AX641" s="1760"/>
      <c r="AY641" s="1760"/>
      <c r="AZ641" s="1760"/>
      <c r="BA641" s="1760"/>
      <c r="BB641" s="1760"/>
      <c r="BC641" s="1760"/>
      <c r="BD641" s="1760"/>
      <c r="BE641" s="1760"/>
      <c r="BF641" s="1760"/>
      <c r="BG641" s="1056"/>
    </row>
    <row r="642" spans="1:59" x14ac:dyDescent="0.15">
      <c r="A642" s="1050"/>
      <c r="B642" s="1065"/>
      <c r="C642" s="1747"/>
      <c r="D642" s="1747"/>
      <c r="E642" s="1747"/>
      <c r="F642" s="1747"/>
      <c r="G642" s="1747"/>
      <c r="H642" s="1747"/>
      <c r="I642" s="1747"/>
      <c r="J642" s="1747"/>
      <c r="K642" s="1747"/>
      <c r="L642" s="1747"/>
      <c r="M642" s="1747"/>
      <c r="N642" s="1747"/>
      <c r="O642" s="1747"/>
      <c r="P642" s="1747"/>
      <c r="Q642" s="1747"/>
      <c r="R642" s="1747"/>
      <c r="S642" s="1747"/>
      <c r="T642" s="1747"/>
      <c r="U642" s="1747"/>
      <c r="V642" s="1747"/>
      <c r="W642" s="1747"/>
      <c r="X642" s="1747"/>
      <c r="Y642" s="1747"/>
      <c r="Z642" s="1747"/>
      <c r="AA642" s="1747"/>
      <c r="AB642" s="1747"/>
      <c r="AC642" s="1747"/>
      <c r="AD642" s="1747"/>
      <c r="AE642" s="1747"/>
      <c r="AF642" s="1747"/>
      <c r="AG642" s="1747"/>
      <c r="AH642" s="1747"/>
      <c r="AI642" s="1747"/>
      <c r="AJ642" s="1747"/>
      <c r="AK642" s="1747"/>
      <c r="AL642" s="1747"/>
      <c r="AM642" s="1747"/>
      <c r="AN642" s="1747"/>
      <c r="AO642" s="1747"/>
      <c r="AP642" s="1747"/>
      <c r="AQ642" s="1747"/>
      <c r="AR642" s="1747"/>
      <c r="AS642" s="1747"/>
      <c r="AT642" s="1747"/>
      <c r="AU642" s="1747"/>
      <c r="AV642" s="1747"/>
      <c r="AW642" s="1747"/>
      <c r="AX642" s="1747"/>
      <c r="AY642" s="1747"/>
      <c r="AZ642" s="1747"/>
      <c r="BA642" s="1747"/>
      <c r="BB642" s="1747"/>
      <c r="BC642" s="1747"/>
      <c r="BD642" s="1747"/>
      <c r="BE642" s="1747"/>
      <c r="BF642" s="1747"/>
      <c r="BG642" s="1067"/>
    </row>
    <row r="643" spans="1:59" x14ac:dyDescent="0.15">
      <c r="A643" s="1050"/>
      <c r="B643" s="1050"/>
      <c r="C643" s="1050"/>
      <c r="D643" s="1050"/>
      <c r="E643" s="1050"/>
      <c r="F643" s="1050"/>
      <c r="G643" s="1050"/>
      <c r="H643" s="1050"/>
      <c r="I643" s="1050"/>
      <c r="J643" s="1050"/>
      <c r="K643" s="1050"/>
      <c r="L643" s="1050"/>
      <c r="M643" s="1050"/>
      <c r="N643" s="1050"/>
      <c r="O643" s="1050"/>
      <c r="P643" s="1050"/>
      <c r="Q643" s="1050"/>
      <c r="R643" s="1050"/>
      <c r="S643" s="1050"/>
      <c r="T643" s="1050"/>
      <c r="U643" s="1050"/>
      <c r="V643" s="1050"/>
      <c r="W643" s="1050"/>
      <c r="X643" s="1050"/>
      <c r="Y643" s="1050"/>
      <c r="Z643" s="1050"/>
      <c r="AA643" s="1050"/>
      <c r="AB643" s="1050"/>
      <c r="AC643" s="1050"/>
      <c r="AD643" s="1050"/>
      <c r="AE643" s="1050"/>
      <c r="AF643" s="1050"/>
      <c r="AG643" s="1050"/>
      <c r="AH643" s="1050"/>
      <c r="AI643" s="1050"/>
      <c r="AJ643" s="1050"/>
      <c r="AK643" s="1050"/>
      <c r="AL643" s="1050"/>
      <c r="AM643" s="1050"/>
      <c r="AN643" s="1050"/>
      <c r="AO643" s="1050"/>
      <c r="AP643" s="1050"/>
      <c r="AQ643" s="1050"/>
      <c r="AR643" s="1050"/>
      <c r="AS643" s="1050"/>
      <c r="AT643" s="1050"/>
      <c r="AU643" s="1050"/>
      <c r="AV643" s="1050"/>
      <c r="AW643" s="1050"/>
      <c r="AX643" s="1050"/>
      <c r="AY643" s="1050"/>
      <c r="AZ643" s="1050"/>
      <c r="BA643" s="1050"/>
      <c r="BB643" s="1050"/>
      <c r="BC643" s="1050"/>
      <c r="BD643" s="1050"/>
      <c r="BE643" s="1050"/>
      <c r="BF643" s="1050"/>
      <c r="BG643" s="1050"/>
    </row>
    <row r="644" spans="1:59" x14ac:dyDescent="0.15">
      <c r="A644" s="1050"/>
      <c r="B644" s="1762" t="str">
        <f>+IF(Hitelprog_Rovid="","",Hitelprog_Rovid)</f>
        <v/>
      </c>
      <c r="C644" s="1762"/>
      <c r="D644" s="1762"/>
      <c r="E644" s="1762"/>
      <c r="F644" s="1762"/>
      <c r="G644" s="1762"/>
      <c r="H644" s="1762"/>
      <c r="I644" s="1762"/>
      <c r="J644" s="1762"/>
      <c r="K644" s="1762"/>
      <c r="L644" s="1762"/>
      <c r="M644" s="1762"/>
      <c r="N644" s="1762"/>
      <c r="O644" s="1762"/>
      <c r="P644" s="1762"/>
      <c r="Q644" s="1762"/>
      <c r="R644" s="1762"/>
      <c r="S644" s="1762"/>
      <c r="T644" s="1762"/>
      <c r="U644" s="1762"/>
      <c r="V644" s="1762"/>
      <c r="W644" s="1762"/>
      <c r="X644" s="1762"/>
      <c r="Y644" s="1762"/>
      <c r="Z644" s="1762"/>
      <c r="AA644" s="1762"/>
      <c r="AB644" s="1762"/>
      <c r="AC644" s="1762"/>
      <c r="AD644" s="1762"/>
      <c r="AE644" s="1762"/>
      <c r="AF644" s="1762"/>
      <c r="AG644" s="1762"/>
      <c r="AH644" s="1762"/>
      <c r="AI644" s="1762"/>
      <c r="AJ644" s="1762"/>
      <c r="AK644" s="1762"/>
      <c r="AL644" s="1762"/>
      <c r="AM644" s="1762"/>
      <c r="AN644" s="1762"/>
      <c r="AO644" s="1762"/>
      <c r="AP644" s="1762"/>
      <c r="AQ644" s="1762"/>
      <c r="AR644" s="1762"/>
      <c r="AS644" s="1762"/>
      <c r="AT644" s="1762"/>
      <c r="AU644" s="1762"/>
      <c r="AV644" s="1762"/>
      <c r="AW644" s="1762"/>
      <c r="AX644" s="1762"/>
      <c r="AY644" s="1762"/>
      <c r="AZ644" s="1762"/>
      <c r="BA644" s="1762"/>
      <c r="BB644" s="1762"/>
      <c r="BC644" s="1762"/>
      <c r="BD644" s="1762"/>
      <c r="BE644" s="1762"/>
      <c r="BF644" s="1762"/>
      <c r="BG644" s="1762"/>
    </row>
    <row r="645" spans="1:59" x14ac:dyDescent="0.15">
      <c r="A645" s="1050"/>
      <c r="B645" s="1762"/>
      <c r="C645" s="1762"/>
      <c r="D645" s="1762"/>
      <c r="E645" s="1762"/>
      <c r="F645" s="1762"/>
      <c r="G645" s="1762"/>
      <c r="H645" s="1762"/>
      <c r="I645" s="1762"/>
      <c r="J645" s="1762"/>
      <c r="K645" s="1762"/>
      <c r="L645" s="1762"/>
      <c r="M645" s="1762"/>
      <c r="N645" s="1762"/>
      <c r="O645" s="1762"/>
      <c r="P645" s="1762"/>
      <c r="Q645" s="1762"/>
      <c r="R645" s="1762"/>
      <c r="S645" s="1762"/>
      <c r="T645" s="1762"/>
      <c r="U645" s="1762"/>
      <c r="V645" s="1762"/>
      <c r="W645" s="1762"/>
      <c r="X645" s="1762"/>
      <c r="Y645" s="1762"/>
      <c r="Z645" s="1762"/>
      <c r="AA645" s="1762"/>
      <c r="AB645" s="1762"/>
      <c r="AC645" s="1762"/>
      <c r="AD645" s="1762"/>
      <c r="AE645" s="1762"/>
      <c r="AF645" s="1762"/>
      <c r="AG645" s="1762"/>
      <c r="AH645" s="1762"/>
      <c r="AI645" s="1762"/>
      <c r="AJ645" s="1762"/>
      <c r="AK645" s="1762"/>
      <c r="AL645" s="1762"/>
      <c r="AM645" s="1762"/>
      <c r="AN645" s="1762"/>
      <c r="AO645" s="1762"/>
      <c r="AP645" s="1762"/>
      <c r="AQ645" s="1762"/>
      <c r="AR645" s="1762"/>
      <c r="AS645" s="1762"/>
      <c r="AT645" s="1762"/>
      <c r="AU645" s="1762"/>
      <c r="AV645" s="1762"/>
      <c r="AW645" s="1762"/>
      <c r="AX645" s="1762"/>
      <c r="AY645" s="1762"/>
      <c r="AZ645" s="1762"/>
      <c r="BA645" s="1762"/>
      <c r="BB645" s="1762"/>
      <c r="BC645" s="1762"/>
      <c r="BD645" s="1762"/>
      <c r="BE645" s="1762"/>
      <c r="BF645" s="1762"/>
      <c r="BG645" s="1762"/>
    </row>
    <row r="646" spans="1:59" x14ac:dyDescent="0.15">
      <c r="A646" s="1752"/>
      <c r="B646" s="1752"/>
      <c r="C646" s="1752"/>
      <c r="D646" s="1752"/>
      <c r="E646" s="1050"/>
      <c r="F646" s="1050"/>
      <c r="G646" s="1050"/>
      <c r="H646" s="1050"/>
      <c r="I646" s="1050"/>
      <c r="J646" s="1050"/>
      <c r="K646" s="1050"/>
      <c r="L646" s="1050"/>
      <c r="M646" s="1050"/>
      <c r="N646" s="1050"/>
      <c r="O646" s="1050"/>
      <c r="P646" s="1050"/>
      <c r="Q646" s="1050"/>
      <c r="R646" s="1050"/>
      <c r="S646" s="1050"/>
      <c r="T646" s="1050"/>
      <c r="U646" s="1050"/>
      <c r="V646" s="1050"/>
      <c r="W646" s="1050"/>
      <c r="X646" s="1050"/>
      <c r="Y646" s="1050"/>
      <c r="Z646" s="1050"/>
      <c r="AA646" s="1050"/>
      <c r="AB646" s="1050"/>
      <c r="AC646" s="1050"/>
      <c r="AD646" s="1050"/>
      <c r="AE646" s="1050"/>
      <c r="AF646" s="1050"/>
      <c r="AG646" s="1050"/>
      <c r="AH646" s="1050"/>
      <c r="AI646" s="1050"/>
      <c r="AJ646" s="1050"/>
      <c r="AK646" s="1050"/>
      <c r="AL646" s="1050"/>
      <c r="AM646" s="1050"/>
      <c r="AN646" s="1050"/>
      <c r="AO646" s="1050"/>
      <c r="AP646" s="1050"/>
      <c r="AQ646" s="1050"/>
      <c r="AR646" s="1050"/>
      <c r="AS646" s="1050"/>
      <c r="AT646" s="1050"/>
      <c r="AU646" s="1050"/>
      <c r="AV646" s="1050"/>
      <c r="AW646" s="1050"/>
      <c r="AX646" s="1050"/>
      <c r="AY646" s="1050"/>
      <c r="AZ646" s="1050"/>
      <c r="BA646" s="1050"/>
      <c r="BB646" s="1050"/>
      <c r="BC646" s="1050"/>
      <c r="BD646" s="1050"/>
      <c r="BE646" s="1050"/>
      <c r="BF646" s="1050"/>
      <c r="BG646" s="1050"/>
    </row>
    <row r="647" spans="1:59" ht="15" thickBot="1" x14ac:dyDescent="0.2">
      <c r="A647" s="1752"/>
      <c r="B647" s="1752"/>
      <c r="C647" s="1752"/>
      <c r="D647" s="1752"/>
      <c r="E647" s="1050"/>
      <c r="F647" s="1050"/>
      <c r="G647" s="1050"/>
      <c r="H647" s="1050"/>
      <c r="I647" s="1050"/>
      <c r="J647" s="1050"/>
      <c r="K647" s="1050"/>
      <c r="L647" s="1050"/>
      <c r="M647" s="1050"/>
      <c r="N647" s="1050"/>
      <c r="O647" s="1050"/>
      <c r="P647" s="1050"/>
      <c r="Q647" s="1050"/>
      <c r="R647" s="1050"/>
      <c r="S647" s="1050"/>
      <c r="T647" s="1050"/>
      <c r="U647" s="1050"/>
      <c r="V647" s="1050"/>
      <c r="W647" s="1050"/>
      <c r="X647" s="1050"/>
      <c r="Y647" s="1050"/>
      <c r="Z647" s="1050"/>
      <c r="AA647" s="1050"/>
      <c r="AB647" s="1050"/>
      <c r="AC647" s="1050"/>
      <c r="AD647" s="1050"/>
      <c r="AE647" s="1050"/>
      <c r="AF647" s="1050"/>
      <c r="AG647" s="1050"/>
      <c r="AH647" s="1050"/>
      <c r="AI647" s="1050"/>
      <c r="AJ647" s="1050"/>
      <c r="AK647" s="1050"/>
      <c r="AL647" s="1050"/>
      <c r="AM647" s="1050"/>
      <c r="AN647" s="1050"/>
      <c r="AO647" s="1050"/>
      <c r="AP647" s="1050"/>
      <c r="AQ647" s="1050"/>
      <c r="AR647" s="1050"/>
      <c r="AS647" s="1050"/>
      <c r="AT647" s="1050"/>
      <c r="AU647" s="1050"/>
      <c r="AV647" s="1050"/>
      <c r="AW647" s="1050"/>
      <c r="AX647" s="1050"/>
      <c r="AY647" s="1050"/>
      <c r="AZ647" s="1050"/>
      <c r="BA647" s="1050"/>
      <c r="BB647" s="1050"/>
      <c r="BC647" s="1050"/>
      <c r="BD647" s="1050"/>
      <c r="BE647" s="1050"/>
      <c r="BF647" s="1050"/>
      <c r="BG647" s="1050"/>
    </row>
    <row r="648" spans="1:59" ht="27" customHeight="1" thickBot="1" x14ac:dyDescent="0.2">
      <c r="A648" s="1752"/>
      <c r="B648" s="1752"/>
      <c r="C648" s="1752"/>
      <c r="D648" s="1752"/>
      <c r="E648" s="1050"/>
      <c r="F648" s="1050"/>
      <c r="G648" s="1050"/>
      <c r="H648" s="1050"/>
      <c r="I648" s="1050"/>
      <c r="J648" s="1050"/>
      <c r="K648" s="1050"/>
      <c r="L648" s="1050"/>
      <c r="M648" s="1050"/>
      <c r="N648" s="1050"/>
      <c r="O648" s="1050"/>
      <c r="P648" s="1050"/>
      <c r="Q648" s="1766" t="str">
        <f>+IF(B644="MFB NHP Fix Lízing Refinanszírozási Program","FINANSZÍROZÁSI KATEGÓRIA NYILATKOZAT","TÁMOGATÁSI KATEGÓRIA NYILATKOZAT")</f>
        <v>TÁMOGATÁSI KATEGÓRIA NYILATKOZAT</v>
      </c>
      <c r="R648" s="1767"/>
      <c r="S648" s="1767"/>
      <c r="T648" s="1767"/>
      <c r="U648" s="1767"/>
      <c r="V648" s="1767"/>
      <c r="W648" s="1767"/>
      <c r="X648" s="1767"/>
      <c r="Y648" s="1767"/>
      <c r="Z648" s="1767"/>
      <c r="AA648" s="1767"/>
      <c r="AB648" s="1767"/>
      <c r="AC648" s="1767"/>
      <c r="AD648" s="1767"/>
      <c r="AE648" s="1767"/>
      <c r="AF648" s="1767"/>
      <c r="AG648" s="1767"/>
      <c r="AH648" s="1767"/>
      <c r="AI648" s="1767"/>
      <c r="AJ648" s="1767"/>
      <c r="AK648" s="1767"/>
      <c r="AL648" s="1767"/>
      <c r="AM648" s="1767"/>
      <c r="AN648" s="1767"/>
      <c r="AO648" s="1767"/>
      <c r="AP648" s="1767"/>
      <c r="AQ648" s="1767"/>
      <c r="AR648" s="1767"/>
      <c r="AS648" s="1768"/>
      <c r="AT648" s="1050"/>
      <c r="AU648" s="1050"/>
      <c r="AV648" s="1050"/>
      <c r="AW648" s="1050"/>
      <c r="AX648" s="1050"/>
      <c r="AY648" s="1050"/>
      <c r="AZ648" s="1050"/>
      <c r="BA648" s="1050"/>
      <c r="BB648" s="1050"/>
      <c r="BC648" s="1050"/>
      <c r="BD648" s="1050"/>
      <c r="BE648" s="1050"/>
      <c r="BF648" s="1050"/>
      <c r="BG648" s="1050"/>
    </row>
    <row r="649" spans="1:59" x14ac:dyDescent="0.15">
      <c r="A649" s="1752"/>
      <c r="B649" s="1752"/>
      <c r="C649" s="1752"/>
      <c r="D649" s="1752"/>
      <c r="E649" s="1050"/>
      <c r="F649" s="1050"/>
      <c r="G649" s="1050"/>
      <c r="H649" s="1050"/>
      <c r="I649" s="1050"/>
      <c r="J649" s="1050"/>
      <c r="K649" s="1050"/>
      <c r="L649" s="1050"/>
      <c r="M649" s="1050"/>
      <c r="N649" s="1050"/>
      <c r="O649" s="1050"/>
      <c r="P649" s="1050"/>
      <c r="Q649" s="1050"/>
      <c r="R649" s="1050"/>
      <c r="S649" s="1050"/>
      <c r="T649" s="1050"/>
      <c r="U649" s="1050"/>
      <c r="V649" s="1050"/>
      <c r="W649" s="1050"/>
      <c r="X649" s="1050"/>
      <c r="Y649" s="1050"/>
      <c r="Z649" s="1050"/>
      <c r="AA649" s="1050"/>
      <c r="AB649" s="1050"/>
      <c r="AC649" s="1050"/>
      <c r="AD649" s="1050"/>
      <c r="AE649" s="1050"/>
      <c r="AF649" s="1050"/>
      <c r="AG649" s="1050"/>
      <c r="AH649" s="1050"/>
      <c r="AI649" s="1050"/>
      <c r="AJ649" s="1050"/>
      <c r="AK649" s="1050"/>
      <c r="AL649" s="1050"/>
      <c r="AM649" s="1050"/>
      <c r="AN649" s="1050"/>
      <c r="AO649" s="1050"/>
      <c r="AP649" s="1050"/>
      <c r="AQ649" s="1050"/>
      <c r="AR649" s="1050"/>
      <c r="AS649" s="1050"/>
      <c r="AT649" s="1050"/>
      <c r="AU649" s="1050"/>
      <c r="AV649" s="1050"/>
      <c r="AW649" s="1050"/>
      <c r="AX649" s="1050"/>
      <c r="AY649" s="1050"/>
      <c r="AZ649" s="1050"/>
      <c r="BA649" s="1050"/>
      <c r="BB649" s="1050"/>
      <c r="BC649" s="1050"/>
      <c r="BD649" s="1050"/>
      <c r="BE649" s="1050"/>
      <c r="BF649" s="1050"/>
      <c r="BG649" s="1050"/>
    </row>
    <row r="650" spans="1:59" x14ac:dyDescent="0.15">
      <c r="A650" s="1052"/>
      <c r="B650" s="1753" t="s">
        <v>841</v>
      </c>
      <c r="C650" s="1754"/>
      <c r="D650" s="1754"/>
      <c r="E650" s="1754"/>
      <c r="F650" s="1754"/>
      <c r="G650" s="1754"/>
      <c r="H650" s="1754"/>
      <c r="I650" s="1754"/>
      <c r="J650" s="1754"/>
      <c r="K650" s="1754"/>
      <c r="L650" s="1754"/>
      <c r="M650" s="1754"/>
      <c r="N650" s="1754"/>
      <c r="O650" s="1754"/>
      <c r="P650" s="1754"/>
      <c r="Q650" s="1754"/>
      <c r="R650" s="1754"/>
      <c r="S650" s="1754"/>
      <c r="T650" s="1754"/>
      <c r="U650" s="1754"/>
      <c r="V650" s="1754"/>
      <c r="W650" s="1754"/>
      <c r="X650" s="1754"/>
      <c r="Y650" s="1754"/>
      <c r="Z650" s="1754"/>
      <c r="AA650" s="1754"/>
      <c r="AB650" s="1754"/>
      <c r="AC650" s="1754"/>
      <c r="AD650" s="1754"/>
      <c r="AE650" s="1754"/>
      <c r="AF650" s="1754"/>
      <c r="AG650" s="1754"/>
      <c r="AH650" s="1754"/>
      <c r="AI650" s="1754"/>
      <c r="AJ650" s="1754"/>
      <c r="AK650" s="1754"/>
      <c r="AL650" s="1754"/>
      <c r="AM650" s="1754"/>
      <c r="AN650" s="1754"/>
      <c r="AO650" s="1754"/>
      <c r="AP650" s="1754"/>
      <c r="AQ650" s="1754"/>
      <c r="AR650" s="1754"/>
      <c r="AS650" s="1754"/>
      <c r="AT650" s="1754"/>
      <c r="AU650" s="1754"/>
      <c r="AV650" s="1754"/>
      <c r="AW650" s="1754"/>
      <c r="AX650" s="1754"/>
      <c r="AY650" s="1754"/>
      <c r="AZ650" s="1754"/>
      <c r="BA650" s="1754"/>
      <c r="BB650" s="1754"/>
      <c r="BC650" s="1754"/>
      <c r="BD650" s="1754"/>
      <c r="BE650" s="1754"/>
      <c r="BF650" s="1754"/>
      <c r="BG650" s="1755"/>
    </row>
    <row r="651" spans="1:59" ht="15" thickBot="1" x14ac:dyDescent="0.2">
      <c r="A651" s="1052"/>
      <c r="B651" s="1053"/>
      <c r="C651" s="1054"/>
      <c r="D651" s="1054"/>
      <c r="E651" s="1055"/>
      <c r="F651" s="1055"/>
      <c r="G651" s="1055"/>
      <c r="H651" s="1055"/>
      <c r="I651" s="1055"/>
      <c r="J651" s="1055"/>
      <c r="K651" s="1055"/>
      <c r="L651" s="1055"/>
      <c r="M651" s="1055"/>
      <c r="N651" s="1055"/>
      <c r="O651" s="1055"/>
      <c r="P651" s="1055"/>
      <c r="Q651" s="1055"/>
      <c r="R651" s="1055"/>
      <c r="S651" s="1055"/>
      <c r="T651" s="1055"/>
      <c r="U651" s="1055"/>
      <c r="V651" s="1055"/>
      <c r="W651" s="1055"/>
      <c r="X651" s="1055"/>
      <c r="Y651" s="1055"/>
      <c r="Z651" s="1055"/>
      <c r="AA651" s="1055"/>
      <c r="AB651" s="1055"/>
      <c r="AC651" s="1055"/>
      <c r="AD651" s="1055"/>
      <c r="AE651" s="1055"/>
      <c r="AF651" s="1055"/>
      <c r="AG651" s="1055"/>
      <c r="AH651" s="1055"/>
      <c r="AI651" s="1055"/>
      <c r="AJ651" s="1055"/>
      <c r="AK651" s="1055"/>
      <c r="AL651" s="1055"/>
      <c r="AM651" s="1055"/>
      <c r="AN651" s="1055"/>
      <c r="AO651" s="1055"/>
      <c r="AP651" s="1055"/>
      <c r="AQ651" s="1055"/>
      <c r="AR651" s="1055"/>
      <c r="AS651" s="1055"/>
      <c r="AT651" s="1055"/>
      <c r="AU651" s="1055"/>
      <c r="AV651" s="1055"/>
      <c r="AW651" s="1055"/>
      <c r="AX651" s="1055"/>
      <c r="AY651" s="1055"/>
      <c r="AZ651" s="1055"/>
      <c r="BA651" s="1055"/>
      <c r="BB651" s="1055"/>
      <c r="BC651" s="1055"/>
      <c r="BD651" s="1055"/>
      <c r="BE651" s="1055"/>
      <c r="BF651" s="1055"/>
      <c r="BG651" s="1056"/>
    </row>
    <row r="652" spans="1:59" ht="15" thickBot="1" x14ac:dyDescent="0.2">
      <c r="A652" s="1052"/>
      <c r="B652" s="1053"/>
      <c r="C652" s="1785" t="str">
        <f>+IF(Ugyfelnyil="","",Ugyfelnyil)</f>
        <v/>
      </c>
      <c r="D652" s="1786"/>
      <c r="E652" s="1786"/>
      <c r="F652" s="1786"/>
      <c r="G652" s="1786"/>
      <c r="H652" s="1786"/>
      <c r="I652" s="1786"/>
      <c r="J652" s="1786"/>
      <c r="K652" s="1786"/>
      <c r="L652" s="1786"/>
      <c r="M652" s="1786"/>
      <c r="N652" s="1786"/>
      <c r="O652" s="1786"/>
      <c r="P652" s="1786"/>
      <c r="Q652" s="1786"/>
      <c r="R652" s="1786"/>
      <c r="S652" s="1786"/>
      <c r="T652" s="1786"/>
      <c r="U652" s="1786"/>
      <c r="V652" s="1786"/>
      <c r="W652" s="1786"/>
      <c r="X652" s="1786"/>
      <c r="Y652" s="1786"/>
      <c r="Z652" s="1786"/>
      <c r="AA652" s="1786"/>
      <c r="AB652" s="1786"/>
      <c r="AC652" s="1786"/>
      <c r="AD652" s="1786"/>
      <c r="AE652" s="1786"/>
      <c r="AF652" s="1786"/>
      <c r="AG652" s="1786"/>
      <c r="AH652" s="1786"/>
      <c r="AI652" s="1786"/>
      <c r="AJ652" s="1786"/>
      <c r="AK652" s="1786"/>
      <c r="AL652" s="1786"/>
      <c r="AM652" s="1786"/>
      <c r="AN652" s="1786"/>
      <c r="AO652" s="1786"/>
      <c r="AP652" s="1786"/>
      <c r="AQ652" s="1786"/>
      <c r="AR652" s="1786"/>
      <c r="AS652" s="1786"/>
      <c r="AT652" s="1786"/>
      <c r="AU652" s="1786"/>
      <c r="AV652" s="1786"/>
      <c r="AW652" s="1786"/>
      <c r="AX652" s="1786"/>
      <c r="AY652" s="1786"/>
      <c r="AZ652" s="1786"/>
      <c r="BA652" s="1786"/>
      <c r="BB652" s="1786"/>
      <c r="BC652" s="1786"/>
      <c r="BD652" s="1786"/>
      <c r="BE652" s="1786"/>
      <c r="BF652" s="1787"/>
      <c r="BG652" s="1056"/>
    </row>
    <row r="653" spans="1:59" x14ac:dyDescent="0.15">
      <c r="A653" s="1052"/>
      <c r="B653" s="1053"/>
      <c r="C653" s="1054"/>
      <c r="D653" s="1057" t="s">
        <v>370</v>
      </c>
      <c r="E653" s="1055"/>
      <c r="F653" s="1055"/>
      <c r="G653" s="1055"/>
      <c r="H653" s="1055"/>
      <c r="I653" s="1055"/>
      <c r="J653" s="1055"/>
      <c r="K653" s="1055"/>
      <c r="L653" s="1055"/>
      <c r="M653" s="1055"/>
      <c r="N653" s="1055"/>
      <c r="O653" s="1055"/>
      <c r="P653" s="1055"/>
      <c r="Q653" s="1055"/>
      <c r="R653" s="1055"/>
      <c r="S653" s="1055"/>
      <c r="T653" s="1055"/>
      <c r="U653" s="1055"/>
      <c r="V653" s="1055"/>
      <c r="W653" s="1055"/>
      <c r="X653" s="1055"/>
      <c r="Y653" s="1055"/>
      <c r="Z653" s="1055"/>
      <c r="AA653" s="1055"/>
      <c r="AB653" s="1055"/>
      <c r="AC653" s="1055"/>
      <c r="AD653" s="1055"/>
      <c r="AE653" s="1055"/>
      <c r="AF653" s="1055"/>
      <c r="AG653" s="1055"/>
      <c r="AH653" s="1055"/>
      <c r="AI653" s="1055"/>
      <c r="AJ653" s="1055"/>
      <c r="AK653" s="1055"/>
      <c r="AL653" s="1055"/>
      <c r="AM653" s="1055"/>
      <c r="AN653" s="1055"/>
      <c r="AO653" s="1055"/>
      <c r="AP653" s="1055"/>
      <c r="AQ653" s="1055"/>
      <c r="AR653" s="1055"/>
      <c r="AS653" s="1055"/>
      <c r="AT653" s="1055"/>
      <c r="AU653" s="1055"/>
      <c r="AV653" s="1055"/>
      <c r="AW653" s="1055"/>
      <c r="AX653" s="1055"/>
      <c r="AY653" s="1055"/>
      <c r="AZ653" s="1055"/>
      <c r="BA653" s="1055"/>
      <c r="BB653" s="1055"/>
      <c r="BC653" s="1055"/>
      <c r="BD653" s="1055"/>
      <c r="BE653" s="1055"/>
      <c r="BF653" s="1055"/>
      <c r="BG653" s="1056"/>
    </row>
    <row r="654" spans="1:59" ht="15" thickBot="1" x14ac:dyDescent="0.2">
      <c r="A654" s="1052"/>
      <c r="B654" s="1053"/>
      <c r="C654" s="1054"/>
      <c r="D654" s="1054"/>
      <c r="E654" s="1055"/>
      <c r="F654" s="1055"/>
      <c r="G654" s="1055"/>
      <c r="H654" s="1055"/>
      <c r="I654" s="1055"/>
      <c r="J654" s="1055"/>
      <c r="K654" s="1055"/>
      <c r="L654" s="1055"/>
      <c r="M654" s="1055"/>
      <c r="N654" s="1055"/>
      <c r="O654" s="1055"/>
      <c r="P654" s="1055"/>
      <c r="Q654" s="1055"/>
      <c r="R654" s="1055"/>
      <c r="S654" s="1055"/>
      <c r="T654" s="1055"/>
      <c r="U654" s="1055"/>
      <c r="V654" s="1055"/>
      <c r="W654" s="1055"/>
      <c r="X654" s="1055"/>
      <c r="Y654" s="1055"/>
      <c r="Z654" s="1055"/>
      <c r="AA654" s="1055"/>
      <c r="AB654" s="1055"/>
      <c r="AC654" s="1055"/>
      <c r="AD654" s="1055"/>
      <c r="AE654" s="1055"/>
      <c r="AF654" s="1055"/>
      <c r="AG654" s="1055"/>
      <c r="AH654" s="1055"/>
      <c r="AI654" s="1055"/>
      <c r="AJ654" s="1055"/>
      <c r="AK654" s="1055"/>
      <c r="AL654" s="1055"/>
      <c r="AM654" s="1055"/>
      <c r="AN654" s="1055"/>
      <c r="AO654" s="1055"/>
      <c r="AP654" s="1055"/>
      <c r="AQ654" s="1055"/>
      <c r="AR654" s="1055"/>
      <c r="AS654" s="1055"/>
      <c r="AT654" s="1055"/>
      <c r="AU654" s="1055"/>
      <c r="AV654" s="1055"/>
      <c r="AW654" s="1055"/>
      <c r="AX654" s="1055"/>
      <c r="AY654" s="1055"/>
      <c r="AZ654" s="1055"/>
      <c r="BA654" s="1055"/>
      <c r="BB654" s="1055"/>
      <c r="BC654" s="1055"/>
      <c r="BD654" s="1055"/>
      <c r="BE654" s="1055"/>
      <c r="BF654" s="1055"/>
      <c r="BG654" s="1056"/>
    </row>
    <row r="655" spans="1:59" ht="15" thickBot="1" x14ac:dyDescent="0.2">
      <c r="A655" s="1052"/>
      <c r="B655" s="1053"/>
      <c r="C655" s="1763" t="str">
        <f>+IF(anyanyil="","",anyanyil)</f>
        <v/>
      </c>
      <c r="D655" s="1764"/>
      <c r="E655" s="1764"/>
      <c r="F655" s="1764"/>
      <c r="G655" s="1764"/>
      <c r="H655" s="1764"/>
      <c r="I655" s="1764"/>
      <c r="J655" s="1764"/>
      <c r="K655" s="1764"/>
      <c r="L655" s="1764"/>
      <c r="M655" s="1764"/>
      <c r="N655" s="1764"/>
      <c r="O655" s="1764"/>
      <c r="P655" s="1764"/>
      <c r="Q655" s="1764"/>
      <c r="R655" s="1764"/>
      <c r="S655" s="1764"/>
      <c r="T655" s="1765"/>
      <c r="U655" s="1055"/>
      <c r="V655" s="1055"/>
      <c r="W655" s="1055"/>
      <c r="X655" s="1763" t="str">
        <f>+IF(szülnyil="","",szülnyil)</f>
        <v/>
      </c>
      <c r="Y655" s="1764"/>
      <c r="Z655" s="1764"/>
      <c r="AA655" s="1764"/>
      <c r="AB655" s="1764"/>
      <c r="AC655" s="1764"/>
      <c r="AD655" s="1764"/>
      <c r="AE655" s="1764"/>
      <c r="AF655" s="1764"/>
      <c r="AG655" s="1764"/>
      <c r="AH655" s="1764"/>
      <c r="AI655" s="1764"/>
      <c r="AJ655" s="1764"/>
      <c r="AK655" s="1764"/>
      <c r="AL655" s="1764"/>
      <c r="AM655" s="1764"/>
      <c r="AN655" s="1765"/>
      <c r="AO655" s="1054"/>
      <c r="AP655" s="1054"/>
      <c r="AQ655" s="1055"/>
      <c r="AR655" s="1763" t="str">
        <f>+IF(szülidonyil="","",szülidonyil)</f>
        <v/>
      </c>
      <c r="AS655" s="1764"/>
      <c r="AT655" s="1764"/>
      <c r="AU655" s="1764"/>
      <c r="AV655" s="1764"/>
      <c r="AW655" s="1764"/>
      <c r="AX655" s="1764"/>
      <c r="AY655" s="1764"/>
      <c r="AZ655" s="1764"/>
      <c r="BA655" s="1764"/>
      <c r="BB655" s="1764"/>
      <c r="BC655" s="1764"/>
      <c r="BD655" s="1765"/>
      <c r="BE655" s="1055"/>
      <c r="BF655" s="1055"/>
      <c r="BG655" s="1056"/>
    </row>
    <row r="656" spans="1:59" x14ac:dyDescent="0.15">
      <c r="A656" s="1052"/>
      <c r="B656" s="1053"/>
      <c r="C656" s="1054" t="s">
        <v>581</v>
      </c>
      <c r="D656" s="1054"/>
      <c r="E656" s="1055"/>
      <c r="F656" s="1055"/>
      <c r="G656" s="1055"/>
      <c r="H656" s="1055"/>
      <c r="I656" s="1055"/>
      <c r="J656" s="1055"/>
      <c r="K656" s="1055"/>
      <c r="L656" s="1055"/>
      <c r="M656" s="1055"/>
      <c r="N656" s="1055"/>
      <c r="O656" s="1055"/>
      <c r="P656" s="1055"/>
      <c r="Q656" s="1055"/>
      <c r="R656" s="1055"/>
      <c r="S656" s="1055"/>
      <c r="T656" s="1055"/>
      <c r="U656" s="1055"/>
      <c r="V656" s="1055"/>
      <c r="W656" s="1055"/>
      <c r="X656" s="1055" t="s">
        <v>582</v>
      </c>
      <c r="Y656" s="1055"/>
      <c r="Z656" s="1055"/>
      <c r="AA656" s="1055"/>
      <c r="AB656" s="1055"/>
      <c r="AC656" s="1055"/>
      <c r="AD656" s="1055"/>
      <c r="AE656" s="1055"/>
      <c r="AF656" s="1055"/>
      <c r="AG656" s="1055"/>
      <c r="AH656" s="1055"/>
      <c r="AI656" s="1055"/>
      <c r="AJ656" s="1055"/>
      <c r="AK656" s="1055"/>
      <c r="AL656" s="1055"/>
      <c r="AM656" s="1055"/>
      <c r="AN656" s="1055"/>
      <c r="AO656" s="1055"/>
      <c r="AP656" s="1055"/>
      <c r="AQ656" s="1055"/>
      <c r="AR656" s="1055" t="s">
        <v>583</v>
      </c>
      <c r="AS656" s="1055"/>
      <c r="AT656" s="1055"/>
      <c r="AU656" s="1055"/>
      <c r="AV656" s="1055"/>
      <c r="AW656" s="1055"/>
      <c r="AX656" s="1055"/>
      <c r="AY656" s="1055"/>
      <c r="AZ656" s="1055"/>
      <c r="BA656" s="1055"/>
      <c r="BB656" s="1055"/>
      <c r="BC656" s="1055"/>
      <c r="BD656" s="1055"/>
      <c r="BE656" s="1055"/>
      <c r="BF656" s="1055"/>
      <c r="BG656" s="1056"/>
    </row>
    <row r="657" spans="1:59" ht="15" thickBot="1" x14ac:dyDescent="0.2">
      <c r="A657" s="1052"/>
      <c r="B657" s="1053"/>
      <c r="C657" s="1054"/>
      <c r="D657" s="1054"/>
      <c r="E657" s="1055"/>
      <c r="F657" s="1055"/>
      <c r="G657" s="1055"/>
      <c r="H657" s="1055"/>
      <c r="I657" s="1055"/>
      <c r="J657" s="1055"/>
      <c r="K657" s="1055"/>
      <c r="L657" s="1055"/>
      <c r="M657" s="1055"/>
      <c r="N657" s="1055"/>
      <c r="O657" s="1055"/>
      <c r="P657" s="1055"/>
      <c r="Q657" s="1055"/>
      <c r="R657" s="1055"/>
      <c r="S657" s="1055"/>
      <c r="T657" s="1055"/>
      <c r="U657" s="1055"/>
      <c r="V657" s="1055"/>
      <c r="W657" s="1055"/>
      <c r="X657" s="1055"/>
      <c r="Y657" s="1055"/>
      <c r="Z657" s="1055"/>
      <c r="AA657" s="1055"/>
      <c r="AB657" s="1055"/>
      <c r="AC657" s="1055"/>
      <c r="AD657" s="1055"/>
      <c r="AE657" s="1055"/>
      <c r="AF657" s="1055"/>
      <c r="AG657" s="1055"/>
      <c r="AH657" s="1055"/>
      <c r="AI657" s="1055"/>
      <c r="AJ657" s="1055"/>
      <c r="AK657" s="1055"/>
      <c r="AL657" s="1055"/>
      <c r="AM657" s="1055"/>
      <c r="AN657" s="1055"/>
      <c r="AO657" s="1055"/>
      <c r="AP657" s="1055"/>
      <c r="AQ657" s="1055"/>
      <c r="AR657" s="1055"/>
      <c r="AS657" s="1055"/>
      <c r="AT657" s="1055"/>
      <c r="AU657" s="1055"/>
      <c r="AV657" s="1055"/>
      <c r="AW657" s="1055"/>
      <c r="AX657" s="1055"/>
      <c r="AY657" s="1055"/>
      <c r="AZ657" s="1055"/>
      <c r="BA657" s="1055"/>
      <c r="BB657" s="1055"/>
      <c r="BC657" s="1055"/>
      <c r="BD657" s="1055"/>
      <c r="BE657" s="1055"/>
      <c r="BF657" s="1055"/>
      <c r="BG657" s="1056"/>
    </row>
    <row r="658" spans="1:59" ht="15" thickBot="1" x14ac:dyDescent="0.2">
      <c r="A658" s="1052"/>
      <c r="B658" s="1053"/>
      <c r="C658" s="1054"/>
      <c r="D658" s="1054"/>
      <c r="E658" s="1055"/>
      <c r="F658" s="1055"/>
      <c r="G658" s="1055"/>
      <c r="H658" s="1055"/>
      <c r="I658" s="1055"/>
      <c r="J658" s="1055"/>
      <c r="K658" s="1055"/>
      <c r="L658" s="1055"/>
      <c r="M658" s="1055"/>
      <c r="N658" s="1055"/>
      <c r="O658" s="1055"/>
      <c r="P658" s="1763" t="str">
        <f>+IF(orszagnyil="","",orszagnyil)</f>
        <v>HU</v>
      </c>
      <c r="Q658" s="1764"/>
      <c r="R658" s="1764"/>
      <c r="S658" s="1765"/>
      <c r="T658" s="1055"/>
      <c r="U658" s="1055"/>
      <c r="V658" s="1055"/>
      <c r="W658" s="1055"/>
      <c r="X658" s="1055"/>
      <c r="Y658" s="1055"/>
      <c r="Z658" s="1055"/>
      <c r="AA658" s="1055"/>
      <c r="AB658" s="1055"/>
      <c r="AC658" s="1055"/>
      <c r="AD658" s="1055"/>
      <c r="AE658" s="1055"/>
      <c r="AF658" s="1055"/>
      <c r="AG658" s="1055"/>
      <c r="AH658" s="1055"/>
      <c r="AI658" s="1055"/>
      <c r="AJ658" s="1055"/>
      <c r="AK658" s="1055"/>
      <c r="AL658" s="1055"/>
      <c r="AM658" s="1055"/>
      <c r="AN658" s="1055"/>
      <c r="AO658" s="1055"/>
      <c r="AP658" s="1055"/>
      <c r="AQ658" s="1055"/>
      <c r="AR658" s="1055"/>
      <c r="AS658" s="1055"/>
      <c r="AT658" s="1055"/>
      <c r="AU658" s="1055"/>
      <c r="AV658" s="1055"/>
      <c r="AW658" s="1055"/>
      <c r="AX658" s="1055"/>
      <c r="AY658" s="1055"/>
      <c r="AZ658" s="1055"/>
      <c r="BA658" s="1055"/>
      <c r="BB658" s="1055"/>
      <c r="BC658" s="1055"/>
      <c r="BD658" s="1055"/>
      <c r="BE658" s="1055"/>
      <c r="BF658" s="1055"/>
      <c r="BG658" s="1056"/>
    </row>
    <row r="659" spans="1:59" ht="15" thickBot="1" x14ac:dyDescent="0.2">
      <c r="A659" s="1052"/>
      <c r="B659" s="1053"/>
      <c r="C659" s="1054"/>
      <c r="D659" s="1769" t="s">
        <v>584</v>
      </c>
      <c r="E659" s="1769"/>
      <c r="F659" s="1769"/>
      <c r="G659" s="1769"/>
      <c r="H659" s="1769"/>
      <c r="I659" s="1769"/>
      <c r="J659" s="1769"/>
      <c r="K659" s="1769"/>
      <c r="L659" s="1769"/>
      <c r="M659" s="1769"/>
      <c r="N659" s="1769"/>
      <c r="O659" s="1058"/>
      <c r="P659" s="1058" t="s">
        <v>297</v>
      </c>
      <c r="Q659" s="1058"/>
      <c r="R659" s="1058"/>
      <c r="S659" s="1057"/>
      <c r="T659" s="1058"/>
      <c r="U659" s="1058"/>
      <c r="V659" s="1057"/>
      <c r="W659" s="1057"/>
      <c r="X659" s="1057"/>
      <c r="Y659" s="1057"/>
      <c r="Z659" s="1057"/>
      <c r="AA659" s="1057"/>
      <c r="AB659" s="1057"/>
      <c r="AC659" s="1057"/>
      <c r="AD659" s="1057"/>
      <c r="AE659" s="1057"/>
      <c r="AF659" s="1057"/>
      <c r="AG659" s="1057"/>
      <c r="AH659" s="1057"/>
      <c r="AI659" s="1057"/>
      <c r="AJ659" s="1057"/>
      <c r="AK659" s="1057"/>
      <c r="AL659" s="1057"/>
      <c r="AM659" s="1057"/>
      <c r="AN659" s="1057"/>
      <c r="AO659" s="1057"/>
      <c r="AP659" s="1057"/>
      <c r="AQ659" s="1057"/>
      <c r="AR659" s="1057"/>
      <c r="AS659" s="1057"/>
      <c r="AT659" s="1057"/>
      <c r="AU659" s="1057"/>
      <c r="AV659" s="1057"/>
      <c r="AW659" s="1057"/>
      <c r="AX659" s="1057"/>
      <c r="AY659" s="1057"/>
      <c r="AZ659" s="1057"/>
      <c r="BA659" s="1057"/>
      <c r="BB659" s="1057"/>
      <c r="BC659" s="1057"/>
      <c r="BD659" s="1057"/>
      <c r="BE659" s="1057"/>
      <c r="BF659" s="1057"/>
      <c r="BG659" s="1056"/>
    </row>
    <row r="660" spans="1:59" ht="15" thickBot="1" x14ac:dyDescent="0.2">
      <c r="A660" s="1052"/>
      <c r="B660" s="1053"/>
      <c r="C660" s="1054"/>
      <c r="D660" s="1769"/>
      <c r="E660" s="1769"/>
      <c r="F660" s="1769"/>
      <c r="G660" s="1769"/>
      <c r="H660" s="1769"/>
      <c r="I660" s="1769"/>
      <c r="J660" s="1769"/>
      <c r="K660" s="1769"/>
      <c r="L660" s="1769"/>
      <c r="M660" s="1769"/>
      <c r="N660" s="1769"/>
      <c r="O660" s="1059"/>
      <c r="P660" s="1770" t="str">
        <f>+IF(irszamnyil="","",irszamnyil)</f>
        <v/>
      </c>
      <c r="Q660" s="1771"/>
      <c r="R660" s="1771"/>
      <c r="S660" s="1772"/>
      <c r="T660" s="1057"/>
      <c r="U660" s="1773" t="str">
        <f>+IF(helysegnyil="","",helysegnyil)</f>
        <v/>
      </c>
      <c r="V660" s="1774"/>
      <c r="W660" s="1774"/>
      <c r="X660" s="1774"/>
      <c r="Y660" s="1774"/>
      <c r="Z660" s="1774"/>
      <c r="AA660" s="1774"/>
      <c r="AB660" s="1774"/>
      <c r="AC660" s="1774"/>
      <c r="AD660" s="1774"/>
      <c r="AE660" s="1774"/>
      <c r="AF660" s="1774"/>
      <c r="AG660" s="1774"/>
      <c r="AH660" s="1774"/>
      <c r="AI660" s="1774"/>
      <c r="AJ660" s="1774"/>
      <c r="AK660" s="1774"/>
      <c r="AL660" s="1774"/>
      <c r="AM660" s="1774"/>
      <c r="AN660" s="1774"/>
      <c r="AO660" s="1774"/>
      <c r="AP660" s="1774"/>
      <c r="AQ660" s="1774"/>
      <c r="AR660" s="1774"/>
      <c r="AS660" s="1774"/>
      <c r="AT660" s="1774"/>
      <c r="AU660" s="1774"/>
      <c r="AV660" s="1774"/>
      <c r="AW660" s="1774"/>
      <c r="AX660" s="1774"/>
      <c r="AY660" s="1775"/>
      <c r="AZ660" s="1057"/>
      <c r="BA660" s="1770" t="str">
        <f>+IF(postafioknyil="","",postafioknyil)</f>
        <v/>
      </c>
      <c r="BB660" s="1771"/>
      <c r="BC660" s="1771"/>
      <c r="BD660" s="1771"/>
      <c r="BE660" s="1771"/>
      <c r="BF660" s="1772"/>
      <c r="BG660" s="1056"/>
    </row>
    <row r="661" spans="1:59" x14ac:dyDescent="0.15">
      <c r="A661" s="1052"/>
      <c r="B661" s="1053"/>
      <c r="C661" s="1054"/>
      <c r="D661" s="1769"/>
      <c r="E661" s="1769"/>
      <c r="F661" s="1769"/>
      <c r="G661" s="1769"/>
      <c r="H661" s="1769"/>
      <c r="I661" s="1769"/>
      <c r="J661" s="1769"/>
      <c r="K661" s="1769"/>
      <c r="L661" s="1769"/>
      <c r="M661" s="1769"/>
      <c r="N661" s="1769"/>
      <c r="O661" s="1057"/>
      <c r="P661" s="1057" t="s">
        <v>146</v>
      </c>
      <c r="Q661" s="1057"/>
      <c r="R661" s="1057"/>
      <c r="S661" s="1057"/>
      <c r="T661" s="1057"/>
      <c r="U661" s="1057" t="s">
        <v>147</v>
      </c>
      <c r="V661" s="1057"/>
      <c r="W661" s="1057"/>
      <c r="X661" s="1057"/>
      <c r="Y661" s="1057"/>
      <c r="Z661" s="1057"/>
      <c r="AA661" s="1057"/>
      <c r="AB661" s="1057"/>
      <c r="AC661" s="1057"/>
      <c r="AD661" s="1057"/>
      <c r="AE661" s="1057"/>
      <c r="AF661" s="1057"/>
      <c r="AG661" s="1057"/>
      <c r="AH661" s="1057"/>
      <c r="AI661" s="1057"/>
      <c r="AJ661" s="1057"/>
      <c r="AK661" s="1057"/>
      <c r="AL661" s="1057"/>
      <c r="AM661" s="1057"/>
      <c r="AN661" s="1057"/>
      <c r="AO661" s="1057"/>
      <c r="AP661" s="1057"/>
      <c r="AQ661" s="1057"/>
      <c r="AR661" s="1057"/>
      <c r="AS661" s="1057"/>
      <c r="AT661" s="1057"/>
      <c r="AU661" s="1057"/>
      <c r="AV661" s="1057"/>
      <c r="AW661" s="1057"/>
      <c r="AX661" s="1057"/>
      <c r="AY661" s="1057"/>
      <c r="AZ661" s="1057"/>
      <c r="BA661" s="1057" t="s">
        <v>148</v>
      </c>
      <c r="BB661" s="1057"/>
      <c r="BC661" s="1057"/>
      <c r="BD661" s="1057"/>
      <c r="BE661" s="1057"/>
      <c r="BF661" s="1057"/>
      <c r="BG661" s="1056"/>
    </row>
    <row r="662" spans="1:59" ht="15" thickBot="1" x14ac:dyDescent="0.2">
      <c r="A662" s="1052"/>
      <c r="B662" s="1053"/>
      <c r="C662" s="1054"/>
      <c r="D662" s="1060"/>
      <c r="E662" s="1060"/>
      <c r="F662" s="1060"/>
      <c r="G662" s="1060"/>
      <c r="H662" s="1060"/>
      <c r="I662" s="1060"/>
      <c r="J662" s="1060"/>
      <c r="K662" s="1060"/>
      <c r="L662" s="1060"/>
      <c r="M662" s="1060"/>
      <c r="N662" s="1060"/>
      <c r="O662" s="1061"/>
      <c r="P662" s="1057"/>
      <c r="Q662" s="1057"/>
      <c r="R662" s="1057"/>
      <c r="S662" s="1057"/>
      <c r="T662" s="1057"/>
      <c r="U662" s="1057"/>
      <c r="V662" s="1057"/>
      <c r="W662" s="1057"/>
      <c r="X662" s="1057"/>
      <c r="Y662" s="1057"/>
      <c r="Z662" s="1057"/>
      <c r="AA662" s="1057"/>
      <c r="AB662" s="1057"/>
      <c r="AC662" s="1057"/>
      <c r="AD662" s="1057"/>
      <c r="AE662" s="1057"/>
      <c r="AF662" s="1057"/>
      <c r="AG662" s="1057"/>
      <c r="AH662" s="1057"/>
      <c r="AI662" s="1057"/>
      <c r="AJ662" s="1057"/>
      <c r="AK662" s="1057"/>
      <c r="AL662" s="1057"/>
      <c r="AM662" s="1057"/>
      <c r="AN662" s="1057"/>
      <c r="AO662" s="1057"/>
      <c r="AP662" s="1057"/>
      <c r="AQ662" s="1057"/>
      <c r="AR662" s="1057"/>
      <c r="AS662" s="1057"/>
      <c r="AT662" s="1057"/>
      <c r="AU662" s="1057"/>
      <c r="AV662" s="1057"/>
      <c r="AW662" s="1057"/>
      <c r="AX662" s="1057"/>
      <c r="AY662" s="1057"/>
      <c r="AZ662" s="1057"/>
      <c r="BA662" s="1057"/>
      <c r="BB662" s="1057"/>
      <c r="BC662" s="1057"/>
      <c r="BD662" s="1057"/>
      <c r="BE662" s="1057"/>
      <c r="BF662" s="1057"/>
      <c r="BG662" s="1056"/>
    </row>
    <row r="663" spans="1:59" ht="15" thickBot="1" x14ac:dyDescent="0.2">
      <c r="A663" s="1052"/>
      <c r="B663" s="1053"/>
      <c r="C663" s="1054"/>
      <c r="D663" s="1770" t="str">
        <f>+IF(kozternevenyil="","",kozternevenyil)</f>
        <v/>
      </c>
      <c r="E663" s="1771"/>
      <c r="F663" s="1771"/>
      <c r="G663" s="1771"/>
      <c r="H663" s="1771"/>
      <c r="I663" s="1771"/>
      <c r="J663" s="1771"/>
      <c r="K663" s="1771"/>
      <c r="L663" s="1771"/>
      <c r="M663" s="1771"/>
      <c r="N663" s="1771"/>
      <c r="O663" s="1771"/>
      <c r="P663" s="1771"/>
      <c r="Q663" s="1771"/>
      <c r="R663" s="1771"/>
      <c r="S663" s="1771"/>
      <c r="T663" s="1771"/>
      <c r="U663" s="1771"/>
      <c r="V663" s="1771"/>
      <c r="W663" s="1771"/>
      <c r="X663" s="1771"/>
      <c r="Y663" s="1771"/>
      <c r="Z663" s="1771"/>
      <c r="AA663" s="1771"/>
      <c r="AB663" s="1771"/>
      <c r="AC663" s="1772"/>
      <c r="AD663" s="1062"/>
      <c r="AE663" s="1063"/>
      <c r="AF663" s="1770" t="str">
        <f>+IF(jellegnyil="","",jellegnyil)</f>
        <v>legördülő cella</v>
      </c>
      <c r="AG663" s="1771"/>
      <c r="AH663" s="1771"/>
      <c r="AI663" s="1771"/>
      <c r="AJ663" s="1771"/>
      <c r="AK663" s="1771"/>
      <c r="AL663" s="1771"/>
      <c r="AM663" s="1771"/>
      <c r="AN663" s="1771"/>
      <c r="AO663" s="1771"/>
      <c r="AP663" s="1772"/>
      <c r="AQ663" s="1062"/>
      <c r="AR663" s="1059"/>
      <c r="AS663" s="1059"/>
      <c r="AT663" s="1059"/>
      <c r="AU663" s="1059"/>
      <c r="AV663" s="1059"/>
      <c r="AW663" s="1059"/>
      <c r="AX663" s="1776" t="str">
        <f>+IF(ajtonyil="","",ajtonyil)</f>
        <v/>
      </c>
      <c r="AY663" s="1777"/>
      <c r="AZ663" s="1777"/>
      <c r="BA663" s="1777"/>
      <c r="BB663" s="1777"/>
      <c r="BC663" s="1777"/>
      <c r="BD663" s="1777"/>
      <c r="BE663" s="1777"/>
      <c r="BF663" s="1778"/>
      <c r="BG663" s="1056"/>
    </row>
    <row r="664" spans="1:59" x14ac:dyDescent="0.15">
      <c r="A664" s="1052"/>
      <c r="B664" s="1053"/>
      <c r="C664" s="1054"/>
      <c r="D664" s="1057" t="s">
        <v>149</v>
      </c>
      <c r="E664" s="1057"/>
      <c r="F664" s="1057"/>
      <c r="G664" s="1057"/>
      <c r="H664" s="1057"/>
      <c r="I664" s="1057"/>
      <c r="J664" s="1057"/>
      <c r="K664" s="1057"/>
      <c r="L664" s="1057"/>
      <c r="M664" s="1057"/>
      <c r="N664" s="1057"/>
      <c r="O664" s="1057"/>
      <c r="P664" s="1057"/>
      <c r="Q664" s="1057"/>
      <c r="R664" s="1057"/>
      <c r="S664" s="1057"/>
      <c r="T664" s="1057"/>
      <c r="U664" s="1057"/>
      <c r="V664" s="1057"/>
      <c r="W664" s="1057"/>
      <c r="X664" s="1057"/>
      <c r="Y664" s="1057"/>
      <c r="Z664" s="1057"/>
      <c r="AA664" s="1057"/>
      <c r="AB664" s="1057"/>
      <c r="AC664" s="1057"/>
      <c r="AD664" s="1057"/>
      <c r="AE664" s="1057"/>
      <c r="AF664" s="1057" t="s">
        <v>150</v>
      </c>
      <c r="AG664" s="1057"/>
      <c r="AH664" s="1057"/>
      <c r="AI664" s="1057"/>
      <c r="AJ664" s="1063"/>
      <c r="AK664" s="1057"/>
      <c r="AL664" s="1057"/>
      <c r="AM664" s="1057"/>
      <c r="AN664" s="1057"/>
      <c r="AO664" s="1057"/>
      <c r="AP664" s="1057"/>
      <c r="AQ664" s="1063"/>
      <c r="AR664" s="1057"/>
      <c r="AS664" s="1057"/>
      <c r="AT664" s="1057"/>
      <c r="AU664" s="1057"/>
      <c r="AV664" s="1057"/>
      <c r="AW664" s="1057"/>
      <c r="AX664" s="1058" t="s">
        <v>151</v>
      </c>
      <c r="AY664" s="1058"/>
      <c r="AZ664" s="1058"/>
      <c r="BA664" s="1058"/>
      <c r="BB664" s="1058"/>
      <c r="BC664" s="1058"/>
      <c r="BD664" s="1058"/>
      <c r="BE664" s="1058"/>
      <c r="BF664" s="1058"/>
      <c r="BG664" s="1056"/>
    </row>
    <row r="665" spans="1:59" x14ac:dyDescent="0.15">
      <c r="A665" s="1050"/>
      <c r="B665" s="1064"/>
      <c r="C665" s="1055"/>
      <c r="D665" s="1060"/>
      <c r="E665" s="1060"/>
      <c r="F665" s="1060"/>
      <c r="G665" s="1060"/>
      <c r="H665" s="1060"/>
      <c r="I665" s="1060"/>
      <c r="J665" s="1060"/>
      <c r="K665" s="1060"/>
      <c r="L665" s="1060"/>
      <c r="M665" s="1060"/>
      <c r="N665" s="1060"/>
      <c r="O665" s="1061"/>
      <c r="P665" s="1057"/>
      <c r="Q665" s="1057"/>
      <c r="R665" s="1057"/>
      <c r="S665" s="1057"/>
      <c r="T665" s="1057"/>
      <c r="U665" s="1057"/>
      <c r="V665" s="1057"/>
      <c r="W665" s="1057"/>
      <c r="X665" s="1057"/>
      <c r="Y665" s="1057"/>
      <c r="Z665" s="1057"/>
      <c r="AA665" s="1057"/>
      <c r="AB665" s="1057"/>
      <c r="AC665" s="1057"/>
      <c r="AD665" s="1057"/>
      <c r="AE665" s="1057"/>
      <c r="AF665" s="1057"/>
      <c r="AG665" s="1057"/>
      <c r="AH665" s="1057"/>
      <c r="AI665" s="1057"/>
      <c r="AJ665" s="1057"/>
      <c r="AK665" s="1057"/>
      <c r="AL665" s="1057"/>
      <c r="AM665" s="1057"/>
      <c r="AN665" s="1057"/>
      <c r="AO665" s="1057"/>
      <c r="AP665" s="1057"/>
      <c r="AQ665" s="1057"/>
      <c r="AR665" s="1057"/>
      <c r="AS665" s="1057"/>
      <c r="AT665" s="1057"/>
      <c r="AU665" s="1057"/>
      <c r="AV665" s="1057"/>
      <c r="AW665" s="1057"/>
      <c r="AX665" s="1057"/>
      <c r="AY665" s="1057"/>
      <c r="AZ665" s="1057"/>
      <c r="BA665" s="1057"/>
      <c r="BB665" s="1057"/>
      <c r="BC665" s="1057"/>
      <c r="BD665" s="1057"/>
      <c r="BE665" s="1057"/>
      <c r="BF665" s="1057"/>
      <c r="BG665" s="1056"/>
    </row>
    <row r="666" spans="1:59" ht="15" thickBot="1" x14ac:dyDescent="0.2">
      <c r="A666" s="1050"/>
      <c r="B666" s="1064"/>
      <c r="C666" s="1055"/>
      <c r="D666" s="1055"/>
      <c r="E666" s="1055"/>
      <c r="F666" s="1055"/>
      <c r="G666" s="1055"/>
      <c r="H666" s="1055"/>
      <c r="I666" s="1055"/>
      <c r="J666" s="1055"/>
      <c r="K666" s="1055"/>
      <c r="L666" s="1055"/>
      <c r="M666" s="1055"/>
      <c r="N666" s="1055"/>
      <c r="O666" s="1055"/>
      <c r="P666" s="1055"/>
      <c r="Q666" s="1055"/>
      <c r="R666" s="1055"/>
      <c r="S666" s="1055"/>
      <c r="T666" s="1055"/>
      <c r="U666" s="1055"/>
      <c r="V666" s="1055"/>
      <c r="W666" s="1055"/>
      <c r="X666" s="1055"/>
      <c r="Y666" s="1055"/>
      <c r="Z666" s="1055"/>
      <c r="AA666" s="1055"/>
      <c r="AB666" s="1055"/>
      <c r="AC666" s="1055"/>
      <c r="AD666" s="1055"/>
      <c r="AE666" s="1055"/>
      <c r="AF666" s="1055"/>
      <c r="AG666" s="1055"/>
      <c r="AH666" s="1055"/>
      <c r="AI666" s="1055"/>
      <c r="AJ666" s="1055"/>
      <c r="AK666" s="1055"/>
      <c r="AL666" s="1055"/>
      <c r="AM666" s="1055"/>
      <c r="AN666" s="1055"/>
      <c r="AO666" s="1055"/>
      <c r="AP666" s="1055"/>
      <c r="AQ666" s="1055"/>
      <c r="AR666" s="1055"/>
      <c r="AS666" s="1055"/>
      <c r="AT666" s="1055"/>
      <c r="AU666" s="1055"/>
      <c r="AV666" s="1055"/>
      <c r="AW666" s="1055"/>
      <c r="AX666" s="1055"/>
      <c r="AY666" s="1055"/>
      <c r="AZ666" s="1055"/>
      <c r="BA666" s="1055"/>
      <c r="BB666" s="1055"/>
      <c r="BC666" s="1055"/>
      <c r="BD666" s="1055"/>
      <c r="BE666" s="1055"/>
      <c r="BF666" s="1055"/>
      <c r="BG666" s="1056"/>
    </row>
    <row r="667" spans="1:59" ht="15" thickBot="1" x14ac:dyDescent="0.2">
      <c r="A667" s="1050"/>
      <c r="B667" s="1064"/>
      <c r="C667" s="1763" t="str">
        <f>+IF(adoszamnyil="","",adoszamnyil)</f>
        <v/>
      </c>
      <c r="D667" s="1764"/>
      <c r="E667" s="1764"/>
      <c r="F667" s="1764"/>
      <c r="G667" s="1764"/>
      <c r="H667" s="1764"/>
      <c r="I667" s="1764"/>
      <c r="J667" s="1764"/>
      <c r="K667" s="1764"/>
      <c r="L667" s="1764"/>
      <c r="M667" s="1764"/>
      <c r="N667" s="1764"/>
      <c r="O667" s="1764"/>
      <c r="P667" s="1764"/>
      <c r="Q667" s="1764"/>
      <c r="R667" s="1764"/>
      <c r="S667" s="1764"/>
      <c r="T667" s="1765"/>
      <c r="U667" s="1055"/>
      <c r="V667" s="1055"/>
      <c r="W667" s="1055"/>
      <c r="X667" s="1763" t="str">
        <f>+IF(evnyil="","",evnyil)</f>
        <v/>
      </c>
      <c r="Y667" s="1764"/>
      <c r="Z667" s="1764"/>
      <c r="AA667" s="1764"/>
      <c r="AB667" s="1764"/>
      <c r="AC667" s="1764"/>
      <c r="AD667" s="1764"/>
      <c r="AE667" s="1764"/>
      <c r="AF667" s="1764"/>
      <c r="AG667" s="1764"/>
      <c r="AH667" s="1764"/>
      <c r="AI667" s="1764"/>
      <c r="AJ667" s="1764"/>
      <c r="AK667" s="1764"/>
      <c r="AL667" s="1765"/>
      <c r="AM667" s="1055"/>
      <c r="AN667" s="1055"/>
      <c r="AO667" s="1763" t="str">
        <f>+IF(evszamnyil="","",evszamnyil)</f>
        <v/>
      </c>
      <c r="AP667" s="1764"/>
      <c r="AQ667" s="1764"/>
      <c r="AR667" s="1764"/>
      <c r="AS667" s="1764"/>
      <c r="AT667" s="1764"/>
      <c r="AU667" s="1764"/>
      <c r="AV667" s="1764"/>
      <c r="AW667" s="1764"/>
      <c r="AX667" s="1764"/>
      <c r="AY667" s="1764"/>
      <c r="AZ667" s="1764"/>
      <c r="BA667" s="1764"/>
      <c r="BB667" s="1764"/>
      <c r="BC667" s="1764"/>
      <c r="BD667" s="1764"/>
      <c r="BE667" s="1764"/>
      <c r="BF667" s="1765"/>
      <c r="BG667" s="1056"/>
    </row>
    <row r="668" spans="1:59" x14ac:dyDescent="0.15">
      <c r="A668" s="1050"/>
      <c r="B668" s="1064"/>
      <c r="C668" s="1055" t="s">
        <v>590</v>
      </c>
      <c r="D668" s="1055"/>
      <c r="E668" s="1055"/>
      <c r="F668" s="1055"/>
      <c r="G668" s="1055"/>
      <c r="H668" s="1055"/>
      <c r="I668" s="1055"/>
      <c r="J668" s="1055"/>
      <c r="K668" s="1055"/>
      <c r="L668" s="1055"/>
      <c r="M668" s="1055"/>
      <c r="N668" s="1055"/>
      <c r="O668" s="1055"/>
      <c r="P668" s="1055"/>
      <c r="Q668" s="1055"/>
      <c r="R668" s="1055"/>
      <c r="S668" s="1055"/>
      <c r="T668" s="1055"/>
      <c r="U668" s="1055"/>
      <c r="V668" s="1055"/>
      <c r="W668" s="1055"/>
      <c r="X668" s="1055" t="s">
        <v>591</v>
      </c>
      <c r="Y668" s="1055"/>
      <c r="Z668" s="1055"/>
      <c r="AA668" s="1055"/>
      <c r="AB668" s="1055"/>
      <c r="AC668" s="1055"/>
      <c r="AD668" s="1055"/>
      <c r="AE668" s="1055"/>
      <c r="AF668" s="1055"/>
      <c r="AG668" s="1055"/>
      <c r="AH668" s="1055"/>
      <c r="AI668" s="1055"/>
      <c r="AJ668" s="1055"/>
      <c r="AK668" s="1055"/>
      <c r="AL668" s="1055"/>
      <c r="AM668" s="1055"/>
      <c r="AN668" s="1055"/>
      <c r="AO668" s="1055" t="s">
        <v>592</v>
      </c>
      <c r="AP668" s="1055"/>
      <c r="AQ668" s="1055"/>
      <c r="AR668" s="1055"/>
      <c r="AS668" s="1055"/>
      <c r="AT668" s="1055"/>
      <c r="AU668" s="1055"/>
      <c r="AV668" s="1055"/>
      <c r="AW668" s="1055"/>
      <c r="AX668" s="1055"/>
      <c r="AY668" s="1055"/>
      <c r="AZ668" s="1055"/>
      <c r="BA668" s="1055"/>
      <c r="BB668" s="1055"/>
      <c r="BC668" s="1055"/>
      <c r="BD668" s="1055"/>
      <c r="BE668" s="1055"/>
      <c r="BF668" s="1055"/>
      <c r="BG668" s="1056"/>
    </row>
    <row r="669" spans="1:59" ht="15" thickBot="1" x14ac:dyDescent="0.2">
      <c r="A669" s="1050"/>
      <c r="B669" s="1064"/>
      <c r="C669" s="1055"/>
      <c r="D669" s="1055"/>
      <c r="E669" s="1055"/>
      <c r="F669" s="1055"/>
      <c r="G669" s="1055"/>
      <c r="H669" s="1055"/>
      <c r="I669" s="1055"/>
      <c r="J669" s="1055"/>
      <c r="K669" s="1055"/>
      <c r="L669" s="1055"/>
      <c r="M669" s="1055"/>
      <c r="N669" s="1055"/>
      <c r="O669" s="1055"/>
      <c r="P669" s="1055"/>
      <c r="Q669" s="1055"/>
      <c r="R669" s="1055"/>
      <c r="S669" s="1055"/>
      <c r="T669" s="1055"/>
      <c r="U669" s="1055"/>
      <c r="V669" s="1055"/>
      <c r="W669" s="1055"/>
      <c r="X669" s="1055"/>
      <c r="Y669" s="1055"/>
      <c r="Z669" s="1055"/>
      <c r="AA669" s="1055"/>
      <c r="AB669" s="1055"/>
      <c r="AC669" s="1055"/>
      <c r="AD669" s="1055"/>
      <c r="AE669" s="1055"/>
      <c r="AF669" s="1055"/>
      <c r="AG669" s="1055"/>
      <c r="AH669" s="1055"/>
      <c r="AI669" s="1055"/>
      <c r="AJ669" s="1055"/>
      <c r="AK669" s="1055"/>
      <c r="AL669" s="1055"/>
      <c r="AM669" s="1055"/>
      <c r="AN669" s="1055"/>
      <c r="AO669" s="1055"/>
      <c r="AP669" s="1055"/>
      <c r="AQ669" s="1055"/>
      <c r="AR669" s="1055"/>
      <c r="AS669" s="1055"/>
      <c r="AT669" s="1055"/>
      <c r="AU669" s="1055"/>
      <c r="AV669" s="1055"/>
      <c r="AW669" s="1055"/>
      <c r="AX669" s="1055"/>
      <c r="AY669" s="1055"/>
      <c r="AZ669" s="1055"/>
      <c r="BA669" s="1055"/>
      <c r="BB669" s="1055"/>
      <c r="BC669" s="1055"/>
      <c r="BD669" s="1055"/>
      <c r="BE669" s="1055"/>
      <c r="BF669" s="1055"/>
      <c r="BG669" s="1056"/>
    </row>
    <row r="670" spans="1:59" ht="15" thickBot="1" x14ac:dyDescent="0.2">
      <c r="A670" s="1050"/>
      <c r="B670" s="1064"/>
      <c r="C670" s="1763" t="str">
        <f>+IF(KKVnyil="","",KKVnyil)</f>
        <v>legördülő cella</v>
      </c>
      <c r="D670" s="1764"/>
      <c r="E670" s="1764"/>
      <c r="F670" s="1764"/>
      <c r="G670" s="1764"/>
      <c r="H670" s="1764"/>
      <c r="I670" s="1764"/>
      <c r="J670" s="1764"/>
      <c r="K670" s="1764"/>
      <c r="L670" s="1764"/>
      <c r="M670" s="1764"/>
      <c r="N670" s="1764"/>
      <c r="O670" s="1764"/>
      <c r="P670" s="1764"/>
      <c r="Q670" s="1764"/>
      <c r="R670" s="1764"/>
      <c r="S670" s="1764"/>
      <c r="T670" s="1765"/>
      <c r="U670" s="1055"/>
      <c r="V670" s="1055"/>
      <c r="W670" s="1055"/>
      <c r="X670" s="1763" t="str">
        <f>+IF(gazformnyil="","",gazformnyil)</f>
        <v>legördülő cella</v>
      </c>
      <c r="Y670" s="1764"/>
      <c r="Z670" s="1764"/>
      <c r="AA670" s="1764"/>
      <c r="AB670" s="1764"/>
      <c r="AC670" s="1764"/>
      <c r="AD670" s="1764"/>
      <c r="AE670" s="1764"/>
      <c r="AF670" s="1764"/>
      <c r="AG670" s="1764"/>
      <c r="AH670" s="1764"/>
      <c r="AI670" s="1764"/>
      <c r="AJ670" s="1764"/>
      <c r="AK670" s="1764"/>
      <c r="AL670" s="1765"/>
      <c r="AM670" s="1055"/>
      <c r="AN670" s="1055"/>
      <c r="AO670" s="1055"/>
      <c r="AP670" s="1055"/>
      <c r="AQ670" s="1055"/>
      <c r="AR670" s="1055"/>
      <c r="AS670" s="1055"/>
      <c r="AT670" s="1055"/>
      <c r="AU670" s="1055"/>
      <c r="AV670" s="1055"/>
      <c r="AW670" s="1055"/>
      <c r="AX670" s="1055"/>
      <c r="AY670" s="1055"/>
      <c r="AZ670" s="1055"/>
      <c r="BA670" s="1055"/>
      <c r="BB670" s="1055"/>
      <c r="BC670" s="1055"/>
      <c r="BD670" s="1055"/>
      <c r="BE670" s="1055"/>
      <c r="BF670" s="1055"/>
      <c r="BG670" s="1056"/>
    </row>
    <row r="671" spans="1:59" x14ac:dyDescent="0.15">
      <c r="A671" s="1050"/>
      <c r="B671" s="1064"/>
      <c r="C671" s="1055" t="s">
        <v>593</v>
      </c>
      <c r="D671" s="1055"/>
      <c r="E671" s="1055"/>
      <c r="F671" s="1055"/>
      <c r="G671" s="1055"/>
      <c r="H671" s="1055"/>
      <c r="I671" s="1055"/>
      <c r="J671" s="1055"/>
      <c r="K671" s="1055"/>
      <c r="L671" s="1055"/>
      <c r="M671" s="1055"/>
      <c r="N671" s="1055"/>
      <c r="O671" s="1055"/>
      <c r="P671" s="1055"/>
      <c r="Q671" s="1055"/>
      <c r="R671" s="1055"/>
      <c r="S671" s="1055"/>
      <c r="T671" s="1055"/>
      <c r="U671" s="1055"/>
      <c r="V671" s="1055"/>
      <c r="W671" s="1055"/>
      <c r="X671" s="1055" t="s">
        <v>594</v>
      </c>
      <c r="Y671" s="1055"/>
      <c r="Z671" s="1055"/>
      <c r="AA671" s="1055"/>
      <c r="AB671" s="1055"/>
      <c r="AC671" s="1055"/>
      <c r="AD671" s="1055"/>
      <c r="AE671" s="1055"/>
      <c r="AF671" s="1055"/>
      <c r="AG671" s="1055"/>
      <c r="AH671" s="1055"/>
      <c r="AI671" s="1055"/>
      <c r="AJ671" s="1055"/>
      <c r="AK671" s="1055"/>
      <c r="AL671" s="1055"/>
      <c r="AM671" s="1055"/>
      <c r="AN671" s="1055"/>
      <c r="AO671" s="1055"/>
      <c r="AP671" s="1055"/>
      <c r="AQ671" s="1055"/>
      <c r="AR671" s="1055"/>
      <c r="AS671" s="1055"/>
      <c r="AT671" s="1055"/>
      <c r="AU671" s="1055"/>
      <c r="AV671" s="1055"/>
      <c r="AW671" s="1055"/>
      <c r="AX671" s="1055"/>
      <c r="AY671" s="1055"/>
      <c r="AZ671" s="1055"/>
      <c r="BA671" s="1055"/>
      <c r="BB671" s="1055"/>
      <c r="BC671" s="1055"/>
      <c r="BD671" s="1055"/>
      <c r="BE671" s="1055"/>
      <c r="BF671" s="1055"/>
      <c r="BG671" s="1056"/>
    </row>
    <row r="672" spans="1:59" ht="15" thickBot="1" x14ac:dyDescent="0.2">
      <c r="A672" s="1050"/>
      <c r="B672" s="1064"/>
      <c r="C672" s="1055"/>
      <c r="D672" s="1055"/>
      <c r="E672" s="1055"/>
      <c r="F672" s="1055"/>
      <c r="G672" s="1055"/>
      <c r="H672" s="1055"/>
      <c r="I672" s="1055"/>
      <c r="J672" s="1055"/>
      <c r="K672" s="1055"/>
      <c r="L672" s="1055"/>
      <c r="M672" s="1055"/>
      <c r="N672" s="1055"/>
      <c r="O672" s="1055"/>
      <c r="P672" s="1055"/>
      <c r="Q672" s="1055"/>
      <c r="R672" s="1055"/>
      <c r="S672" s="1055"/>
      <c r="T672" s="1055"/>
      <c r="U672" s="1055"/>
      <c r="V672" s="1055"/>
      <c r="W672" s="1055"/>
      <c r="X672" s="1055"/>
      <c r="Y672" s="1055"/>
      <c r="Z672" s="1055"/>
      <c r="AA672" s="1055"/>
      <c r="AB672" s="1055"/>
      <c r="AC672" s="1055"/>
      <c r="AD672" s="1055"/>
      <c r="AE672" s="1055"/>
      <c r="AF672" s="1055"/>
      <c r="AG672" s="1055"/>
      <c r="AH672" s="1055"/>
      <c r="AI672" s="1055"/>
      <c r="AJ672" s="1055"/>
      <c r="AK672" s="1055"/>
      <c r="AL672" s="1055"/>
      <c r="AM672" s="1055"/>
      <c r="AN672" s="1055"/>
      <c r="AO672" s="1055"/>
      <c r="AP672" s="1055"/>
      <c r="AQ672" s="1055"/>
      <c r="AR672" s="1055"/>
      <c r="AS672" s="1055"/>
      <c r="AT672" s="1055"/>
      <c r="AU672" s="1055"/>
      <c r="AV672" s="1055"/>
      <c r="AW672" s="1055"/>
      <c r="AX672" s="1055"/>
      <c r="AY672" s="1055"/>
      <c r="AZ672" s="1055"/>
      <c r="BA672" s="1055"/>
      <c r="BB672" s="1055"/>
      <c r="BC672" s="1055"/>
      <c r="BD672" s="1055"/>
      <c r="BE672" s="1055"/>
      <c r="BF672" s="1055"/>
      <c r="BG672" s="1056"/>
    </row>
    <row r="673" spans="1:59" ht="15" thickBot="1" x14ac:dyDescent="0.2">
      <c r="A673" s="1050"/>
      <c r="B673" s="1064"/>
      <c r="C673" s="1763" t="str">
        <f>+IF(kapcsnyil="","",kapcsnyil)</f>
        <v/>
      </c>
      <c r="D673" s="1764"/>
      <c r="E673" s="1764"/>
      <c r="F673" s="1764"/>
      <c r="G673" s="1764"/>
      <c r="H673" s="1764"/>
      <c r="I673" s="1764"/>
      <c r="J673" s="1764"/>
      <c r="K673" s="1764"/>
      <c r="L673" s="1764"/>
      <c r="M673" s="1764"/>
      <c r="N673" s="1764"/>
      <c r="O673" s="1764"/>
      <c r="P673" s="1764"/>
      <c r="Q673" s="1764"/>
      <c r="R673" s="1764"/>
      <c r="S673" s="1764"/>
      <c r="T673" s="1765"/>
      <c r="U673" s="1055"/>
      <c r="V673" s="1055"/>
      <c r="W673" s="1055"/>
      <c r="X673" s="1763" t="str">
        <f>+IF(kapcstelnyil="","",kapcstelnyil)</f>
        <v/>
      </c>
      <c r="Y673" s="1764"/>
      <c r="Z673" s="1764"/>
      <c r="AA673" s="1764"/>
      <c r="AB673" s="1764"/>
      <c r="AC673" s="1764"/>
      <c r="AD673" s="1764"/>
      <c r="AE673" s="1764"/>
      <c r="AF673" s="1764"/>
      <c r="AG673" s="1764"/>
      <c r="AH673" s="1764"/>
      <c r="AI673" s="1764"/>
      <c r="AJ673" s="1764"/>
      <c r="AK673" s="1764"/>
      <c r="AL673" s="1765"/>
      <c r="AM673" s="1055"/>
      <c r="AN673" s="1055"/>
      <c r="AO673" s="1763" t="str">
        <f>+IF(kapcsemailnyil="","",kapcsemailnyil)</f>
        <v/>
      </c>
      <c r="AP673" s="1764"/>
      <c r="AQ673" s="1764"/>
      <c r="AR673" s="1764"/>
      <c r="AS673" s="1764"/>
      <c r="AT673" s="1764"/>
      <c r="AU673" s="1764"/>
      <c r="AV673" s="1764"/>
      <c r="AW673" s="1764"/>
      <c r="AX673" s="1764"/>
      <c r="AY673" s="1764"/>
      <c r="AZ673" s="1764"/>
      <c r="BA673" s="1764"/>
      <c r="BB673" s="1764"/>
      <c r="BC673" s="1764"/>
      <c r="BD673" s="1764"/>
      <c r="BE673" s="1764"/>
      <c r="BF673" s="1765"/>
      <c r="BG673" s="1056"/>
    </row>
    <row r="674" spans="1:59" x14ac:dyDescent="0.15">
      <c r="A674" s="1050"/>
      <c r="B674" s="1064"/>
      <c r="C674" s="1055" t="s">
        <v>587</v>
      </c>
      <c r="D674" s="1055"/>
      <c r="E674" s="1055"/>
      <c r="F674" s="1055"/>
      <c r="G674" s="1055"/>
      <c r="H674" s="1055"/>
      <c r="I674" s="1055"/>
      <c r="J674" s="1055"/>
      <c r="K674" s="1055"/>
      <c r="L674" s="1055"/>
      <c r="M674" s="1055"/>
      <c r="N674" s="1055"/>
      <c r="O674" s="1055"/>
      <c r="P674" s="1055"/>
      <c r="Q674" s="1055"/>
      <c r="R674" s="1055"/>
      <c r="S674" s="1055"/>
      <c r="T674" s="1055"/>
      <c r="U674" s="1055"/>
      <c r="V674" s="1055"/>
      <c r="W674" s="1055"/>
      <c r="X674" s="1055" t="s">
        <v>586</v>
      </c>
      <c r="Y674" s="1055"/>
      <c r="Z674" s="1055"/>
      <c r="AA674" s="1055"/>
      <c r="AB674" s="1055"/>
      <c r="AC674" s="1055"/>
      <c r="AD674" s="1055"/>
      <c r="AE674" s="1055"/>
      <c r="AF674" s="1055"/>
      <c r="AG674" s="1055"/>
      <c r="AH674" s="1055"/>
      <c r="AI674" s="1055"/>
      <c r="AJ674" s="1055"/>
      <c r="AK674" s="1055"/>
      <c r="AL674" s="1055"/>
      <c r="AM674" s="1055"/>
      <c r="AN674" s="1055"/>
      <c r="AO674" s="1055" t="s">
        <v>585</v>
      </c>
      <c r="AP674" s="1055"/>
      <c r="AQ674" s="1055"/>
      <c r="AR674" s="1055"/>
      <c r="AS674" s="1055"/>
      <c r="AT674" s="1055"/>
      <c r="AU674" s="1055"/>
      <c r="AV674" s="1055"/>
      <c r="AW674" s="1055"/>
      <c r="AX674" s="1055"/>
      <c r="AY674" s="1055"/>
      <c r="AZ674" s="1055"/>
      <c r="BA674" s="1055"/>
      <c r="BB674" s="1055"/>
      <c r="BC674" s="1055"/>
      <c r="BD674" s="1055"/>
      <c r="BE674" s="1055"/>
      <c r="BF674" s="1055"/>
      <c r="BG674" s="1056"/>
    </row>
    <row r="675" spans="1:59" ht="15" thickBot="1" x14ac:dyDescent="0.2">
      <c r="A675" s="1050"/>
      <c r="B675" s="1064"/>
      <c r="C675" s="1055"/>
      <c r="D675" s="1055"/>
      <c r="E675" s="1055"/>
      <c r="F675" s="1055"/>
      <c r="G675" s="1055"/>
      <c r="H675" s="1055"/>
      <c r="I675" s="1055"/>
      <c r="J675" s="1055"/>
      <c r="K675" s="1055"/>
      <c r="L675" s="1055"/>
      <c r="M675" s="1055"/>
      <c r="N675" s="1055"/>
      <c r="O675" s="1055"/>
      <c r="P675" s="1055"/>
      <c r="Q675" s="1055"/>
      <c r="R675" s="1055"/>
      <c r="S675" s="1055"/>
      <c r="T675" s="1055"/>
      <c r="U675" s="1055"/>
      <c r="V675" s="1055"/>
      <c r="W675" s="1055"/>
      <c r="X675" s="1055"/>
      <c r="Y675" s="1055"/>
      <c r="Z675" s="1055"/>
      <c r="AA675" s="1055"/>
      <c r="AB675" s="1055"/>
      <c r="AC675" s="1055"/>
      <c r="AD675" s="1055"/>
      <c r="AE675" s="1055"/>
      <c r="AF675" s="1055"/>
      <c r="AG675" s="1055"/>
      <c r="AH675" s="1055"/>
      <c r="AI675" s="1055"/>
      <c r="AJ675" s="1055"/>
      <c r="AK675" s="1055"/>
      <c r="AL675" s="1055"/>
      <c r="AM675" s="1055"/>
      <c r="AN675" s="1055"/>
      <c r="AO675" s="1055"/>
      <c r="AP675" s="1055"/>
      <c r="AQ675" s="1055"/>
      <c r="AR675" s="1055"/>
      <c r="AS675" s="1055"/>
      <c r="AT675" s="1055"/>
      <c r="AU675" s="1055"/>
      <c r="AV675" s="1055"/>
      <c r="AW675" s="1055"/>
      <c r="AX675" s="1055"/>
      <c r="AY675" s="1055"/>
      <c r="AZ675" s="1055"/>
      <c r="BA675" s="1055"/>
      <c r="BB675" s="1055"/>
      <c r="BC675" s="1055"/>
      <c r="BD675" s="1055"/>
      <c r="BE675" s="1055"/>
      <c r="BF675" s="1055"/>
      <c r="BG675" s="1056"/>
    </row>
    <row r="676" spans="1:59" ht="15" thickBot="1" x14ac:dyDescent="0.2">
      <c r="A676" s="1050"/>
      <c r="B676" s="1064"/>
      <c r="C676" s="1763" t="str">
        <f>+IF(vállemailnyil="","",vállemailnyil)</f>
        <v/>
      </c>
      <c r="D676" s="1764"/>
      <c r="E676" s="1764"/>
      <c r="F676" s="1764"/>
      <c r="G676" s="1764"/>
      <c r="H676" s="1764"/>
      <c r="I676" s="1764"/>
      <c r="J676" s="1764"/>
      <c r="K676" s="1764"/>
      <c r="L676" s="1764"/>
      <c r="M676" s="1764"/>
      <c r="N676" s="1764"/>
      <c r="O676" s="1764"/>
      <c r="P676" s="1764"/>
      <c r="Q676" s="1764"/>
      <c r="R676" s="1764"/>
      <c r="S676" s="1764"/>
      <c r="T676" s="1765"/>
      <c r="U676" s="1055"/>
      <c r="V676" s="1055"/>
      <c r="W676" s="1055"/>
      <c r="X676" s="1763" t="str">
        <f>+IF(válltelnyil="","",válltelnyil)</f>
        <v/>
      </c>
      <c r="Y676" s="1764"/>
      <c r="Z676" s="1764"/>
      <c r="AA676" s="1764"/>
      <c r="AB676" s="1764"/>
      <c r="AC676" s="1764"/>
      <c r="AD676" s="1764"/>
      <c r="AE676" s="1764"/>
      <c r="AF676" s="1764"/>
      <c r="AG676" s="1764"/>
      <c r="AH676" s="1764"/>
      <c r="AI676" s="1764"/>
      <c r="AJ676" s="1764"/>
      <c r="AK676" s="1764"/>
      <c r="AL676" s="1765"/>
      <c r="AM676" s="1055"/>
      <c r="AN676" s="1055"/>
      <c r="AO676" s="1055"/>
      <c r="AP676" s="1055"/>
      <c r="AQ676" s="1055"/>
      <c r="AR676" s="1055"/>
      <c r="AS676" s="1055"/>
      <c r="AT676" s="1055"/>
      <c r="AU676" s="1055"/>
      <c r="AV676" s="1055"/>
      <c r="AW676" s="1055"/>
      <c r="AX676" s="1055"/>
      <c r="AY676" s="1055"/>
      <c r="AZ676" s="1055"/>
      <c r="BA676" s="1055"/>
      <c r="BB676" s="1055"/>
      <c r="BC676" s="1055"/>
      <c r="BD676" s="1055"/>
      <c r="BE676" s="1055"/>
      <c r="BF676" s="1055"/>
      <c r="BG676" s="1056"/>
    </row>
    <row r="677" spans="1:59" x14ac:dyDescent="0.15">
      <c r="A677" s="1050"/>
      <c r="B677" s="1064"/>
      <c r="C677" s="1055" t="s">
        <v>588</v>
      </c>
      <c r="D677" s="1055"/>
      <c r="E677" s="1055"/>
      <c r="F677" s="1055"/>
      <c r="G677" s="1055"/>
      <c r="H677" s="1055"/>
      <c r="I677" s="1055"/>
      <c r="J677" s="1055"/>
      <c r="K677" s="1055"/>
      <c r="L677" s="1055"/>
      <c r="M677" s="1055"/>
      <c r="N677" s="1055"/>
      <c r="O677" s="1055"/>
      <c r="P677" s="1055"/>
      <c r="Q677" s="1055"/>
      <c r="R677" s="1055"/>
      <c r="S677" s="1055"/>
      <c r="T677" s="1055"/>
      <c r="U677" s="1055"/>
      <c r="V677" s="1055"/>
      <c r="W677" s="1055"/>
      <c r="X677" s="1055" t="s">
        <v>589</v>
      </c>
      <c r="Y677" s="1055"/>
      <c r="Z677" s="1055"/>
      <c r="AA677" s="1055"/>
      <c r="AB677" s="1055"/>
      <c r="AC677" s="1055"/>
      <c r="AD677" s="1055"/>
      <c r="AE677" s="1055"/>
      <c r="AF677" s="1055"/>
      <c r="AG677" s="1055"/>
      <c r="AH677" s="1055"/>
      <c r="AI677" s="1055"/>
      <c r="AJ677" s="1055"/>
      <c r="AK677" s="1055"/>
      <c r="AL677" s="1055"/>
      <c r="AM677" s="1055"/>
      <c r="AN677" s="1055"/>
      <c r="AO677" s="1055"/>
      <c r="AP677" s="1055"/>
      <c r="AQ677" s="1055"/>
      <c r="AR677" s="1055"/>
      <c r="AS677" s="1055"/>
      <c r="AT677" s="1055"/>
      <c r="AU677" s="1055"/>
      <c r="AV677" s="1055"/>
      <c r="AW677" s="1055"/>
      <c r="AX677" s="1055"/>
      <c r="AY677" s="1055"/>
      <c r="AZ677" s="1055"/>
      <c r="BA677" s="1055"/>
      <c r="BB677" s="1055"/>
      <c r="BC677" s="1055"/>
      <c r="BD677" s="1055"/>
      <c r="BE677" s="1055"/>
      <c r="BF677" s="1055"/>
      <c r="BG677" s="1056"/>
    </row>
    <row r="678" spans="1:59" x14ac:dyDescent="0.15">
      <c r="A678" s="1050"/>
      <c r="B678" s="1065"/>
      <c r="C678" s="1066"/>
      <c r="D678" s="1066"/>
      <c r="E678" s="1066"/>
      <c r="F678" s="1066"/>
      <c r="G678" s="1066"/>
      <c r="H678" s="1066"/>
      <c r="I678" s="1066"/>
      <c r="J678" s="1066"/>
      <c r="K678" s="1066"/>
      <c r="L678" s="1066"/>
      <c r="M678" s="1066"/>
      <c r="N678" s="1066"/>
      <c r="O678" s="1066"/>
      <c r="P678" s="1066"/>
      <c r="Q678" s="1066"/>
      <c r="R678" s="1066"/>
      <c r="S678" s="1066"/>
      <c r="T678" s="1066"/>
      <c r="U678" s="1066"/>
      <c r="V678" s="1066"/>
      <c r="W678" s="1066"/>
      <c r="X678" s="1066"/>
      <c r="Y678" s="1066"/>
      <c r="Z678" s="1066"/>
      <c r="AA678" s="1066"/>
      <c r="AB678" s="1066"/>
      <c r="AC678" s="1066"/>
      <c r="AD678" s="1066"/>
      <c r="AE678" s="1066"/>
      <c r="AF678" s="1066"/>
      <c r="AG678" s="1066"/>
      <c r="AH678" s="1066"/>
      <c r="AI678" s="1066"/>
      <c r="AJ678" s="1066"/>
      <c r="AK678" s="1066"/>
      <c r="AL678" s="1066"/>
      <c r="AM678" s="1066"/>
      <c r="AN678" s="1066"/>
      <c r="AO678" s="1066"/>
      <c r="AP678" s="1066"/>
      <c r="AQ678" s="1066"/>
      <c r="AR678" s="1066"/>
      <c r="AS678" s="1066"/>
      <c r="AT678" s="1066"/>
      <c r="AU678" s="1066"/>
      <c r="AV678" s="1066"/>
      <c r="AW678" s="1066"/>
      <c r="AX678" s="1066"/>
      <c r="AY678" s="1066"/>
      <c r="AZ678" s="1066"/>
      <c r="BA678" s="1066"/>
      <c r="BB678" s="1066"/>
      <c r="BC678" s="1066"/>
      <c r="BD678" s="1066"/>
      <c r="BE678" s="1066"/>
      <c r="BF678" s="1066"/>
      <c r="BG678" s="1067"/>
    </row>
    <row r="679" spans="1:59" x14ac:dyDescent="0.15">
      <c r="A679" s="1050"/>
      <c r="B679" s="1753" t="s">
        <v>846</v>
      </c>
      <c r="C679" s="1754"/>
      <c r="D679" s="1754"/>
      <c r="E679" s="1754"/>
      <c r="F679" s="1754"/>
      <c r="G679" s="1754"/>
      <c r="H679" s="1754"/>
      <c r="I679" s="1754"/>
      <c r="J679" s="1754"/>
      <c r="K679" s="1754"/>
      <c r="L679" s="1754"/>
      <c r="M679" s="1754"/>
      <c r="N679" s="1754"/>
      <c r="O679" s="1754"/>
      <c r="P679" s="1754"/>
      <c r="Q679" s="1754"/>
      <c r="R679" s="1754"/>
      <c r="S679" s="1754"/>
      <c r="T679" s="1754"/>
      <c r="U679" s="1754"/>
      <c r="V679" s="1754"/>
      <c r="W679" s="1754"/>
      <c r="X679" s="1754"/>
      <c r="Y679" s="1754"/>
      <c r="Z679" s="1754"/>
      <c r="AA679" s="1754"/>
      <c r="AB679" s="1754"/>
      <c r="AC679" s="1754"/>
      <c r="AD679" s="1754"/>
      <c r="AE679" s="1754"/>
      <c r="AF679" s="1754"/>
      <c r="AG679" s="1754"/>
      <c r="AH679" s="1754"/>
      <c r="AI679" s="1754"/>
      <c r="AJ679" s="1754"/>
      <c r="AK679" s="1754"/>
      <c r="AL679" s="1754"/>
      <c r="AM679" s="1754"/>
      <c r="AN679" s="1754"/>
      <c r="AO679" s="1754"/>
      <c r="AP679" s="1754"/>
      <c r="AQ679" s="1754"/>
      <c r="AR679" s="1754"/>
      <c r="AS679" s="1754"/>
      <c r="AT679" s="1754"/>
      <c r="AU679" s="1754"/>
      <c r="AV679" s="1754"/>
      <c r="AW679" s="1754"/>
      <c r="AX679" s="1754"/>
      <c r="AY679" s="1754"/>
      <c r="AZ679" s="1754"/>
      <c r="BA679" s="1754"/>
      <c r="BB679" s="1754"/>
      <c r="BC679" s="1754"/>
      <c r="BD679" s="1754"/>
      <c r="BE679" s="1754"/>
      <c r="BF679" s="1754"/>
      <c r="BG679" s="1755"/>
    </row>
    <row r="680" spans="1:59" x14ac:dyDescent="0.15">
      <c r="A680" s="1050"/>
      <c r="B680" s="1068"/>
      <c r="C680" s="1751" t="s">
        <v>777</v>
      </c>
      <c r="D680" s="1751"/>
      <c r="E680" s="1751"/>
      <c r="F680" s="1751"/>
      <c r="G680" s="1751"/>
      <c r="H680" s="1751"/>
      <c r="I680" s="1751"/>
      <c r="J680" s="1751"/>
      <c r="K680" s="1751"/>
      <c r="L680" s="1751"/>
      <c r="M680" s="1751"/>
      <c r="N680" s="1751"/>
      <c r="O680" s="1751"/>
      <c r="P680" s="1751"/>
      <c r="Q680" s="1751"/>
      <c r="R680" s="1751"/>
      <c r="S680" s="1751"/>
      <c r="T680" s="1751"/>
      <c r="U680" s="1751"/>
      <c r="V680" s="1751"/>
      <c r="W680" s="1751"/>
      <c r="X680" s="1751"/>
      <c r="Y680" s="1751"/>
      <c r="Z680" s="1751"/>
      <c r="AA680" s="1751"/>
      <c r="AB680" s="1751"/>
      <c r="AC680" s="1751"/>
      <c r="AD680" s="1751"/>
      <c r="AE680" s="1751"/>
      <c r="AF680" s="1751"/>
      <c r="AG680" s="1751"/>
      <c r="AH680" s="1751"/>
      <c r="AI680" s="1751"/>
      <c r="AJ680" s="1751"/>
      <c r="AK680" s="1751"/>
      <c r="AL680" s="1751"/>
      <c r="AM680" s="1751"/>
      <c r="AN680" s="1751"/>
      <c r="AO680" s="1751"/>
      <c r="AP680" s="1751"/>
      <c r="AQ680" s="1751"/>
      <c r="AR680" s="1751"/>
      <c r="AS680" s="1751"/>
      <c r="AT680" s="1751"/>
      <c r="AU680" s="1751"/>
      <c r="AV680" s="1751"/>
      <c r="AW680" s="1751"/>
      <c r="AX680" s="1751"/>
      <c r="AY680" s="1751"/>
      <c r="AZ680" s="1751"/>
      <c r="BA680" s="1751"/>
      <c r="BB680" s="1751"/>
      <c r="BC680" s="1751"/>
      <c r="BD680" s="1751"/>
      <c r="BE680" s="1751"/>
      <c r="BF680" s="1751"/>
      <c r="BG680" s="1069"/>
    </row>
    <row r="681" spans="1:59" ht="15" thickBot="1" x14ac:dyDescent="0.2">
      <c r="A681" s="1050"/>
      <c r="B681" s="1064"/>
      <c r="C681" s="1761" t="s">
        <v>914</v>
      </c>
      <c r="D681" s="1761"/>
      <c r="E681" s="1761"/>
      <c r="F681" s="1761"/>
      <c r="G681" s="1761"/>
      <c r="H681" s="1761"/>
      <c r="I681" s="1761"/>
      <c r="J681" s="1761"/>
      <c r="K681" s="1761"/>
      <c r="L681" s="1761"/>
      <c r="M681" s="1761"/>
      <c r="N681" s="1761"/>
      <c r="O681" s="1761"/>
      <c r="P681" s="1761"/>
      <c r="Q681" s="1761"/>
      <c r="R681" s="1761"/>
      <c r="S681" s="1761"/>
      <c r="T681" s="1761"/>
      <c r="U681" s="1761"/>
      <c r="V681" s="1761"/>
      <c r="W681" s="1761"/>
      <c r="X681" s="1761"/>
      <c r="Y681" s="1761"/>
      <c r="Z681" s="1761"/>
      <c r="AA681" s="1761"/>
      <c r="AB681" s="1761"/>
      <c r="AC681" s="1761"/>
      <c r="AD681" s="1761"/>
      <c r="AE681" s="1761"/>
      <c r="AF681" s="1761"/>
      <c r="AG681" s="1761"/>
      <c r="AH681" s="1761"/>
      <c r="AI681" s="1761"/>
      <c r="AJ681" s="1761"/>
      <c r="AK681" s="1761"/>
      <c r="AL681" s="1761"/>
      <c r="AM681" s="1761"/>
      <c r="AN681" s="1761"/>
      <c r="AO681" s="1761"/>
      <c r="AP681" s="1761"/>
      <c r="AQ681" s="1761"/>
      <c r="AR681" s="1761"/>
      <c r="AS681" s="1761"/>
      <c r="AT681" s="1761"/>
      <c r="AU681" s="1761"/>
      <c r="AV681" s="1761"/>
      <c r="AW681" s="1761"/>
      <c r="AX681" s="1761"/>
      <c r="AY681" s="1761"/>
      <c r="AZ681" s="1761"/>
      <c r="BA681" s="1761"/>
      <c r="BB681" s="1761"/>
      <c r="BC681" s="1761"/>
      <c r="BD681" s="1761"/>
      <c r="BE681" s="1761"/>
      <c r="BF681" s="1761"/>
      <c r="BG681" s="1056"/>
    </row>
    <row r="682" spans="1:59" ht="15" thickBot="1" x14ac:dyDescent="0.2">
      <c r="A682" s="1050"/>
      <c r="B682" s="1064"/>
      <c r="C682" s="1748" t="str">
        <f>+Nyilatkozatok!CK160</f>
        <v>halászati csekély összegű támogatás</v>
      </c>
      <c r="D682" s="1749"/>
      <c r="E682" s="1749"/>
      <c r="F682" s="1749"/>
      <c r="G682" s="1749"/>
      <c r="H682" s="1749"/>
      <c r="I682" s="1749"/>
      <c r="J682" s="1749"/>
      <c r="K682" s="1749"/>
      <c r="L682" s="1749"/>
      <c r="M682" s="1749"/>
      <c r="N682" s="1749"/>
      <c r="O682" s="1749"/>
      <c r="P682" s="1749"/>
      <c r="Q682" s="1749"/>
      <c r="R682" s="1749"/>
      <c r="S682" s="1749"/>
      <c r="T682" s="1749"/>
      <c r="U682" s="1749"/>
      <c r="V682" s="1749"/>
      <c r="W682" s="1749"/>
      <c r="X682" s="1749"/>
      <c r="Y682" s="1749"/>
      <c r="Z682" s="1749"/>
      <c r="AA682" s="1749"/>
      <c r="AB682" s="1749"/>
      <c r="AC682" s="1749"/>
      <c r="AD682" s="1749"/>
      <c r="AE682" s="1749"/>
      <c r="AF682" s="1749"/>
      <c r="AG682" s="1749"/>
      <c r="AH682" s="1750"/>
      <c r="AI682" s="1070"/>
      <c r="AJ682" s="1070"/>
      <c r="AK682" s="1070"/>
      <c r="AL682" s="1070"/>
      <c r="AM682" s="1070"/>
      <c r="AN682" s="1070"/>
      <c r="AO682" s="1070"/>
      <c r="AP682" s="1070"/>
      <c r="AQ682" s="1070"/>
      <c r="AR682" s="1070"/>
      <c r="AS682" s="1070"/>
      <c r="AT682" s="1070"/>
      <c r="AU682" s="1070"/>
      <c r="AV682" s="1070"/>
      <c r="AW682" s="1070"/>
      <c r="AX682" s="1070"/>
      <c r="AY682" s="1070"/>
      <c r="AZ682" s="1070"/>
      <c r="BA682" s="1070"/>
      <c r="BB682" s="1070"/>
      <c r="BC682" s="1070"/>
      <c r="BD682" s="1070"/>
      <c r="BE682" s="1070"/>
      <c r="BF682" s="1070"/>
      <c r="BG682" s="1056"/>
    </row>
    <row r="683" spans="1:59" x14ac:dyDescent="0.15">
      <c r="A683" s="1050"/>
      <c r="B683" s="1064"/>
      <c r="C683" s="1761" t="s">
        <v>856</v>
      </c>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c r="AI683" s="1761"/>
      <c r="AJ683" s="1761"/>
      <c r="AK683" s="1761"/>
      <c r="AL683" s="1761"/>
      <c r="AM683" s="1761"/>
      <c r="AN683" s="1761"/>
      <c r="AO683" s="1761"/>
      <c r="AP683" s="1761"/>
      <c r="AQ683" s="1761"/>
      <c r="AR683" s="1761"/>
      <c r="AS683" s="1761"/>
      <c r="AT683" s="1761"/>
      <c r="AU683" s="1761"/>
      <c r="AV683" s="1761"/>
      <c r="AW683" s="1761"/>
      <c r="AX683" s="1761"/>
      <c r="AY683" s="1761"/>
      <c r="AZ683" s="1761"/>
      <c r="BA683" s="1761"/>
      <c r="BB683" s="1761"/>
      <c r="BC683" s="1761"/>
      <c r="BD683" s="1761"/>
      <c r="BE683" s="1761"/>
      <c r="BF683" s="1761"/>
      <c r="BG683" s="1056"/>
    </row>
    <row r="684" spans="1:59" x14ac:dyDescent="0.15">
      <c r="A684" s="1050"/>
      <c r="B684" s="1064"/>
      <c r="C684" s="1759" t="str">
        <f>+Nyilatkozatok!CK161</f>
        <v xml:space="preserve">– visszaigényelhető általános forgalmi adó (ÁFA) finanszírozására, kivéve, ha ÁFA visszaigénylésére nem jogosult; </v>
      </c>
      <c r="D684" s="1759"/>
      <c r="E684" s="1759"/>
      <c r="F684" s="1759"/>
      <c r="G684" s="1759"/>
      <c r="H684" s="1759"/>
      <c r="I684" s="1759"/>
      <c r="J684" s="1759"/>
      <c r="K684" s="1759"/>
      <c r="L684" s="1759"/>
      <c r="M684" s="1759"/>
      <c r="N684" s="1759"/>
      <c r="O684" s="1759"/>
      <c r="P684" s="1759"/>
      <c r="Q684" s="1759"/>
      <c r="R684" s="1759"/>
      <c r="S684" s="1759"/>
      <c r="T684" s="1759"/>
      <c r="U684" s="1759"/>
      <c r="V684" s="1759"/>
      <c r="W684" s="1759"/>
      <c r="X684" s="1759"/>
      <c r="Y684" s="1759"/>
      <c r="Z684" s="1759"/>
      <c r="AA684" s="1759"/>
      <c r="AB684" s="1759"/>
      <c r="AC684" s="1759"/>
      <c r="AD684" s="1759"/>
      <c r="AE684" s="1759"/>
      <c r="AF684" s="1759"/>
      <c r="AG684" s="1759"/>
      <c r="AH684" s="1759"/>
      <c r="AI684" s="1759"/>
      <c r="AJ684" s="1759"/>
      <c r="AK684" s="1759"/>
      <c r="AL684" s="1759"/>
      <c r="AM684" s="1759"/>
      <c r="AN684" s="1759"/>
      <c r="AO684" s="1759"/>
      <c r="AP684" s="1759"/>
      <c r="AQ684" s="1759"/>
      <c r="AR684" s="1759"/>
      <c r="AS684" s="1759"/>
      <c r="AT684" s="1759"/>
      <c r="AU684" s="1759"/>
      <c r="AV684" s="1759"/>
      <c r="AW684" s="1759"/>
      <c r="AX684" s="1759"/>
      <c r="AY684" s="1759"/>
      <c r="AZ684" s="1759"/>
      <c r="BA684" s="1759"/>
      <c r="BB684" s="1759"/>
      <c r="BC684" s="1759"/>
      <c r="BD684" s="1759"/>
      <c r="BE684" s="1759"/>
      <c r="BF684" s="1759"/>
      <c r="BG684" s="1056"/>
    </row>
    <row r="685" spans="1:59" x14ac:dyDescent="0.15">
      <c r="A685" s="1050"/>
      <c r="B685" s="1064"/>
      <c r="C685" s="1759" t="str">
        <f>+Nyilatkozatok!CK162</f>
        <v xml:space="preserve">– a finanszírozásról szóló döntés napján fizikailag már lezárt (befejezett) vagy teljes mértékben (fizikailag és pénzügyileg is) végrehajtott beruházás finanszírozására; </v>
      </c>
      <c r="D685" s="1759"/>
      <c r="E685" s="1759"/>
      <c r="F685" s="1759"/>
      <c r="G685" s="1759"/>
      <c r="H685" s="1759"/>
      <c r="I685" s="1759"/>
      <c r="J685" s="1759"/>
      <c r="K685" s="1759"/>
      <c r="L685" s="1759"/>
      <c r="M685" s="1759"/>
      <c r="N685" s="1759"/>
      <c r="O685" s="1759"/>
      <c r="P685" s="1759"/>
      <c r="Q685" s="1759"/>
      <c r="R685" s="1759"/>
      <c r="S685" s="1759"/>
      <c r="T685" s="1759"/>
      <c r="U685" s="1759"/>
      <c r="V685" s="1759"/>
      <c r="W685" s="1759"/>
      <c r="X685" s="1759"/>
      <c r="Y685" s="1759"/>
      <c r="Z685" s="1759"/>
      <c r="AA685" s="1759"/>
      <c r="AB685" s="1759"/>
      <c r="AC685" s="1759"/>
      <c r="AD685" s="1759"/>
      <c r="AE685" s="1759"/>
      <c r="AF685" s="1759"/>
      <c r="AG685" s="1759"/>
      <c r="AH685" s="1759"/>
      <c r="AI685" s="1759"/>
      <c r="AJ685" s="1759"/>
      <c r="AK685" s="1759"/>
      <c r="AL685" s="1759"/>
      <c r="AM685" s="1759"/>
      <c r="AN685" s="1759"/>
      <c r="AO685" s="1759"/>
      <c r="AP685" s="1759"/>
      <c r="AQ685" s="1759"/>
      <c r="AR685" s="1759"/>
      <c r="AS685" s="1759"/>
      <c r="AT685" s="1759"/>
      <c r="AU685" s="1759"/>
      <c r="AV685" s="1759"/>
      <c r="AW685" s="1759"/>
      <c r="AX685" s="1759"/>
      <c r="AY685" s="1759"/>
      <c r="AZ685" s="1759"/>
      <c r="BA685" s="1759"/>
      <c r="BB685" s="1759"/>
      <c r="BC685" s="1759"/>
      <c r="BD685" s="1759"/>
      <c r="BE685" s="1759"/>
      <c r="BF685" s="1759"/>
      <c r="BG685" s="1056"/>
    </row>
    <row r="686" spans="1:59" x14ac:dyDescent="0.15">
      <c r="A686" s="1050"/>
      <c r="B686" s="1064"/>
      <c r="C686" s="1759" t="str">
        <f>+Nyilatkozatok!CK163</f>
        <v>– a harmadik országokba vagy tagállamokba irányuló exporttal kapcsolatos tevékenységhez, ahol a támogatás az exportált mennyiségekhez, értékesítési hálózat kialakításához és működtetéséhez vagy az exporttevékenységgel összefüggésben felmerülő egyéb folyó kiadásokhoz közvetlenül kapcsolódik,</v>
      </c>
      <c r="D686" s="1759"/>
      <c r="E686" s="1759"/>
      <c r="F686" s="1759"/>
      <c r="G686" s="1759"/>
      <c r="H686" s="1759"/>
      <c r="I686" s="1759"/>
      <c r="J686" s="1759"/>
      <c r="K686" s="1759"/>
      <c r="L686" s="1759"/>
      <c r="M686" s="1759"/>
      <c r="N686" s="1759"/>
      <c r="O686" s="1759"/>
      <c r="P686" s="1759"/>
      <c r="Q686" s="1759"/>
      <c r="R686" s="1759"/>
      <c r="S686" s="1759"/>
      <c r="T686" s="1759"/>
      <c r="U686" s="1759"/>
      <c r="V686" s="1759"/>
      <c r="W686" s="1759"/>
      <c r="X686" s="1759"/>
      <c r="Y686" s="1759"/>
      <c r="Z686" s="1759"/>
      <c r="AA686" s="1759"/>
      <c r="AB686" s="1759"/>
      <c r="AC686" s="1759"/>
      <c r="AD686" s="1759"/>
      <c r="AE686" s="1759"/>
      <c r="AF686" s="1759"/>
      <c r="AG686" s="1759"/>
      <c r="AH686" s="1759"/>
      <c r="AI686" s="1759"/>
      <c r="AJ686" s="1759"/>
      <c r="AK686" s="1759"/>
      <c r="AL686" s="1759"/>
      <c r="AM686" s="1759"/>
      <c r="AN686" s="1759"/>
      <c r="AO686" s="1759"/>
      <c r="AP686" s="1759"/>
      <c r="AQ686" s="1759"/>
      <c r="AR686" s="1759"/>
      <c r="AS686" s="1759"/>
      <c r="AT686" s="1759"/>
      <c r="AU686" s="1759"/>
      <c r="AV686" s="1759"/>
      <c r="AW686" s="1759"/>
      <c r="AX686" s="1759"/>
      <c r="AY686" s="1759"/>
      <c r="AZ686" s="1759"/>
      <c r="BA686" s="1759"/>
      <c r="BB686" s="1759"/>
      <c r="BC686" s="1759"/>
      <c r="BD686" s="1759"/>
      <c r="BE686" s="1759"/>
      <c r="BF686" s="1759"/>
      <c r="BG686" s="1056"/>
    </row>
    <row r="687" spans="1:59" x14ac:dyDescent="0.15">
      <c r="A687" s="1050"/>
      <c r="B687" s="1064"/>
      <c r="C687" s="1759" t="str">
        <f>+Nyilatkozatok!CK164</f>
        <v>– mezőgazdasági termékek elsődleges termelésével kapcsolatos tevékenység finanszírozására,</v>
      </c>
      <c r="D687" s="1759"/>
      <c r="E687" s="1759"/>
      <c r="F687" s="1759"/>
      <c r="G687" s="1759"/>
      <c r="H687" s="1759"/>
      <c r="I687" s="1759"/>
      <c r="J687" s="1759"/>
      <c r="K687" s="1759"/>
      <c r="L687" s="1759"/>
      <c r="M687" s="1759"/>
      <c r="N687" s="1759"/>
      <c r="O687" s="1759"/>
      <c r="P687" s="1759"/>
      <c r="Q687" s="1759"/>
      <c r="R687" s="1759"/>
      <c r="S687" s="1759"/>
      <c r="T687" s="1759"/>
      <c r="U687" s="1759"/>
      <c r="V687" s="1759"/>
      <c r="W687" s="1759"/>
      <c r="X687" s="1759"/>
      <c r="Y687" s="1759"/>
      <c r="Z687" s="1759"/>
      <c r="AA687" s="1759"/>
      <c r="AB687" s="1759"/>
      <c r="AC687" s="1759"/>
      <c r="AD687" s="1759"/>
      <c r="AE687" s="1759"/>
      <c r="AF687" s="1759"/>
      <c r="AG687" s="1759"/>
      <c r="AH687" s="1759"/>
      <c r="AI687" s="1759"/>
      <c r="AJ687" s="1759"/>
      <c r="AK687" s="1759"/>
      <c r="AL687" s="1759"/>
      <c r="AM687" s="1759"/>
      <c r="AN687" s="1759"/>
      <c r="AO687" s="1759"/>
      <c r="AP687" s="1759"/>
      <c r="AQ687" s="1759"/>
      <c r="AR687" s="1759"/>
      <c r="AS687" s="1759"/>
      <c r="AT687" s="1759"/>
      <c r="AU687" s="1759"/>
      <c r="AV687" s="1759"/>
      <c r="AW687" s="1759"/>
      <c r="AX687" s="1759"/>
      <c r="AY687" s="1759"/>
      <c r="AZ687" s="1759"/>
      <c r="BA687" s="1759"/>
      <c r="BB687" s="1759"/>
      <c r="BC687" s="1759"/>
      <c r="BD687" s="1759"/>
      <c r="BE687" s="1759"/>
      <c r="BF687" s="1759"/>
      <c r="BG687" s="1056"/>
    </row>
    <row r="688" spans="1:59" x14ac:dyDescent="0.15">
      <c r="A688" s="1050"/>
      <c r="B688" s="1064"/>
      <c r="C688" s="1759" t="str">
        <f>+Nyilatkozatok!CK165</f>
        <v>– a mezőgazdasági termékek feldolgozásával és forgalmazásával foglalkozó vállalkozásoknak nyújtott támogatás, a következő esetekben: 
o amennyiben a támogatás összege az elsődleges termelőktől beszerzett, vagy az érintett vállalkozások által forgalmazott ilyen termékek ára, vagy mennyisége alapján kerül rögzítésre;
o amennyiben a támogatás feltétele az elsődleges termelőknek történő teljes, vagy részleges továbbadás;</v>
      </c>
      <c r="D688" s="1759"/>
      <c r="E688" s="1759"/>
      <c r="F688" s="1759"/>
      <c r="G688" s="1759"/>
      <c r="H688" s="1759"/>
      <c r="I688" s="1759"/>
      <c r="J688" s="1759"/>
      <c r="K688" s="1759"/>
      <c r="L688" s="1759"/>
      <c r="M688" s="1759"/>
      <c r="N688" s="1759"/>
      <c r="O688" s="1759"/>
      <c r="P688" s="1759"/>
      <c r="Q688" s="1759"/>
      <c r="R688" s="1759"/>
      <c r="S688" s="1759"/>
      <c r="T688" s="1759"/>
      <c r="U688" s="1759"/>
      <c r="V688" s="1759"/>
      <c r="W688" s="1759"/>
      <c r="X688" s="1759"/>
      <c r="Y688" s="1759"/>
      <c r="Z688" s="1759"/>
      <c r="AA688" s="1759"/>
      <c r="AB688" s="1759"/>
      <c r="AC688" s="1759"/>
      <c r="AD688" s="1759"/>
      <c r="AE688" s="1759"/>
      <c r="AF688" s="1759"/>
      <c r="AG688" s="1759"/>
      <c r="AH688" s="1759"/>
      <c r="AI688" s="1759"/>
      <c r="AJ688" s="1759"/>
      <c r="AK688" s="1759"/>
      <c r="AL688" s="1759"/>
      <c r="AM688" s="1759"/>
      <c r="AN688" s="1759"/>
      <c r="AO688" s="1759"/>
      <c r="AP688" s="1759"/>
      <c r="AQ688" s="1759"/>
      <c r="AR688" s="1759"/>
      <c r="AS688" s="1759"/>
      <c r="AT688" s="1759"/>
      <c r="AU688" s="1759"/>
      <c r="AV688" s="1759"/>
      <c r="AW688" s="1759"/>
      <c r="AX688" s="1759"/>
      <c r="AY688" s="1759"/>
      <c r="AZ688" s="1759"/>
      <c r="BA688" s="1759"/>
      <c r="BB688" s="1759"/>
      <c r="BC688" s="1759"/>
      <c r="BD688" s="1759"/>
      <c r="BE688" s="1759"/>
      <c r="BF688" s="1759"/>
      <c r="BG688" s="1056"/>
    </row>
    <row r="689" spans="1:59" x14ac:dyDescent="0.15">
      <c r="A689" s="1050"/>
      <c r="B689" s="1064"/>
      <c r="C689" s="1759" t="str">
        <f>+Nyilatkozatok!CK166</f>
        <v xml:space="preserve">– halászhajók főhajtóműveinek vagy kiegészítő hajtóműveinek korszerűsítésére vagy cseréjére; </v>
      </c>
      <c r="D689" s="1759"/>
      <c r="E689" s="1759"/>
      <c r="F689" s="1759"/>
      <c r="G689" s="1759"/>
      <c r="H689" s="1759"/>
      <c r="I689" s="1759"/>
      <c r="J689" s="1759"/>
      <c r="K689" s="1759"/>
      <c r="L689" s="1759"/>
      <c r="M689" s="1759"/>
      <c r="N689" s="1759"/>
      <c r="O689" s="1759"/>
      <c r="P689" s="1759"/>
      <c r="Q689" s="1759"/>
      <c r="R689" s="1759"/>
      <c r="S689" s="1759"/>
      <c r="T689" s="1759"/>
      <c r="U689" s="1759"/>
      <c r="V689" s="1759"/>
      <c r="W689" s="1759"/>
      <c r="X689" s="1759"/>
      <c r="Y689" s="1759"/>
      <c r="Z689" s="1759"/>
      <c r="AA689" s="1759"/>
      <c r="AB689" s="1759"/>
      <c r="AC689" s="1759"/>
      <c r="AD689" s="1759"/>
      <c r="AE689" s="1759"/>
      <c r="AF689" s="1759"/>
      <c r="AG689" s="1759"/>
      <c r="AH689" s="1759"/>
      <c r="AI689" s="1759"/>
      <c r="AJ689" s="1759"/>
      <c r="AK689" s="1759"/>
      <c r="AL689" s="1759"/>
      <c r="AM689" s="1759"/>
      <c r="AN689" s="1759"/>
      <c r="AO689" s="1759"/>
      <c r="AP689" s="1759"/>
      <c r="AQ689" s="1759"/>
      <c r="AR689" s="1759"/>
      <c r="AS689" s="1759"/>
      <c r="AT689" s="1759"/>
      <c r="AU689" s="1759"/>
      <c r="AV689" s="1759"/>
      <c r="AW689" s="1759"/>
      <c r="AX689" s="1759"/>
      <c r="AY689" s="1759"/>
      <c r="AZ689" s="1759"/>
      <c r="BA689" s="1759"/>
      <c r="BB689" s="1759"/>
      <c r="BC689" s="1759"/>
      <c r="BD689" s="1759"/>
      <c r="BE689" s="1759"/>
      <c r="BF689" s="1759"/>
      <c r="BG689" s="1056"/>
    </row>
    <row r="690" spans="1:59" x14ac:dyDescent="0.15">
      <c r="A690" s="1050"/>
      <c r="B690" s="1064"/>
      <c r="C690" s="1759" t="str">
        <f>+Nyilatkozatok!CK167</f>
        <v>– halászhajók vásárlására;</v>
      </c>
      <c r="D690" s="1759"/>
      <c r="E690" s="1759"/>
      <c r="F690" s="1759"/>
      <c r="G690" s="1759"/>
      <c r="H690" s="1759"/>
      <c r="I690" s="1759"/>
      <c r="J690" s="1759"/>
      <c r="K690" s="1759"/>
      <c r="L690" s="1759"/>
      <c r="M690" s="1759"/>
      <c r="N690" s="1759"/>
      <c r="O690" s="1759"/>
      <c r="P690" s="1759"/>
      <c r="Q690" s="1759"/>
      <c r="R690" s="1759"/>
      <c r="S690" s="1759"/>
      <c r="T690" s="1759"/>
      <c r="U690" s="1759"/>
      <c r="V690" s="1759"/>
      <c r="W690" s="1759"/>
      <c r="X690" s="1759"/>
      <c r="Y690" s="1759"/>
      <c r="Z690" s="1759"/>
      <c r="AA690" s="1759"/>
      <c r="AB690" s="1759"/>
      <c r="AC690" s="1759"/>
      <c r="AD690" s="1759"/>
      <c r="AE690" s="1759"/>
      <c r="AF690" s="1759"/>
      <c r="AG690" s="1759"/>
      <c r="AH690" s="1759"/>
      <c r="AI690" s="1759"/>
      <c r="AJ690" s="1759"/>
      <c r="AK690" s="1759"/>
      <c r="AL690" s="1759"/>
      <c r="AM690" s="1759"/>
      <c r="AN690" s="1759"/>
      <c r="AO690" s="1759"/>
      <c r="AP690" s="1759"/>
      <c r="AQ690" s="1759"/>
      <c r="AR690" s="1759"/>
      <c r="AS690" s="1759"/>
      <c r="AT690" s="1759"/>
      <c r="AU690" s="1759"/>
      <c r="AV690" s="1759"/>
      <c r="AW690" s="1759"/>
      <c r="AX690" s="1759"/>
      <c r="AY690" s="1759"/>
      <c r="AZ690" s="1759"/>
      <c r="BA690" s="1759"/>
      <c r="BB690" s="1759"/>
      <c r="BC690" s="1759"/>
      <c r="BD690" s="1759"/>
      <c r="BE690" s="1759"/>
      <c r="BF690" s="1759"/>
      <c r="BG690" s="1056"/>
    </row>
    <row r="691" spans="1:59" x14ac:dyDescent="0.15">
      <c r="A691" s="1050"/>
      <c r="B691" s="1064"/>
      <c r="C691" s="1759" t="str">
        <f>+Nyilatkozatok!CK168</f>
        <v xml:space="preserve">– halászhajók főhajtóműveinek vagy kiegészítő hajtóműveinek korszerűsítésére vagy cseréjére; </v>
      </c>
      <c r="D691" s="1759"/>
      <c r="E691" s="1759"/>
      <c r="F691" s="1759"/>
      <c r="G691" s="1759"/>
      <c r="H691" s="1759"/>
      <c r="I691" s="1759"/>
      <c r="J691" s="1759"/>
      <c r="K691" s="1759"/>
      <c r="L691" s="1759"/>
      <c r="M691" s="1759"/>
      <c r="N691" s="1759"/>
      <c r="O691" s="1759"/>
      <c r="P691" s="1759"/>
      <c r="Q691" s="1759"/>
      <c r="R691" s="1759"/>
      <c r="S691" s="1759"/>
      <c r="T691" s="1759"/>
      <c r="U691" s="1759"/>
      <c r="V691" s="1759"/>
      <c r="W691" s="1759"/>
      <c r="X691" s="1759"/>
      <c r="Y691" s="1759"/>
      <c r="Z691" s="1759"/>
      <c r="AA691" s="1759"/>
      <c r="AB691" s="1759"/>
      <c r="AC691" s="1759"/>
      <c r="AD691" s="1759"/>
      <c r="AE691" s="1759"/>
      <c r="AF691" s="1759"/>
      <c r="AG691" s="1759"/>
      <c r="AH691" s="1759"/>
      <c r="AI691" s="1759"/>
      <c r="AJ691" s="1759"/>
      <c r="AK691" s="1759"/>
      <c r="AL691" s="1759"/>
      <c r="AM691" s="1759"/>
      <c r="AN691" s="1759"/>
      <c r="AO691" s="1759"/>
      <c r="AP691" s="1759"/>
      <c r="AQ691" s="1759"/>
      <c r="AR691" s="1759"/>
      <c r="AS691" s="1759"/>
      <c r="AT691" s="1759"/>
      <c r="AU691" s="1759"/>
      <c r="AV691" s="1759"/>
      <c r="AW691" s="1759"/>
      <c r="AX691" s="1759"/>
      <c r="AY691" s="1759"/>
      <c r="AZ691" s="1759"/>
      <c r="BA691" s="1759"/>
      <c r="BB691" s="1759"/>
      <c r="BC691" s="1759"/>
      <c r="BD691" s="1759"/>
      <c r="BE691" s="1759"/>
      <c r="BF691" s="1759"/>
      <c r="BG691" s="1056"/>
    </row>
    <row r="692" spans="1:59" x14ac:dyDescent="0.15">
      <c r="A692" s="1050"/>
      <c r="B692" s="1064"/>
      <c r="C692" s="1759" t="str">
        <f>+Nyilatkozatok!CK169</f>
        <v>– a hajó halászati kapacitásának növelését célzó műveletekre vagy halfelderítési képességének növelését célzó berendezésekre</v>
      </c>
      <c r="D692" s="1759"/>
      <c r="E692" s="1759"/>
      <c r="F692" s="1759"/>
      <c r="G692" s="1759"/>
      <c r="H692" s="1759"/>
      <c r="I692" s="1759"/>
      <c r="J692" s="1759"/>
      <c r="K692" s="1759"/>
      <c r="L692" s="1759"/>
      <c r="M692" s="1759"/>
      <c r="N692" s="1759"/>
      <c r="O692" s="1759"/>
      <c r="P692" s="1759"/>
      <c r="Q692" s="1759"/>
      <c r="R692" s="1759"/>
      <c r="S692" s="1759"/>
      <c r="T692" s="1759"/>
      <c r="U692" s="1759"/>
      <c r="V692" s="1759"/>
      <c r="W692" s="1759"/>
      <c r="X692" s="1759"/>
      <c r="Y692" s="1759"/>
      <c r="Z692" s="1759"/>
      <c r="AA692" s="1759"/>
      <c r="AB692" s="1759"/>
      <c r="AC692" s="1759"/>
      <c r="AD692" s="1759"/>
      <c r="AE692" s="1759"/>
      <c r="AF692" s="1759"/>
      <c r="AG692" s="1759"/>
      <c r="AH692" s="1759"/>
      <c r="AI692" s="1759"/>
      <c r="AJ692" s="1759"/>
      <c r="AK692" s="1759"/>
      <c r="AL692" s="1759"/>
      <c r="AM692" s="1759"/>
      <c r="AN692" s="1759"/>
      <c r="AO692" s="1759"/>
      <c r="AP692" s="1759"/>
      <c r="AQ692" s="1759"/>
      <c r="AR692" s="1759"/>
      <c r="AS692" s="1759"/>
      <c r="AT692" s="1759"/>
      <c r="AU692" s="1759"/>
      <c r="AV692" s="1759"/>
      <c r="AW692" s="1759"/>
      <c r="AX692" s="1759"/>
      <c r="AY692" s="1759"/>
      <c r="AZ692" s="1759"/>
      <c r="BA692" s="1759"/>
      <c r="BB692" s="1759"/>
      <c r="BC692" s="1759"/>
      <c r="BD692" s="1759"/>
      <c r="BE692" s="1759"/>
      <c r="BF692" s="1759"/>
      <c r="BG692" s="1056"/>
    </row>
    <row r="693" spans="1:59" x14ac:dyDescent="0.15">
      <c r="A693" s="1050"/>
      <c r="B693" s="1064"/>
      <c r="C693" s="1759" t="str">
        <f>+Nyilatkozatok!CK170</f>
        <v xml:space="preserve">– új halászhajók építésére vagy halászhajók behozatalára; </v>
      </c>
      <c r="D693" s="1759"/>
      <c r="E693" s="1759"/>
      <c r="F693" s="1759"/>
      <c r="G693" s="1759"/>
      <c r="H693" s="1759"/>
      <c r="I693" s="1759"/>
      <c r="J693" s="1759"/>
      <c r="K693" s="1759"/>
      <c r="L693" s="1759"/>
      <c r="M693" s="1759"/>
      <c r="N693" s="1759"/>
      <c r="O693" s="1759"/>
      <c r="P693" s="1759"/>
      <c r="Q693" s="1759"/>
      <c r="R693" s="1759"/>
      <c r="S693" s="1759"/>
      <c r="T693" s="1759"/>
      <c r="U693" s="1759"/>
      <c r="V693" s="1759"/>
      <c r="W693" s="1759"/>
      <c r="X693" s="1759"/>
      <c r="Y693" s="1759"/>
      <c r="Z693" s="1759"/>
      <c r="AA693" s="1759"/>
      <c r="AB693" s="1759"/>
      <c r="AC693" s="1759"/>
      <c r="AD693" s="1759"/>
      <c r="AE693" s="1759"/>
      <c r="AF693" s="1759"/>
      <c r="AG693" s="1759"/>
      <c r="AH693" s="1759"/>
      <c r="AI693" s="1759"/>
      <c r="AJ693" s="1759"/>
      <c r="AK693" s="1759"/>
      <c r="AL693" s="1759"/>
      <c r="AM693" s="1759"/>
      <c r="AN693" s="1759"/>
      <c r="AO693" s="1759"/>
      <c r="AP693" s="1759"/>
      <c r="AQ693" s="1759"/>
      <c r="AR693" s="1759"/>
      <c r="AS693" s="1759"/>
      <c r="AT693" s="1759"/>
      <c r="AU693" s="1759"/>
      <c r="AV693" s="1759"/>
      <c r="AW693" s="1759"/>
      <c r="AX693" s="1759"/>
      <c r="AY693" s="1759"/>
      <c r="AZ693" s="1759"/>
      <c r="BA693" s="1759"/>
      <c r="BB693" s="1759"/>
      <c r="BC693" s="1759"/>
      <c r="BD693" s="1759"/>
      <c r="BE693" s="1759"/>
      <c r="BF693" s="1759"/>
      <c r="BG693" s="1056"/>
    </row>
    <row r="694" spans="1:59" x14ac:dyDescent="0.15">
      <c r="A694" s="1050"/>
      <c r="B694" s="1064"/>
      <c r="C694" s="1759" t="str">
        <f>+Nyilatkozatok!CK171</f>
        <v xml:space="preserve">– a felderítő halászatra; </v>
      </c>
      <c r="D694" s="1759"/>
      <c r="E694" s="1759"/>
      <c r="F694" s="1759"/>
      <c r="G694" s="1759"/>
      <c r="H694" s="1759"/>
      <c r="I694" s="1759"/>
      <c r="J694" s="1759"/>
      <c r="K694" s="1759"/>
      <c r="L694" s="1759"/>
      <c r="M694" s="1759"/>
      <c r="N694" s="1759"/>
      <c r="O694" s="1759"/>
      <c r="P694" s="1759"/>
      <c r="Q694" s="1759"/>
      <c r="R694" s="1759"/>
      <c r="S694" s="1759"/>
      <c r="T694" s="1759"/>
      <c r="U694" s="1759"/>
      <c r="V694" s="1759"/>
      <c r="W694" s="1759"/>
      <c r="X694" s="1759"/>
      <c r="Y694" s="1759"/>
      <c r="Z694" s="1759"/>
      <c r="AA694" s="1759"/>
      <c r="AB694" s="1759"/>
      <c r="AC694" s="1759"/>
      <c r="AD694" s="1759"/>
      <c r="AE694" s="1759"/>
      <c r="AF694" s="1759"/>
      <c r="AG694" s="1759"/>
      <c r="AH694" s="1759"/>
      <c r="AI694" s="1759"/>
      <c r="AJ694" s="1759"/>
      <c r="AK694" s="1759"/>
      <c r="AL694" s="1759"/>
      <c r="AM694" s="1759"/>
      <c r="AN694" s="1759"/>
      <c r="AO694" s="1759"/>
      <c r="AP694" s="1759"/>
      <c r="AQ694" s="1759"/>
      <c r="AR694" s="1759"/>
      <c r="AS694" s="1759"/>
      <c r="AT694" s="1759"/>
      <c r="AU694" s="1759"/>
      <c r="AV694" s="1759"/>
      <c r="AW694" s="1759"/>
      <c r="AX694" s="1759"/>
      <c r="AY694" s="1759"/>
      <c r="AZ694" s="1759"/>
      <c r="BA694" s="1759"/>
      <c r="BB694" s="1759"/>
      <c r="BC694" s="1759"/>
      <c r="BD694" s="1759"/>
      <c r="BE694" s="1759"/>
      <c r="BF694" s="1759"/>
      <c r="BG694" s="1056"/>
    </row>
    <row r="695" spans="1:59" x14ac:dyDescent="0.15">
      <c r="A695" s="1050"/>
      <c r="B695" s="1064"/>
      <c r="C695" s="1759" t="str">
        <f>+Nyilatkozatok!CK172</f>
        <v xml:space="preserve">– vállalkozás tulajdonjogának átadására; </v>
      </c>
      <c r="D695" s="1759"/>
      <c r="E695" s="1759"/>
      <c r="F695" s="1759"/>
      <c r="G695" s="1759"/>
      <c r="H695" s="1759"/>
      <c r="I695" s="1759"/>
      <c r="J695" s="1759"/>
      <c r="K695" s="1759"/>
      <c r="L695" s="1759"/>
      <c r="M695" s="1759"/>
      <c r="N695" s="1759"/>
      <c r="O695" s="1759"/>
      <c r="P695" s="1759"/>
      <c r="Q695" s="1759"/>
      <c r="R695" s="1759"/>
      <c r="S695" s="1759"/>
      <c r="T695" s="1759"/>
      <c r="U695" s="1759"/>
      <c r="V695" s="1759"/>
      <c r="W695" s="1759"/>
      <c r="X695" s="1759"/>
      <c r="Y695" s="1759"/>
      <c r="Z695" s="1759"/>
      <c r="AA695" s="1759"/>
      <c r="AB695" s="1759"/>
      <c r="AC695" s="1759"/>
      <c r="AD695" s="1759"/>
      <c r="AE695" s="1759"/>
      <c r="AF695" s="1759"/>
      <c r="AG695" s="1759"/>
      <c r="AH695" s="1759"/>
      <c r="AI695" s="1759"/>
      <c r="AJ695" s="1759"/>
      <c r="AK695" s="1759"/>
      <c r="AL695" s="1759"/>
      <c r="AM695" s="1759"/>
      <c r="AN695" s="1759"/>
      <c r="AO695" s="1759"/>
      <c r="AP695" s="1759"/>
      <c r="AQ695" s="1759"/>
      <c r="AR695" s="1759"/>
      <c r="AS695" s="1759"/>
      <c r="AT695" s="1759"/>
      <c r="AU695" s="1759"/>
      <c r="AV695" s="1759"/>
      <c r="AW695" s="1759"/>
      <c r="AX695" s="1759"/>
      <c r="AY695" s="1759"/>
      <c r="AZ695" s="1759"/>
      <c r="BA695" s="1759"/>
      <c r="BB695" s="1759"/>
      <c r="BC695" s="1759"/>
      <c r="BD695" s="1759"/>
      <c r="BE695" s="1759"/>
      <c r="BF695" s="1759"/>
      <c r="BG695" s="1056"/>
    </row>
    <row r="696" spans="1:59" x14ac:dyDescent="0.15">
      <c r="A696" s="1050"/>
      <c r="B696" s="1064"/>
      <c r="C696" s="1759" t="str">
        <f>+Nyilatkozatok!CK173</f>
        <v>– közvetlen újratelepítésre, kivéve abban az esetben, ha azt valamely uniós jogi aktus állományvédelmi intézkedésként kifejezetten előírja, illetve kísérleti újratelepítés esetén</v>
      </c>
      <c r="D696" s="1759"/>
      <c r="E696" s="1759"/>
      <c r="F696" s="1759"/>
      <c r="G696" s="1759"/>
      <c r="H696" s="1759"/>
      <c r="I696" s="1759"/>
      <c r="J696" s="1759"/>
      <c r="K696" s="1759"/>
      <c r="L696" s="1759"/>
      <c r="M696" s="1759"/>
      <c r="N696" s="1759"/>
      <c r="O696" s="1759"/>
      <c r="P696" s="1759"/>
      <c r="Q696" s="1759"/>
      <c r="R696" s="1759"/>
      <c r="S696" s="1759"/>
      <c r="T696" s="1759"/>
      <c r="U696" s="1759"/>
      <c r="V696" s="1759"/>
      <c r="W696" s="1759"/>
      <c r="X696" s="1759"/>
      <c r="Y696" s="1759"/>
      <c r="Z696" s="1759"/>
      <c r="AA696" s="1759"/>
      <c r="AB696" s="1759"/>
      <c r="AC696" s="1759"/>
      <c r="AD696" s="1759"/>
      <c r="AE696" s="1759"/>
      <c r="AF696" s="1759"/>
      <c r="AG696" s="1759"/>
      <c r="AH696" s="1759"/>
      <c r="AI696" s="1759"/>
      <c r="AJ696" s="1759"/>
      <c r="AK696" s="1759"/>
      <c r="AL696" s="1759"/>
      <c r="AM696" s="1759"/>
      <c r="AN696" s="1759"/>
      <c r="AO696" s="1759"/>
      <c r="AP696" s="1759"/>
      <c r="AQ696" s="1759"/>
      <c r="AR696" s="1759"/>
      <c r="AS696" s="1759"/>
      <c r="AT696" s="1759"/>
      <c r="AU696" s="1759"/>
      <c r="AV696" s="1759"/>
      <c r="AW696" s="1759"/>
      <c r="AX696" s="1759"/>
      <c r="AY696" s="1759"/>
      <c r="AZ696" s="1759"/>
      <c r="BA696" s="1759"/>
      <c r="BB696" s="1759"/>
      <c r="BC696" s="1759"/>
      <c r="BD696" s="1759"/>
      <c r="BE696" s="1759"/>
      <c r="BF696" s="1759"/>
      <c r="BG696" s="1056"/>
    </row>
    <row r="697" spans="1:59" x14ac:dyDescent="0.15">
      <c r="A697" s="1050"/>
      <c r="B697" s="1064"/>
      <c r="C697" s="1759" t="str">
        <f>+Nyilatkozatok!CK174</f>
        <v>– olyan feltétellel, amely az európai uniós jog megsértését eredményezi,</v>
      </c>
      <c r="D697" s="1759"/>
      <c r="E697" s="1759"/>
      <c r="F697" s="1759"/>
      <c r="G697" s="1759"/>
      <c r="H697" s="1759"/>
      <c r="I697" s="1759"/>
      <c r="J697" s="1759"/>
      <c r="K697" s="1759"/>
      <c r="L697" s="1759"/>
      <c r="M697" s="1759"/>
      <c r="N697" s="1759"/>
      <c r="O697" s="1759"/>
      <c r="P697" s="1759"/>
      <c r="Q697" s="1759"/>
      <c r="R697" s="1759"/>
      <c r="S697" s="1759"/>
      <c r="T697" s="1759"/>
      <c r="U697" s="1759"/>
      <c r="V697" s="1759"/>
      <c r="W697" s="1759"/>
      <c r="X697" s="1759"/>
      <c r="Y697" s="1759"/>
      <c r="Z697" s="1759"/>
      <c r="AA697" s="1759"/>
      <c r="AB697" s="1759"/>
      <c r="AC697" s="1759"/>
      <c r="AD697" s="1759"/>
      <c r="AE697" s="1759"/>
      <c r="AF697" s="1759"/>
      <c r="AG697" s="1759"/>
      <c r="AH697" s="1759"/>
      <c r="AI697" s="1759"/>
      <c r="AJ697" s="1759"/>
      <c r="AK697" s="1759"/>
      <c r="AL697" s="1759"/>
      <c r="AM697" s="1759"/>
      <c r="AN697" s="1759"/>
      <c r="AO697" s="1759"/>
      <c r="AP697" s="1759"/>
      <c r="AQ697" s="1759"/>
      <c r="AR697" s="1759"/>
      <c r="AS697" s="1759"/>
      <c r="AT697" s="1759"/>
      <c r="AU697" s="1759"/>
      <c r="AV697" s="1759"/>
      <c r="AW697" s="1759"/>
      <c r="AX697" s="1759"/>
      <c r="AY697" s="1759"/>
      <c r="AZ697" s="1759"/>
      <c r="BA697" s="1759"/>
      <c r="BB697" s="1759"/>
      <c r="BC697" s="1759"/>
      <c r="BD697" s="1759"/>
      <c r="BE697" s="1759"/>
      <c r="BF697" s="1759"/>
      <c r="BG697" s="1056"/>
    </row>
    <row r="698" spans="1:59" x14ac:dyDescent="0.15">
      <c r="A698" s="1050"/>
      <c r="B698" s="1074"/>
      <c r="C698" s="1759" t="str">
        <f>+Nyilatkozatok!CK175</f>
        <v/>
      </c>
      <c r="D698" s="1759"/>
      <c r="E698" s="1759"/>
      <c r="F698" s="1759"/>
      <c r="G698" s="1759"/>
      <c r="H698" s="1759"/>
      <c r="I698" s="1759"/>
      <c r="J698" s="1759"/>
      <c r="K698" s="1759"/>
      <c r="L698" s="1759"/>
      <c r="M698" s="1759"/>
      <c r="N698" s="1759"/>
      <c r="O698" s="1759"/>
      <c r="P698" s="1759"/>
      <c r="Q698" s="1759"/>
      <c r="R698" s="1759"/>
      <c r="S698" s="1759"/>
      <c r="T698" s="1759"/>
      <c r="U698" s="1759"/>
      <c r="V698" s="1759"/>
      <c r="W698" s="1759"/>
      <c r="X698" s="1759"/>
      <c r="Y698" s="1759"/>
      <c r="Z698" s="1759"/>
      <c r="AA698" s="1759"/>
      <c r="AB698" s="1759"/>
      <c r="AC698" s="1759"/>
      <c r="AD698" s="1759"/>
      <c r="AE698" s="1759"/>
      <c r="AF698" s="1759"/>
      <c r="AG698" s="1759"/>
      <c r="AH698" s="1759"/>
      <c r="AI698" s="1759"/>
      <c r="AJ698" s="1759"/>
      <c r="AK698" s="1759"/>
      <c r="AL698" s="1759"/>
      <c r="AM698" s="1759"/>
      <c r="AN698" s="1759"/>
      <c r="AO698" s="1759"/>
      <c r="AP698" s="1759"/>
      <c r="AQ698" s="1759"/>
      <c r="AR698" s="1759"/>
      <c r="AS698" s="1759"/>
      <c r="AT698" s="1759"/>
      <c r="AU698" s="1759"/>
      <c r="AV698" s="1759"/>
      <c r="AW698" s="1759"/>
      <c r="AX698" s="1759"/>
      <c r="AY698" s="1759"/>
      <c r="AZ698" s="1759"/>
      <c r="BA698" s="1759"/>
      <c r="BB698" s="1759"/>
      <c r="BC698" s="1759"/>
      <c r="BD698" s="1759"/>
      <c r="BE698" s="1759"/>
      <c r="BF698" s="1759"/>
      <c r="BG698" s="1056"/>
    </row>
    <row r="699" spans="1:59" x14ac:dyDescent="0.15">
      <c r="A699" s="1050"/>
      <c r="B699" s="1074"/>
      <c r="C699" s="1759" t="str">
        <f>+Nyilatkozatok!CK176</f>
        <v/>
      </c>
      <c r="D699" s="1759"/>
      <c r="E699" s="1759"/>
      <c r="F699" s="1759"/>
      <c r="G699" s="1759"/>
      <c r="H699" s="1759"/>
      <c r="I699" s="1759"/>
      <c r="J699" s="1759"/>
      <c r="K699" s="1759"/>
      <c r="L699" s="1759"/>
      <c r="M699" s="1759"/>
      <c r="N699" s="1759"/>
      <c r="O699" s="1759"/>
      <c r="P699" s="1759"/>
      <c r="Q699" s="1759"/>
      <c r="R699" s="1759"/>
      <c r="S699" s="1759"/>
      <c r="T699" s="1759"/>
      <c r="U699" s="1759"/>
      <c r="V699" s="1759"/>
      <c r="W699" s="1759"/>
      <c r="X699" s="1759"/>
      <c r="Y699" s="1759"/>
      <c r="Z699" s="1759"/>
      <c r="AA699" s="1759"/>
      <c r="AB699" s="1759"/>
      <c r="AC699" s="1759"/>
      <c r="AD699" s="1759"/>
      <c r="AE699" s="1759"/>
      <c r="AF699" s="1759"/>
      <c r="AG699" s="1759"/>
      <c r="AH699" s="1759"/>
      <c r="AI699" s="1759"/>
      <c r="AJ699" s="1759"/>
      <c r="AK699" s="1759"/>
      <c r="AL699" s="1759"/>
      <c r="AM699" s="1759"/>
      <c r="AN699" s="1759"/>
      <c r="AO699" s="1759"/>
      <c r="AP699" s="1759"/>
      <c r="AQ699" s="1759"/>
      <c r="AR699" s="1759"/>
      <c r="AS699" s="1759"/>
      <c r="AT699" s="1759"/>
      <c r="AU699" s="1759"/>
      <c r="AV699" s="1759"/>
      <c r="AW699" s="1759"/>
      <c r="AX699" s="1759"/>
      <c r="AY699" s="1759"/>
      <c r="AZ699" s="1759"/>
      <c r="BA699" s="1759"/>
      <c r="BB699" s="1759"/>
      <c r="BC699" s="1759"/>
      <c r="BD699" s="1759"/>
      <c r="BE699" s="1759"/>
      <c r="BF699" s="1759"/>
      <c r="BG699" s="1056"/>
    </row>
    <row r="700" spans="1:59" x14ac:dyDescent="0.15">
      <c r="A700" s="1050"/>
      <c r="B700" s="1074"/>
      <c r="C700" s="1759" t="str">
        <f>+Nyilatkozatok!CK177</f>
        <v/>
      </c>
      <c r="D700" s="1759"/>
      <c r="E700" s="1759"/>
      <c r="F700" s="1759"/>
      <c r="G700" s="1759"/>
      <c r="H700" s="1759"/>
      <c r="I700" s="1759"/>
      <c r="J700" s="1759"/>
      <c r="K700" s="1759"/>
      <c r="L700" s="1759"/>
      <c r="M700" s="1759"/>
      <c r="N700" s="1759"/>
      <c r="O700" s="1759"/>
      <c r="P700" s="1759"/>
      <c r="Q700" s="1759"/>
      <c r="R700" s="1759"/>
      <c r="S700" s="1759"/>
      <c r="T700" s="1759"/>
      <c r="U700" s="1759"/>
      <c r="V700" s="1759"/>
      <c r="W700" s="1759"/>
      <c r="X700" s="1759"/>
      <c r="Y700" s="1759"/>
      <c r="Z700" s="1759"/>
      <c r="AA700" s="1759"/>
      <c r="AB700" s="1759"/>
      <c r="AC700" s="1759"/>
      <c r="AD700" s="1759"/>
      <c r="AE700" s="1759"/>
      <c r="AF700" s="1759"/>
      <c r="AG700" s="1759"/>
      <c r="AH700" s="1759"/>
      <c r="AI700" s="1759"/>
      <c r="AJ700" s="1759"/>
      <c r="AK700" s="1759"/>
      <c r="AL700" s="1759"/>
      <c r="AM700" s="1759"/>
      <c r="AN700" s="1759"/>
      <c r="AO700" s="1759"/>
      <c r="AP700" s="1759"/>
      <c r="AQ700" s="1759"/>
      <c r="AR700" s="1759"/>
      <c r="AS700" s="1759"/>
      <c r="AT700" s="1759"/>
      <c r="AU700" s="1759"/>
      <c r="AV700" s="1759"/>
      <c r="AW700" s="1759"/>
      <c r="AX700" s="1759"/>
      <c r="AY700" s="1759"/>
      <c r="AZ700" s="1759"/>
      <c r="BA700" s="1759"/>
      <c r="BB700" s="1759"/>
      <c r="BC700" s="1759"/>
      <c r="BD700" s="1759"/>
      <c r="BE700" s="1759"/>
      <c r="BF700" s="1759"/>
      <c r="BG700" s="1056"/>
    </row>
    <row r="701" spans="1:59" x14ac:dyDescent="0.15">
      <c r="A701" s="1050"/>
      <c r="B701" s="1074"/>
      <c r="C701" s="1759" t="str">
        <f>+Nyilatkozatok!CK178</f>
        <v/>
      </c>
      <c r="D701" s="1759"/>
      <c r="E701" s="1759"/>
      <c r="F701" s="1759"/>
      <c r="G701" s="1759"/>
      <c r="H701" s="1759"/>
      <c r="I701" s="1759"/>
      <c r="J701" s="1759"/>
      <c r="K701" s="1759"/>
      <c r="L701" s="1759"/>
      <c r="M701" s="1759"/>
      <c r="N701" s="1759"/>
      <c r="O701" s="1759"/>
      <c r="P701" s="1759"/>
      <c r="Q701" s="1759"/>
      <c r="R701" s="1759"/>
      <c r="S701" s="1759"/>
      <c r="T701" s="1759"/>
      <c r="U701" s="1759"/>
      <c r="V701" s="1759"/>
      <c r="W701" s="1759"/>
      <c r="X701" s="1759"/>
      <c r="Y701" s="1759"/>
      <c r="Z701" s="1759"/>
      <c r="AA701" s="1759"/>
      <c r="AB701" s="1759"/>
      <c r="AC701" s="1759"/>
      <c r="AD701" s="1759"/>
      <c r="AE701" s="1759"/>
      <c r="AF701" s="1759"/>
      <c r="AG701" s="1759"/>
      <c r="AH701" s="1759"/>
      <c r="AI701" s="1759"/>
      <c r="AJ701" s="1759"/>
      <c r="AK701" s="1759"/>
      <c r="AL701" s="1759"/>
      <c r="AM701" s="1759"/>
      <c r="AN701" s="1759"/>
      <c r="AO701" s="1759"/>
      <c r="AP701" s="1759"/>
      <c r="AQ701" s="1759"/>
      <c r="AR701" s="1759"/>
      <c r="AS701" s="1759"/>
      <c r="AT701" s="1759"/>
      <c r="AU701" s="1759"/>
      <c r="AV701" s="1759"/>
      <c r="AW701" s="1759"/>
      <c r="AX701" s="1759"/>
      <c r="AY701" s="1759"/>
      <c r="AZ701" s="1759"/>
      <c r="BA701" s="1759"/>
      <c r="BB701" s="1759"/>
      <c r="BC701" s="1759"/>
      <c r="BD701" s="1759"/>
      <c r="BE701" s="1759"/>
      <c r="BF701" s="1759"/>
      <c r="BG701" s="1056"/>
    </row>
    <row r="702" spans="1:59" x14ac:dyDescent="0.15">
      <c r="A702" s="1050"/>
      <c r="B702" s="1074"/>
      <c r="C702" s="1759" t="str">
        <f>+Nyilatkozatok!CK179</f>
        <v/>
      </c>
      <c r="D702" s="1759"/>
      <c r="E702" s="1759"/>
      <c r="F702" s="1759"/>
      <c r="G702" s="1759"/>
      <c r="H702" s="1759"/>
      <c r="I702" s="1759"/>
      <c r="J702" s="1759"/>
      <c r="K702" s="1759"/>
      <c r="L702" s="1759"/>
      <c r="M702" s="1759"/>
      <c r="N702" s="1759"/>
      <c r="O702" s="1759"/>
      <c r="P702" s="1759"/>
      <c r="Q702" s="1759"/>
      <c r="R702" s="1759"/>
      <c r="S702" s="1759"/>
      <c r="T702" s="1759"/>
      <c r="U702" s="1759"/>
      <c r="V702" s="1759"/>
      <c r="W702" s="1759"/>
      <c r="X702" s="1759"/>
      <c r="Y702" s="1759"/>
      <c r="Z702" s="1759"/>
      <c r="AA702" s="1759"/>
      <c r="AB702" s="1759"/>
      <c r="AC702" s="1759"/>
      <c r="AD702" s="1759"/>
      <c r="AE702" s="1759"/>
      <c r="AF702" s="1759"/>
      <c r="AG702" s="1759"/>
      <c r="AH702" s="1759"/>
      <c r="AI702" s="1759"/>
      <c r="AJ702" s="1759"/>
      <c r="AK702" s="1759"/>
      <c r="AL702" s="1759"/>
      <c r="AM702" s="1759"/>
      <c r="AN702" s="1759"/>
      <c r="AO702" s="1759"/>
      <c r="AP702" s="1759"/>
      <c r="AQ702" s="1759"/>
      <c r="AR702" s="1759"/>
      <c r="AS702" s="1759"/>
      <c r="AT702" s="1759"/>
      <c r="AU702" s="1759"/>
      <c r="AV702" s="1759"/>
      <c r="AW702" s="1759"/>
      <c r="AX702" s="1759"/>
      <c r="AY702" s="1759"/>
      <c r="AZ702" s="1759"/>
      <c r="BA702" s="1759"/>
      <c r="BB702" s="1759"/>
      <c r="BC702" s="1759"/>
      <c r="BD702" s="1759"/>
      <c r="BE702" s="1759"/>
      <c r="BF702" s="1759"/>
      <c r="BG702" s="1056"/>
    </row>
    <row r="703" spans="1:59" x14ac:dyDescent="0.15">
      <c r="A703" s="1050"/>
      <c r="B703" s="1064"/>
      <c r="C703" s="1759" t="str">
        <f>+Nyilatkozatok!CK180</f>
        <v/>
      </c>
      <c r="D703" s="1759"/>
      <c r="E703" s="1759"/>
      <c r="F703" s="1759"/>
      <c r="G703" s="1759"/>
      <c r="H703" s="1759"/>
      <c r="I703" s="1759"/>
      <c r="J703" s="1759"/>
      <c r="K703" s="1759"/>
      <c r="L703" s="1759"/>
      <c r="M703" s="1759"/>
      <c r="N703" s="1759"/>
      <c r="O703" s="1759"/>
      <c r="P703" s="1759"/>
      <c r="Q703" s="1759"/>
      <c r="R703" s="1759"/>
      <c r="S703" s="1759"/>
      <c r="T703" s="1759"/>
      <c r="U703" s="1759"/>
      <c r="V703" s="1759"/>
      <c r="W703" s="1759"/>
      <c r="X703" s="1759"/>
      <c r="Y703" s="1759"/>
      <c r="Z703" s="1759"/>
      <c r="AA703" s="1759"/>
      <c r="AB703" s="1759"/>
      <c r="AC703" s="1759"/>
      <c r="AD703" s="1759"/>
      <c r="AE703" s="1759"/>
      <c r="AF703" s="1759"/>
      <c r="AG703" s="1759"/>
      <c r="AH703" s="1759"/>
      <c r="AI703" s="1759"/>
      <c r="AJ703" s="1759"/>
      <c r="AK703" s="1759"/>
      <c r="AL703" s="1759"/>
      <c r="AM703" s="1759"/>
      <c r="AN703" s="1759"/>
      <c r="AO703" s="1759"/>
      <c r="AP703" s="1759"/>
      <c r="AQ703" s="1759"/>
      <c r="AR703" s="1759"/>
      <c r="AS703" s="1759"/>
      <c r="AT703" s="1759"/>
      <c r="AU703" s="1759"/>
      <c r="AV703" s="1759"/>
      <c r="AW703" s="1759"/>
      <c r="AX703" s="1759"/>
      <c r="AY703" s="1759"/>
      <c r="AZ703" s="1759"/>
      <c r="BA703" s="1759"/>
      <c r="BB703" s="1759"/>
      <c r="BC703" s="1759"/>
      <c r="BD703" s="1759"/>
      <c r="BE703" s="1759"/>
      <c r="BF703" s="1759"/>
      <c r="BG703" s="1056"/>
    </row>
    <row r="704" spans="1:59" x14ac:dyDescent="0.15">
      <c r="A704" s="1050"/>
      <c r="B704" s="1074"/>
      <c r="C704" s="1759" t="str">
        <f>+Nyilatkozatok!CK181</f>
        <v/>
      </c>
      <c r="D704" s="1759"/>
      <c r="E704" s="1759"/>
      <c r="F704" s="1759"/>
      <c r="G704" s="1759"/>
      <c r="H704" s="1759"/>
      <c r="I704" s="1759"/>
      <c r="J704" s="1759"/>
      <c r="K704" s="1759"/>
      <c r="L704" s="1759"/>
      <c r="M704" s="1759"/>
      <c r="N704" s="1759"/>
      <c r="O704" s="1759"/>
      <c r="P704" s="1759"/>
      <c r="Q704" s="1759"/>
      <c r="R704" s="1759"/>
      <c r="S704" s="1759"/>
      <c r="T704" s="1759"/>
      <c r="U704" s="1759"/>
      <c r="V704" s="1759"/>
      <c r="W704" s="1759"/>
      <c r="X704" s="1759"/>
      <c r="Y704" s="1759"/>
      <c r="Z704" s="1759"/>
      <c r="AA704" s="1759"/>
      <c r="AB704" s="1759"/>
      <c r="AC704" s="1759"/>
      <c r="AD704" s="1759"/>
      <c r="AE704" s="1759"/>
      <c r="AF704" s="1759"/>
      <c r="AG704" s="1759"/>
      <c r="AH704" s="1759"/>
      <c r="AI704" s="1759"/>
      <c r="AJ704" s="1759"/>
      <c r="AK704" s="1759"/>
      <c r="AL704" s="1759"/>
      <c r="AM704" s="1759"/>
      <c r="AN704" s="1759"/>
      <c r="AO704" s="1759"/>
      <c r="AP704" s="1759"/>
      <c r="AQ704" s="1759"/>
      <c r="AR704" s="1759"/>
      <c r="AS704" s="1759"/>
      <c r="AT704" s="1759"/>
      <c r="AU704" s="1759"/>
      <c r="AV704" s="1759"/>
      <c r="AW704" s="1759"/>
      <c r="AX704" s="1759"/>
      <c r="AY704" s="1759"/>
      <c r="AZ704" s="1759"/>
      <c r="BA704" s="1759"/>
      <c r="BB704" s="1759"/>
      <c r="BC704" s="1759"/>
      <c r="BD704" s="1759"/>
      <c r="BE704" s="1759"/>
      <c r="BF704" s="1759"/>
      <c r="BG704" s="1056"/>
    </row>
    <row r="705" spans="1:59" x14ac:dyDescent="0.15">
      <c r="A705" s="1050"/>
      <c r="B705" s="1074"/>
      <c r="C705" s="1759" t="str">
        <f>+Nyilatkozatok!CK182</f>
        <v/>
      </c>
      <c r="D705" s="1759"/>
      <c r="E705" s="1759"/>
      <c r="F705" s="1759"/>
      <c r="G705" s="1759"/>
      <c r="H705" s="1759"/>
      <c r="I705" s="1759"/>
      <c r="J705" s="1759"/>
      <c r="K705" s="1759"/>
      <c r="L705" s="1759"/>
      <c r="M705" s="1759"/>
      <c r="N705" s="1759"/>
      <c r="O705" s="1759"/>
      <c r="P705" s="1759"/>
      <c r="Q705" s="1759"/>
      <c r="R705" s="1759"/>
      <c r="S705" s="1759"/>
      <c r="T705" s="1759"/>
      <c r="U705" s="1759"/>
      <c r="V705" s="1759"/>
      <c r="W705" s="1759"/>
      <c r="X705" s="1759"/>
      <c r="Y705" s="1759"/>
      <c r="Z705" s="1759"/>
      <c r="AA705" s="1759"/>
      <c r="AB705" s="1759"/>
      <c r="AC705" s="1759"/>
      <c r="AD705" s="1759"/>
      <c r="AE705" s="1759"/>
      <c r="AF705" s="1759"/>
      <c r="AG705" s="1759"/>
      <c r="AH705" s="1759"/>
      <c r="AI705" s="1759"/>
      <c r="AJ705" s="1759"/>
      <c r="AK705" s="1759"/>
      <c r="AL705" s="1759"/>
      <c r="AM705" s="1759"/>
      <c r="AN705" s="1759"/>
      <c r="AO705" s="1759"/>
      <c r="AP705" s="1759"/>
      <c r="AQ705" s="1759"/>
      <c r="AR705" s="1759"/>
      <c r="AS705" s="1759"/>
      <c r="AT705" s="1759"/>
      <c r="AU705" s="1759"/>
      <c r="AV705" s="1759"/>
      <c r="AW705" s="1759"/>
      <c r="AX705" s="1759"/>
      <c r="AY705" s="1759"/>
      <c r="AZ705" s="1759"/>
      <c r="BA705" s="1759"/>
      <c r="BB705" s="1759"/>
      <c r="BC705" s="1759"/>
      <c r="BD705" s="1759"/>
      <c r="BE705" s="1759"/>
      <c r="BF705" s="1759"/>
      <c r="BG705" s="1056"/>
    </row>
    <row r="706" spans="1:59" x14ac:dyDescent="0.15">
      <c r="A706" s="1050"/>
      <c r="B706" s="1064"/>
      <c r="C706" s="1759" t="str">
        <f>+Nyilatkozatok!CK183</f>
        <v/>
      </c>
      <c r="D706" s="1759"/>
      <c r="E706" s="1759"/>
      <c r="F706" s="1759"/>
      <c r="G706" s="1759"/>
      <c r="H706" s="1759"/>
      <c r="I706" s="1759"/>
      <c r="J706" s="1759"/>
      <c r="K706" s="1759"/>
      <c r="L706" s="1759"/>
      <c r="M706" s="1759"/>
      <c r="N706" s="1759"/>
      <c r="O706" s="1759"/>
      <c r="P706" s="1759"/>
      <c r="Q706" s="1759"/>
      <c r="R706" s="1759"/>
      <c r="S706" s="1759"/>
      <c r="T706" s="1759"/>
      <c r="U706" s="1759"/>
      <c r="V706" s="1759"/>
      <c r="W706" s="1759"/>
      <c r="X706" s="1759"/>
      <c r="Y706" s="1759"/>
      <c r="Z706" s="1759"/>
      <c r="AA706" s="1759"/>
      <c r="AB706" s="1759"/>
      <c r="AC706" s="1759"/>
      <c r="AD706" s="1759"/>
      <c r="AE706" s="1759"/>
      <c r="AF706" s="1759"/>
      <c r="AG706" s="1759"/>
      <c r="AH706" s="1759"/>
      <c r="AI706" s="1759"/>
      <c r="AJ706" s="1759"/>
      <c r="AK706" s="1759"/>
      <c r="AL706" s="1759"/>
      <c r="AM706" s="1759"/>
      <c r="AN706" s="1759"/>
      <c r="AO706" s="1759"/>
      <c r="AP706" s="1759"/>
      <c r="AQ706" s="1759"/>
      <c r="AR706" s="1759"/>
      <c r="AS706" s="1759"/>
      <c r="AT706" s="1759"/>
      <c r="AU706" s="1759"/>
      <c r="AV706" s="1759"/>
      <c r="AW706" s="1759"/>
      <c r="AX706" s="1759"/>
      <c r="AY706" s="1759"/>
      <c r="AZ706" s="1759"/>
      <c r="BA706" s="1759"/>
      <c r="BB706" s="1759"/>
      <c r="BC706" s="1759"/>
      <c r="BD706" s="1759"/>
      <c r="BE706" s="1759"/>
      <c r="BF706" s="1759"/>
      <c r="BG706" s="1056"/>
    </row>
    <row r="707" spans="1:59" x14ac:dyDescent="0.15">
      <c r="A707" s="1050"/>
      <c r="B707" s="1064"/>
      <c r="C707" s="1759" t="str">
        <f>+Nyilatkozatok!CK184</f>
        <v/>
      </c>
      <c r="D707" s="1759"/>
      <c r="E707" s="1759"/>
      <c r="F707" s="1759"/>
      <c r="G707" s="1759"/>
      <c r="H707" s="1759"/>
      <c r="I707" s="1759"/>
      <c r="J707" s="1759"/>
      <c r="K707" s="1759"/>
      <c r="L707" s="1759"/>
      <c r="M707" s="1759"/>
      <c r="N707" s="1759"/>
      <c r="O707" s="1759"/>
      <c r="P707" s="1759"/>
      <c r="Q707" s="1759"/>
      <c r="R707" s="1759"/>
      <c r="S707" s="1759"/>
      <c r="T707" s="1759"/>
      <c r="U707" s="1759"/>
      <c r="V707" s="1759"/>
      <c r="W707" s="1759"/>
      <c r="X707" s="1759"/>
      <c r="Y707" s="1759"/>
      <c r="Z707" s="1759"/>
      <c r="AA707" s="1759"/>
      <c r="AB707" s="1759"/>
      <c r="AC707" s="1759"/>
      <c r="AD707" s="1759"/>
      <c r="AE707" s="1759"/>
      <c r="AF707" s="1759"/>
      <c r="AG707" s="1759"/>
      <c r="AH707" s="1759"/>
      <c r="AI707" s="1759"/>
      <c r="AJ707" s="1759"/>
      <c r="AK707" s="1759"/>
      <c r="AL707" s="1759"/>
      <c r="AM707" s="1759"/>
      <c r="AN707" s="1759"/>
      <c r="AO707" s="1759"/>
      <c r="AP707" s="1759"/>
      <c r="AQ707" s="1759"/>
      <c r="AR707" s="1759"/>
      <c r="AS707" s="1759"/>
      <c r="AT707" s="1759"/>
      <c r="AU707" s="1759"/>
      <c r="AV707" s="1759"/>
      <c r="AW707" s="1759"/>
      <c r="AX707" s="1759"/>
      <c r="AY707" s="1759"/>
      <c r="AZ707" s="1759"/>
      <c r="BA707" s="1759"/>
      <c r="BB707" s="1759"/>
      <c r="BC707" s="1759"/>
      <c r="BD707" s="1759"/>
      <c r="BE707" s="1759"/>
      <c r="BF707" s="1759"/>
      <c r="BG707" s="1056"/>
    </row>
    <row r="708" spans="1:59" x14ac:dyDescent="0.15">
      <c r="A708" s="1050"/>
      <c r="B708" s="1064"/>
      <c r="C708" s="1759" t="str">
        <f>+Nyilatkozatok!CK185</f>
        <v/>
      </c>
      <c r="D708" s="1759"/>
      <c r="E708" s="1759"/>
      <c r="F708" s="1759"/>
      <c r="G708" s="1759"/>
      <c r="H708" s="1759"/>
      <c r="I708" s="1759"/>
      <c r="J708" s="1759"/>
      <c r="K708" s="1759"/>
      <c r="L708" s="1759"/>
      <c r="M708" s="1759"/>
      <c r="N708" s="1759"/>
      <c r="O708" s="1759"/>
      <c r="P708" s="1759"/>
      <c r="Q708" s="1759"/>
      <c r="R708" s="1759"/>
      <c r="S708" s="1759"/>
      <c r="T708" s="1759"/>
      <c r="U708" s="1759"/>
      <c r="V708" s="1759"/>
      <c r="W708" s="1759"/>
      <c r="X708" s="1759"/>
      <c r="Y708" s="1759"/>
      <c r="Z708" s="1759"/>
      <c r="AA708" s="1759"/>
      <c r="AB708" s="1759"/>
      <c r="AC708" s="1759"/>
      <c r="AD708" s="1759"/>
      <c r="AE708" s="1759"/>
      <c r="AF708" s="1759"/>
      <c r="AG708" s="1759"/>
      <c r="AH708" s="1759"/>
      <c r="AI708" s="1759"/>
      <c r="AJ708" s="1759"/>
      <c r="AK708" s="1759"/>
      <c r="AL708" s="1759"/>
      <c r="AM708" s="1759"/>
      <c r="AN708" s="1759"/>
      <c r="AO708" s="1759"/>
      <c r="AP708" s="1759"/>
      <c r="AQ708" s="1759"/>
      <c r="AR708" s="1759"/>
      <c r="AS708" s="1759"/>
      <c r="AT708" s="1759"/>
      <c r="AU708" s="1759"/>
      <c r="AV708" s="1759"/>
      <c r="AW708" s="1759"/>
      <c r="AX708" s="1759"/>
      <c r="AY708" s="1759"/>
      <c r="AZ708" s="1759"/>
      <c r="BA708" s="1759"/>
      <c r="BB708" s="1759"/>
      <c r="BC708" s="1759"/>
      <c r="BD708" s="1759"/>
      <c r="BE708" s="1759"/>
      <c r="BF708" s="1759"/>
      <c r="BG708" s="1056"/>
    </row>
    <row r="709" spans="1:59" x14ac:dyDescent="0.15">
      <c r="A709" s="1050"/>
      <c r="B709" s="1064"/>
      <c r="C709" s="1759" t="str">
        <f>+Nyilatkozatok!CK186</f>
        <v/>
      </c>
      <c r="D709" s="1759"/>
      <c r="E709" s="1759"/>
      <c r="F709" s="1759"/>
      <c r="G709" s="1759"/>
      <c r="H709" s="1759"/>
      <c r="I709" s="1759"/>
      <c r="J709" s="1759"/>
      <c r="K709" s="1759"/>
      <c r="L709" s="1759"/>
      <c r="M709" s="1759"/>
      <c r="N709" s="1759"/>
      <c r="O709" s="1759"/>
      <c r="P709" s="1759"/>
      <c r="Q709" s="1759"/>
      <c r="R709" s="1759"/>
      <c r="S709" s="1759"/>
      <c r="T709" s="1759"/>
      <c r="U709" s="1759"/>
      <c r="V709" s="1759"/>
      <c r="W709" s="1759"/>
      <c r="X709" s="1759"/>
      <c r="Y709" s="1759"/>
      <c r="Z709" s="1759"/>
      <c r="AA709" s="1759"/>
      <c r="AB709" s="1759"/>
      <c r="AC709" s="1759"/>
      <c r="AD709" s="1759"/>
      <c r="AE709" s="1759"/>
      <c r="AF709" s="1759"/>
      <c r="AG709" s="1759"/>
      <c r="AH709" s="1759"/>
      <c r="AI709" s="1759"/>
      <c r="AJ709" s="1759"/>
      <c r="AK709" s="1759"/>
      <c r="AL709" s="1759"/>
      <c r="AM709" s="1759"/>
      <c r="AN709" s="1759"/>
      <c r="AO709" s="1759"/>
      <c r="AP709" s="1759"/>
      <c r="AQ709" s="1759"/>
      <c r="AR709" s="1759"/>
      <c r="AS709" s="1759"/>
      <c r="AT709" s="1759"/>
      <c r="AU709" s="1759"/>
      <c r="AV709" s="1759"/>
      <c r="AW709" s="1759"/>
      <c r="AX709" s="1759"/>
      <c r="AY709" s="1759"/>
      <c r="AZ709" s="1759"/>
      <c r="BA709" s="1759"/>
      <c r="BB709" s="1759"/>
      <c r="BC709" s="1759"/>
      <c r="BD709" s="1759"/>
      <c r="BE709" s="1759"/>
      <c r="BF709" s="1759"/>
      <c r="BG709" s="1056"/>
    </row>
    <row r="710" spans="1:59" x14ac:dyDescent="0.15">
      <c r="A710" s="1050"/>
      <c r="B710" s="1064"/>
      <c r="C710" s="1759" t="str">
        <f>+Nyilatkozatok!CK187</f>
        <v/>
      </c>
      <c r="D710" s="1759"/>
      <c r="E710" s="1759"/>
      <c r="F710" s="1759"/>
      <c r="G710" s="1759"/>
      <c r="H710" s="1759"/>
      <c r="I710" s="1759"/>
      <c r="J710" s="1759"/>
      <c r="K710" s="1759"/>
      <c r="L710" s="1759"/>
      <c r="M710" s="1759"/>
      <c r="N710" s="1759"/>
      <c r="O710" s="1759"/>
      <c r="P710" s="1759"/>
      <c r="Q710" s="1759"/>
      <c r="R710" s="1759"/>
      <c r="S710" s="1759"/>
      <c r="T710" s="1759"/>
      <c r="U710" s="1759"/>
      <c r="V710" s="1759"/>
      <c r="W710" s="1759"/>
      <c r="X710" s="1759"/>
      <c r="Y710" s="1759"/>
      <c r="Z710" s="1759"/>
      <c r="AA710" s="1759"/>
      <c r="AB710" s="1759"/>
      <c r="AC710" s="1759"/>
      <c r="AD710" s="1759"/>
      <c r="AE710" s="1759"/>
      <c r="AF710" s="1759"/>
      <c r="AG710" s="1759"/>
      <c r="AH710" s="1759"/>
      <c r="AI710" s="1759"/>
      <c r="AJ710" s="1759"/>
      <c r="AK710" s="1759"/>
      <c r="AL710" s="1759"/>
      <c r="AM710" s="1759"/>
      <c r="AN710" s="1759"/>
      <c r="AO710" s="1759"/>
      <c r="AP710" s="1759"/>
      <c r="AQ710" s="1759"/>
      <c r="AR710" s="1759"/>
      <c r="AS710" s="1759"/>
      <c r="AT710" s="1759"/>
      <c r="AU710" s="1759"/>
      <c r="AV710" s="1759"/>
      <c r="AW710" s="1759"/>
      <c r="AX710" s="1759"/>
      <c r="AY710" s="1759"/>
      <c r="AZ710" s="1759"/>
      <c r="BA710" s="1759"/>
      <c r="BB710" s="1759"/>
      <c r="BC710" s="1759"/>
      <c r="BD710" s="1759"/>
      <c r="BE710" s="1759"/>
      <c r="BF710" s="1759"/>
      <c r="BG710" s="1056"/>
    </row>
    <row r="711" spans="1:59" x14ac:dyDescent="0.15">
      <c r="A711" s="1050"/>
      <c r="B711" s="1064"/>
      <c r="C711" s="1759" t="str">
        <f>+Nyilatkozatok!CK188</f>
        <v/>
      </c>
      <c r="D711" s="1759"/>
      <c r="E711" s="1759"/>
      <c r="F711" s="1759"/>
      <c r="G711" s="1759"/>
      <c r="H711" s="1759"/>
      <c r="I711" s="1759"/>
      <c r="J711" s="1759"/>
      <c r="K711" s="1759"/>
      <c r="L711" s="1759"/>
      <c r="M711" s="1759"/>
      <c r="N711" s="1759"/>
      <c r="O711" s="1759"/>
      <c r="P711" s="1759"/>
      <c r="Q711" s="1759"/>
      <c r="R711" s="1759"/>
      <c r="S711" s="1759"/>
      <c r="T711" s="1759"/>
      <c r="U711" s="1759"/>
      <c r="V711" s="1759"/>
      <c r="W711" s="1759"/>
      <c r="X711" s="1759"/>
      <c r="Y711" s="1759"/>
      <c r="Z711" s="1759"/>
      <c r="AA711" s="1759"/>
      <c r="AB711" s="1759"/>
      <c r="AC711" s="1759"/>
      <c r="AD711" s="1759"/>
      <c r="AE711" s="1759"/>
      <c r="AF711" s="1759"/>
      <c r="AG711" s="1759"/>
      <c r="AH711" s="1759"/>
      <c r="AI711" s="1759"/>
      <c r="AJ711" s="1759"/>
      <c r="AK711" s="1759"/>
      <c r="AL711" s="1759"/>
      <c r="AM711" s="1759"/>
      <c r="AN711" s="1759"/>
      <c r="AO711" s="1759"/>
      <c r="AP711" s="1759"/>
      <c r="AQ711" s="1759"/>
      <c r="AR711" s="1759"/>
      <c r="AS711" s="1759"/>
      <c r="AT711" s="1759"/>
      <c r="AU711" s="1759"/>
      <c r="AV711" s="1759"/>
      <c r="AW711" s="1759"/>
      <c r="AX711" s="1759"/>
      <c r="AY711" s="1759"/>
      <c r="AZ711" s="1759"/>
      <c r="BA711" s="1759"/>
      <c r="BB711" s="1759"/>
      <c r="BC711" s="1759"/>
      <c r="BD711" s="1759"/>
      <c r="BE711" s="1759"/>
      <c r="BF711" s="1759"/>
      <c r="BG711" s="1056"/>
    </row>
    <row r="712" spans="1:59" x14ac:dyDescent="0.15">
      <c r="A712" s="1050"/>
      <c r="B712" s="1064"/>
      <c r="C712" s="1759" t="str">
        <f>+Nyilatkozatok!CK189</f>
        <v/>
      </c>
      <c r="D712" s="1759"/>
      <c r="E712" s="1759"/>
      <c r="F712" s="1759"/>
      <c r="G712" s="1759"/>
      <c r="H712" s="1759"/>
      <c r="I712" s="1759"/>
      <c r="J712" s="1759"/>
      <c r="K712" s="1759"/>
      <c r="L712" s="1759"/>
      <c r="M712" s="1759"/>
      <c r="N712" s="1759"/>
      <c r="O712" s="1759"/>
      <c r="P712" s="1759"/>
      <c r="Q712" s="1759"/>
      <c r="R712" s="1759"/>
      <c r="S712" s="1759"/>
      <c r="T712" s="1759"/>
      <c r="U712" s="1759"/>
      <c r="V712" s="1759"/>
      <c r="W712" s="1759"/>
      <c r="X712" s="1759"/>
      <c r="Y712" s="1759"/>
      <c r="Z712" s="1759"/>
      <c r="AA712" s="1759"/>
      <c r="AB712" s="1759"/>
      <c r="AC712" s="1759"/>
      <c r="AD712" s="1759"/>
      <c r="AE712" s="1759"/>
      <c r="AF712" s="1759"/>
      <c r="AG712" s="1759"/>
      <c r="AH712" s="1759"/>
      <c r="AI712" s="1759"/>
      <c r="AJ712" s="1759"/>
      <c r="AK712" s="1759"/>
      <c r="AL712" s="1759"/>
      <c r="AM712" s="1759"/>
      <c r="AN712" s="1759"/>
      <c r="AO712" s="1759"/>
      <c r="AP712" s="1759"/>
      <c r="AQ712" s="1759"/>
      <c r="AR712" s="1759"/>
      <c r="AS712" s="1759"/>
      <c r="AT712" s="1759"/>
      <c r="AU712" s="1759"/>
      <c r="AV712" s="1759"/>
      <c r="AW712" s="1759"/>
      <c r="AX712" s="1759"/>
      <c r="AY712" s="1759"/>
      <c r="AZ712" s="1759"/>
      <c r="BA712" s="1759"/>
      <c r="BB712" s="1759"/>
      <c r="BC712" s="1759"/>
      <c r="BD712" s="1759"/>
      <c r="BE712" s="1759"/>
      <c r="BF712" s="1759"/>
      <c r="BG712" s="1056"/>
    </row>
    <row r="713" spans="1:59" x14ac:dyDescent="0.15">
      <c r="A713" s="1050"/>
      <c r="B713" s="1064"/>
      <c r="C713" s="1759" t="str">
        <f>+Nyilatkozatok!CK190</f>
        <v/>
      </c>
      <c r="D713" s="1759"/>
      <c r="E713" s="1759"/>
      <c r="F713" s="1759"/>
      <c r="G713" s="1759"/>
      <c r="H713" s="1759"/>
      <c r="I713" s="1759"/>
      <c r="J713" s="1759"/>
      <c r="K713" s="1759"/>
      <c r="L713" s="1759"/>
      <c r="M713" s="1759"/>
      <c r="N713" s="1759"/>
      <c r="O713" s="1759"/>
      <c r="P713" s="1759"/>
      <c r="Q713" s="1759"/>
      <c r="R713" s="1759"/>
      <c r="S713" s="1759"/>
      <c r="T713" s="1759"/>
      <c r="U713" s="1759"/>
      <c r="V713" s="1759"/>
      <c r="W713" s="1759"/>
      <c r="X713" s="1759"/>
      <c r="Y713" s="1759"/>
      <c r="Z713" s="1759"/>
      <c r="AA713" s="1759"/>
      <c r="AB713" s="1759"/>
      <c r="AC713" s="1759"/>
      <c r="AD713" s="1759"/>
      <c r="AE713" s="1759"/>
      <c r="AF713" s="1759"/>
      <c r="AG713" s="1759"/>
      <c r="AH713" s="1759"/>
      <c r="AI713" s="1759"/>
      <c r="AJ713" s="1759"/>
      <c r="AK713" s="1759"/>
      <c r="AL713" s="1759"/>
      <c r="AM713" s="1759"/>
      <c r="AN713" s="1759"/>
      <c r="AO713" s="1759"/>
      <c r="AP713" s="1759"/>
      <c r="AQ713" s="1759"/>
      <c r="AR713" s="1759"/>
      <c r="AS713" s="1759"/>
      <c r="AT713" s="1759"/>
      <c r="AU713" s="1759"/>
      <c r="AV713" s="1759"/>
      <c r="AW713" s="1759"/>
      <c r="AX713" s="1759"/>
      <c r="AY713" s="1759"/>
      <c r="AZ713" s="1759"/>
      <c r="BA713" s="1759"/>
      <c r="BB713" s="1759"/>
      <c r="BC713" s="1759"/>
      <c r="BD713" s="1759"/>
      <c r="BE713" s="1759"/>
      <c r="BF713" s="1759"/>
      <c r="BG713" s="1056"/>
    </row>
    <row r="714" spans="1:59" x14ac:dyDescent="0.15">
      <c r="A714" s="1050"/>
      <c r="B714" s="1064"/>
      <c r="C714" s="1759" t="str">
        <f>+Nyilatkozatok!CK191</f>
        <v/>
      </c>
      <c r="D714" s="1759"/>
      <c r="E714" s="1759"/>
      <c r="F714" s="1759"/>
      <c r="G714" s="1759"/>
      <c r="H714" s="1759"/>
      <c r="I714" s="1759"/>
      <c r="J714" s="1759"/>
      <c r="K714" s="1759"/>
      <c r="L714" s="1759"/>
      <c r="M714" s="1759"/>
      <c r="N714" s="1759"/>
      <c r="O714" s="1759"/>
      <c r="P714" s="1759"/>
      <c r="Q714" s="1759"/>
      <c r="R714" s="1759"/>
      <c r="S714" s="1759"/>
      <c r="T714" s="1759"/>
      <c r="U714" s="1759"/>
      <c r="V714" s="1759"/>
      <c r="W714" s="1759"/>
      <c r="X714" s="1759"/>
      <c r="Y714" s="1759"/>
      <c r="Z714" s="1759"/>
      <c r="AA714" s="1759"/>
      <c r="AB714" s="1759"/>
      <c r="AC714" s="1759"/>
      <c r="AD714" s="1759"/>
      <c r="AE714" s="1759"/>
      <c r="AF714" s="1759"/>
      <c r="AG714" s="1759"/>
      <c r="AH714" s="1759"/>
      <c r="AI714" s="1759"/>
      <c r="AJ714" s="1759"/>
      <c r="AK714" s="1759"/>
      <c r="AL714" s="1759"/>
      <c r="AM714" s="1759"/>
      <c r="AN714" s="1759"/>
      <c r="AO714" s="1759"/>
      <c r="AP714" s="1759"/>
      <c r="AQ714" s="1759"/>
      <c r="AR714" s="1759"/>
      <c r="AS714" s="1759"/>
      <c r="AT714" s="1759"/>
      <c r="AU714" s="1759"/>
      <c r="AV714" s="1759"/>
      <c r="AW714" s="1759"/>
      <c r="AX714" s="1759"/>
      <c r="AY714" s="1759"/>
      <c r="AZ714" s="1759"/>
      <c r="BA714" s="1759"/>
      <c r="BB714" s="1759"/>
      <c r="BC714" s="1759"/>
      <c r="BD714" s="1759"/>
      <c r="BE714" s="1759"/>
      <c r="BF714" s="1759"/>
      <c r="BG714" s="1056"/>
    </row>
    <row r="715" spans="1:59" x14ac:dyDescent="0.15">
      <c r="A715" s="1050"/>
      <c r="B715" s="1064"/>
      <c r="C715" s="1759" t="str">
        <f>+Nyilatkozatok!CK192</f>
        <v/>
      </c>
      <c r="D715" s="1759"/>
      <c r="E715" s="1759"/>
      <c r="F715" s="1759"/>
      <c r="G715" s="1759"/>
      <c r="H715" s="1759"/>
      <c r="I715" s="1759"/>
      <c r="J715" s="1759"/>
      <c r="K715" s="1759"/>
      <c r="L715" s="1759"/>
      <c r="M715" s="1759"/>
      <c r="N715" s="1759"/>
      <c r="O715" s="1759"/>
      <c r="P715" s="1759"/>
      <c r="Q715" s="1759"/>
      <c r="R715" s="1759"/>
      <c r="S715" s="1759"/>
      <c r="T715" s="1759"/>
      <c r="U715" s="1759"/>
      <c r="V715" s="1759"/>
      <c r="W715" s="1759"/>
      <c r="X715" s="1759"/>
      <c r="Y715" s="1759"/>
      <c r="Z715" s="1759"/>
      <c r="AA715" s="1759"/>
      <c r="AB715" s="1759"/>
      <c r="AC715" s="1759"/>
      <c r="AD715" s="1759"/>
      <c r="AE715" s="1759"/>
      <c r="AF715" s="1759"/>
      <c r="AG715" s="1759"/>
      <c r="AH715" s="1759"/>
      <c r="AI715" s="1759"/>
      <c r="AJ715" s="1759"/>
      <c r="AK715" s="1759"/>
      <c r="AL715" s="1759"/>
      <c r="AM715" s="1759"/>
      <c r="AN715" s="1759"/>
      <c r="AO715" s="1759"/>
      <c r="AP715" s="1759"/>
      <c r="AQ715" s="1759"/>
      <c r="AR715" s="1759"/>
      <c r="AS715" s="1759"/>
      <c r="AT715" s="1759"/>
      <c r="AU715" s="1759"/>
      <c r="AV715" s="1759"/>
      <c r="AW715" s="1759"/>
      <c r="AX715" s="1759"/>
      <c r="AY715" s="1759"/>
      <c r="AZ715" s="1759"/>
      <c r="BA715" s="1759"/>
      <c r="BB715" s="1759"/>
      <c r="BC715" s="1759"/>
      <c r="BD715" s="1759"/>
      <c r="BE715" s="1759"/>
      <c r="BF715" s="1759"/>
      <c r="BG715" s="1056"/>
    </row>
    <row r="716" spans="1:59" x14ac:dyDescent="0.15">
      <c r="A716" s="1050"/>
      <c r="B716" s="1064"/>
      <c r="C716" s="1759" t="str">
        <f>+Nyilatkozatok!CK193</f>
        <v/>
      </c>
      <c r="D716" s="1759"/>
      <c r="E716" s="1759"/>
      <c r="F716" s="1759"/>
      <c r="G716" s="1759"/>
      <c r="H716" s="1759"/>
      <c r="I716" s="1759"/>
      <c r="J716" s="1759"/>
      <c r="K716" s="1759"/>
      <c r="L716" s="1759"/>
      <c r="M716" s="1759"/>
      <c r="N716" s="1759"/>
      <c r="O716" s="1759"/>
      <c r="P716" s="1759"/>
      <c r="Q716" s="1759"/>
      <c r="R716" s="1759"/>
      <c r="S716" s="1759"/>
      <c r="T716" s="1759"/>
      <c r="U716" s="1759"/>
      <c r="V716" s="1759"/>
      <c r="W716" s="1759"/>
      <c r="X716" s="1759"/>
      <c r="Y716" s="1759"/>
      <c r="Z716" s="1759"/>
      <c r="AA716" s="1759"/>
      <c r="AB716" s="1759"/>
      <c r="AC716" s="1759"/>
      <c r="AD716" s="1759"/>
      <c r="AE716" s="1759"/>
      <c r="AF716" s="1759"/>
      <c r="AG716" s="1759"/>
      <c r="AH716" s="1759"/>
      <c r="AI716" s="1759"/>
      <c r="AJ716" s="1759"/>
      <c r="AK716" s="1759"/>
      <c r="AL716" s="1759"/>
      <c r="AM716" s="1759"/>
      <c r="AN716" s="1759"/>
      <c r="AO716" s="1759"/>
      <c r="AP716" s="1759"/>
      <c r="AQ716" s="1759"/>
      <c r="AR716" s="1759"/>
      <c r="AS716" s="1759"/>
      <c r="AT716" s="1759"/>
      <c r="AU716" s="1759"/>
      <c r="AV716" s="1759"/>
      <c r="AW716" s="1759"/>
      <c r="AX716" s="1759"/>
      <c r="AY716" s="1759"/>
      <c r="AZ716" s="1759"/>
      <c r="BA716" s="1759"/>
      <c r="BB716" s="1759"/>
      <c r="BC716" s="1759"/>
      <c r="BD716" s="1759"/>
      <c r="BE716" s="1759"/>
      <c r="BF716" s="1759"/>
      <c r="BG716" s="1056"/>
    </row>
    <row r="717" spans="1:59" x14ac:dyDescent="0.15">
      <c r="A717" s="1050"/>
      <c r="B717" s="1064"/>
      <c r="C717" s="1759" t="str">
        <f>+Nyilatkozatok!CK194</f>
        <v/>
      </c>
      <c r="D717" s="1759"/>
      <c r="E717" s="1759"/>
      <c r="F717" s="1759"/>
      <c r="G717" s="1759"/>
      <c r="H717" s="1759"/>
      <c r="I717" s="1759"/>
      <c r="J717" s="1759"/>
      <c r="K717" s="1759"/>
      <c r="L717" s="1759"/>
      <c r="M717" s="1759"/>
      <c r="N717" s="1759"/>
      <c r="O717" s="1759"/>
      <c r="P717" s="1759"/>
      <c r="Q717" s="1759"/>
      <c r="R717" s="1759"/>
      <c r="S717" s="1759"/>
      <c r="T717" s="1759"/>
      <c r="U717" s="1759"/>
      <c r="V717" s="1759"/>
      <c r="W717" s="1759"/>
      <c r="X717" s="1759"/>
      <c r="Y717" s="1759"/>
      <c r="Z717" s="1759"/>
      <c r="AA717" s="1759"/>
      <c r="AB717" s="1759"/>
      <c r="AC717" s="1759"/>
      <c r="AD717" s="1759"/>
      <c r="AE717" s="1759"/>
      <c r="AF717" s="1759"/>
      <c r="AG717" s="1759"/>
      <c r="AH717" s="1759"/>
      <c r="AI717" s="1759"/>
      <c r="AJ717" s="1759"/>
      <c r="AK717" s="1759"/>
      <c r="AL717" s="1759"/>
      <c r="AM717" s="1759"/>
      <c r="AN717" s="1759"/>
      <c r="AO717" s="1759"/>
      <c r="AP717" s="1759"/>
      <c r="AQ717" s="1759"/>
      <c r="AR717" s="1759"/>
      <c r="AS717" s="1759"/>
      <c r="AT717" s="1759"/>
      <c r="AU717" s="1759"/>
      <c r="AV717" s="1759"/>
      <c r="AW717" s="1759"/>
      <c r="AX717" s="1759"/>
      <c r="AY717" s="1759"/>
      <c r="AZ717" s="1759"/>
      <c r="BA717" s="1759"/>
      <c r="BB717" s="1759"/>
      <c r="BC717" s="1759"/>
      <c r="BD717" s="1759"/>
      <c r="BE717" s="1759"/>
      <c r="BF717" s="1759"/>
      <c r="BG717" s="1056"/>
    </row>
    <row r="718" spans="1:59" x14ac:dyDescent="0.15">
      <c r="A718" s="1050"/>
      <c r="B718" s="1064"/>
      <c r="C718" s="1759" t="str">
        <f>+Nyilatkozatok!CK195</f>
        <v/>
      </c>
      <c r="D718" s="1759"/>
      <c r="E718" s="1759"/>
      <c r="F718" s="1759"/>
      <c r="G718" s="1759"/>
      <c r="H718" s="1759"/>
      <c r="I718" s="1759"/>
      <c r="J718" s="1759"/>
      <c r="K718" s="1759"/>
      <c r="L718" s="1759"/>
      <c r="M718" s="1759"/>
      <c r="N718" s="1759"/>
      <c r="O718" s="1759"/>
      <c r="P718" s="1759"/>
      <c r="Q718" s="1759"/>
      <c r="R718" s="1759"/>
      <c r="S718" s="1759"/>
      <c r="T718" s="1759"/>
      <c r="U718" s="1759"/>
      <c r="V718" s="1759"/>
      <c r="W718" s="1759"/>
      <c r="X718" s="1759"/>
      <c r="Y718" s="1759"/>
      <c r="Z718" s="1759"/>
      <c r="AA718" s="1759"/>
      <c r="AB718" s="1759"/>
      <c r="AC718" s="1759"/>
      <c r="AD718" s="1759"/>
      <c r="AE718" s="1759"/>
      <c r="AF718" s="1759"/>
      <c r="AG718" s="1759"/>
      <c r="AH718" s="1759"/>
      <c r="AI718" s="1759"/>
      <c r="AJ718" s="1759"/>
      <c r="AK718" s="1759"/>
      <c r="AL718" s="1759"/>
      <c r="AM718" s="1759"/>
      <c r="AN718" s="1759"/>
      <c r="AO718" s="1759"/>
      <c r="AP718" s="1759"/>
      <c r="AQ718" s="1759"/>
      <c r="AR718" s="1759"/>
      <c r="AS718" s="1759"/>
      <c r="AT718" s="1759"/>
      <c r="AU718" s="1759"/>
      <c r="AV718" s="1759"/>
      <c r="AW718" s="1759"/>
      <c r="AX718" s="1759"/>
      <c r="AY718" s="1759"/>
      <c r="AZ718" s="1759"/>
      <c r="BA718" s="1759"/>
      <c r="BB718" s="1759"/>
      <c r="BC718" s="1759"/>
      <c r="BD718" s="1759"/>
      <c r="BE718" s="1759"/>
      <c r="BF718" s="1759"/>
      <c r="BG718" s="1056"/>
    </row>
    <row r="719" spans="1:59" x14ac:dyDescent="0.15">
      <c r="A719" s="1050"/>
      <c r="B719" s="1064"/>
      <c r="C719" s="1759" t="str">
        <f>+Nyilatkozatok!CK196</f>
        <v/>
      </c>
      <c r="D719" s="1759"/>
      <c r="E719" s="1759"/>
      <c r="F719" s="1759"/>
      <c r="G719" s="1759"/>
      <c r="H719" s="1759"/>
      <c r="I719" s="1759"/>
      <c r="J719" s="1759"/>
      <c r="K719" s="1759"/>
      <c r="L719" s="1759"/>
      <c r="M719" s="1759"/>
      <c r="N719" s="1759"/>
      <c r="O719" s="1759"/>
      <c r="P719" s="1759"/>
      <c r="Q719" s="1759"/>
      <c r="R719" s="1759"/>
      <c r="S719" s="1759"/>
      <c r="T719" s="1759"/>
      <c r="U719" s="1759"/>
      <c r="V719" s="1759"/>
      <c r="W719" s="1759"/>
      <c r="X719" s="1759"/>
      <c r="Y719" s="1759"/>
      <c r="Z719" s="1759"/>
      <c r="AA719" s="1759"/>
      <c r="AB719" s="1759"/>
      <c r="AC719" s="1759"/>
      <c r="AD719" s="1759"/>
      <c r="AE719" s="1759"/>
      <c r="AF719" s="1759"/>
      <c r="AG719" s="1759"/>
      <c r="AH719" s="1759"/>
      <c r="AI719" s="1759"/>
      <c r="AJ719" s="1759"/>
      <c r="AK719" s="1759"/>
      <c r="AL719" s="1759"/>
      <c r="AM719" s="1759"/>
      <c r="AN719" s="1759"/>
      <c r="AO719" s="1759"/>
      <c r="AP719" s="1759"/>
      <c r="AQ719" s="1759"/>
      <c r="AR719" s="1759"/>
      <c r="AS719" s="1759"/>
      <c r="AT719" s="1759"/>
      <c r="AU719" s="1759"/>
      <c r="AV719" s="1759"/>
      <c r="AW719" s="1759"/>
      <c r="AX719" s="1759"/>
      <c r="AY719" s="1759"/>
      <c r="AZ719" s="1759"/>
      <c r="BA719" s="1759"/>
      <c r="BB719" s="1759"/>
      <c r="BC719" s="1759"/>
      <c r="BD719" s="1759"/>
      <c r="BE719" s="1759"/>
      <c r="BF719" s="1759"/>
      <c r="BG719" s="1056"/>
    </row>
    <row r="720" spans="1:59" x14ac:dyDescent="0.15">
      <c r="A720" s="1050"/>
      <c r="B720" s="1064"/>
      <c r="C720" s="1759" t="str">
        <f>+Nyilatkozatok!CK197</f>
        <v/>
      </c>
      <c r="D720" s="1759"/>
      <c r="E720" s="1759"/>
      <c r="F720" s="1759"/>
      <c r="G720" s="1759"/>
      <c r="H720" s="1759"/>
      <c r="I720" s="1759"/>
      <c r="J720" s="1759"/>
      <c r="K720" s="1759"/>
      <c r="L720" s="1759"/>
      <c r="M720" s="1759"/>
      <c r="N720" s="1759"/>
      <c r="O720" s="1759"/>
      <c r="P720" s="1759"/>
      <c r="Q720" s="1759"/>
      <c r="R720" s="1759"/>
      <c r="S720" s="1759"/>
      <c r="T720" s="1759"/>
      <c r="U720" s="1759"/>
      <c r="V720" s="1759"/>
      <c r="W720" s="1759"/>
      <c r="X720" s="1759"/>
      <c r="Y720" s="1759"/>
      <c r="Z720" s="1759"/>
      <c r="AA720" s="1759"/>
      <c r="AB720" s="1759"/>
      <c r="AC720" s="1759"/>
      <c r="AD720" s="1759"/>
      <c r="AE720" s="1759"/>
      <c r="AF720" s="1759"/>
      <c r="AG720" s="1759"/>
      <c r="AH720" s="1759"/>
      <c r="AI720" s="1759"/>
      <c r="AJ720" s="1759"/>
      <c r="AK720" s="1759"/>
      <c r="AL720" s="1759"/>
      <c r="AM720" s="1759"/>
      <c r="AN720" s="1759"/>
      <c r="AO720" s="1759"/>
      <c r="AP720" s="1759"/>
      <c r="AQ720" s="1759"/>
      <c r="AR720" s="1759"/>
      <c r="AS720" s="1759"/>
      <c r="AT720" s="1759"/>
      <c r="AU720" s="1759"/>
      <c r="AV720" s="1759"/>
      <c r="AW720" s="1759"/>
      <c r="AX720" s="1759"/>
      <c r="AY720" s="1759"/>
      <c r="AZ720" s="1759"/>
      <c r="BA720" s="1759"/>
      <c r="BB720" s="1759"/>
      <c r="BC720" s="1759"/>
      <c r="BD720" s="1759"/>
      <c r="BE720" s="1759"/>
      <c r="BF720" s="1759"/>
      <c r="BG720" s="1056"/>
    </row>
    <row r="721" spans="1:59" x14ac:dyDescent="0.15">
      <c r="A721" s="1050"/>
      <c r="B721" s="1064"/>
      <c r="C721" s="1759" t="str">
        <f>+Nyilatkozatok!CK198</f>
        <v/>
      </c>
      <c r="D721" s="1759"/>
      <c r="E721" s="1759"/>
      <c r="F721" s="1759"/>
      <c r="G721" s="1759"/>
      <c r="H721" s="1759"/>
      <c r="I721" s="1759"/>
      <c r="J721" s="1759"/>
      <c r="K721" s="1759"/>
      <c r="L721" s="1759"/>
      <c r="M721" s="1759"/>
      <c r="N721" s="1759"/>
      <c r="O721" s="1759"/>
      <c r="P721" s="1759"/>
      <c r="Q721" s="1759"/>
      <c r="R721" s="1759"/>
      <c r="S721" s="1759"/>
      <c r="T721" s="1759"/>
      <c r="U721" s="1759"/>
      <c r="V721" s="1759"/>
      <c r="W721" s="1759"/>
      <c r="X721" s="1759"/>
      <c r="Y721" s="1759"/>
      <c r="Z721" s="1759"/>
      <c r="AA721" s="1759"/>
      <c r="AB721" s="1759"/>
      <c r="AC721" s="1759"/>
      <c r="AD721" s="1759"/>
      <c r="AE721" s="1759"/>
      <c r="AF721" s="1759"/>
      <c r="AG721" s="1759"/>
      <c r="AH721" s="1759"/>
      <c r="AI721" s="1759"/>
      <c r="AJ721" s="1759"/>
      <c r="AK721" s="1759"/>
      <c r="AL721" s="1759"/>
      <c r="AM721" s="1759"/>
      <c r="AN721" s="1759"/>
      <c r="AO721" s="1759"/>
      <c r="AP721" s="1759"/>
      <c r="AQ721" s="1759"/>
      <c r="AR721" s="1759"/>
      <c r="AS721" s="1759"/>
      <c r="AT721" s="1759"/>
      <c r="AU721" s="1759"/>
      <c r="AV721" s="1759"/>
      <c r="AW721" s="1759"/>
      <c r="AX721" s="1759"/>
      <c r="AY721" s="1759"/>
      <c r="AZ721" s="1759"/>
      <c r="BA721" s="1759"/>
      <c r="BB721" s="1759"/>
      <c r="BC721" s="1759"/>
      <c r="BD721" s="1759"/>
      <c r="BE721" s="1759"/>
      <c r="BF721" s="1759"/>
      <c r="BG721" s="1056"/>
    </row>
    <row r="722" spans="1:59" x14ac:dyDescent="0.15">
      <c r="A722" s="1050"/>
      <c r="B722" s="1064"/>
      <c r="C722" s="1759" t="str">
        <f>+Nyilatkozatok!CK199</f>
        <v/>
      </c>
      <c r="D722" s="1759"/>
      <c r="E722" s="1759"/>
      <c r="F722" s="1759"/>
      <c r="G722" s="1759"/>
      <c r="H722" s="1759"/>
      <c r="I722" s="1759"/>
      <c r="J722" s="1759"/>
      <c r="K722" s="1759"/>
      <c r="L722" s="1759"/>
      <c r="M722" s="1759"/>
      <c r="N722" s="1759"/>
      <c r="O722" s="1759"/>
      <c r="P722" s="1759"/>
      <c r="Q722" s="1759"/>
      <c r="R722" s="1759"/>
      <c r="S722" s="1759"/>
      <c r="T722" s="1759"/>
      <c r="U722" s="1759"/>
      <c r="V722" s="1759"/>
      <c r="W722" s="1759"/>
      <c r="X722" s="1759"/>
      <c r="Y722" s="1759"/>
      <c r="Z722" s="1759"/>
      <c r="AA722" s="1759"/>
      <c r="AB722" s="1759"/>
      <c r="AC722" s="1759"/>
      <c r="AD722" s="1759"/>
      <c r="AE722" s="1759"/>
      <c r="AF722" s="1759"/>
      <c r="AG722" s="1759"/>
      <c r="AH722" s="1759"/>
      <c r="AI722" s="1759"/>
      <c r="AJ722" s="1759"/>
      <c r="AK722" s="1759"/>
      <c r="AL722" s="1759"/>
      <c r="AM722" s="1759"/>
      <c r="AN722" s="1759"/>
      <c r="AO722" s="1759"/>
      <c r="AP722" s="1759"/>
      <c r="AQ722" s="1759"/>
      <c r="AR722" s="1759"/>
      <c r="AS722" s="1759"/>
      <c r="AT722" s="1759"/>
      <c r="AU722" s="1759"/>
      <c r="AV722" s="1759"/>
      <c r="AW722" s="1759"/>
      <c r="AX722" s="1759"/>
      <c r="AY722" s="1759"/>
      <c r="AZ722" s="1759"/>
      <c r="BA722" s="1759"/>
      <c r="BB722" s="1759"/>
      <c r="BC722" s="1759"/>
      <c r="BD722" s="1759"/>
      <c r="BE722" s="1759"/>
      <c r="BF722" s="1759"/>
      <c r="BG722" s="1056"/>
    </row>
    <row r="723" spans="1:59" x14ac:dyDescent="0.15">
      <c r="A723" s="1050"/>
      <c r="B723" s="1064"/>
      <c r="C723" s="1759" t="str">
        <f>+Nyilatkozatok!CK200</f>
        <v/>
      </c>
      <c r="D723" s="1759"/>
      <c r="E723" s="1759"/>
      <c r="F723" s="1759"/>
      <c r="G723" s="1759"/>
      <c r="H723" s="1759"/>
      <c r="I723" s="1759"/>
      <c r="J723" s="1759"/>
      <c r="K723" s="1759"/>
      <c r="L723" s="1759"/>
      <c r="M723" s="1759"/>
      <c r="N723" s="1759"/>
      <c r="O723" s="1759"/>
      <c r="P723" s="1759"/>
      <c r="Q723" s="1759"/>
      <c r="R723" s="1759"/>
      <c r="S723" s="1759"/>
      <c r="T723" s="1759"/>
      <c r="U723" s="1759"/>
      <c r="V723" s="1759"/>
      <c r="W723" s="1759"/>
      <c r="X723" s="1759"/>
      <c r="Y723" s="1759"/>
      <c r="Z723" s="1759"/>
      <c r="AA723" s="1759"/>
      <c r="AB723" s="1759"/>
      <c r="AC723" s="1759"/>
      <c r="AD723" s="1759"/>
      <c r="AE723" s="1759"/>
      <c r="AF723" s="1759"/>
      <c r="AG723" s="1759"/>
      <c r="AH723" s="1759"/>
      <c r="AI723" s="1759"/>
      <c r="AJ723" s="1759"/>
      <c r="AK723" s="1759"/>
      <c r="AL723" s="1759"/>
      <c r="AM723" s="1759"/>
      <c r="AN723" s="1759"/>
      <c r="AO723" s="1759"/>
      <c r="AP723" s="1759"/>
      <c r="AQ723" s="1759"/>
      <c r="AR723" s="1759"/>
      <c r="AS723" s="1759"/>
      <c r="AT723" s="1759"/>
      <c r="AU723" s="1759"/>
      <c r="AV723" s="1759"/>
      <c r="AW723" s="1759"/>
      <c r="AX723" s="1759"/>
      <c r="AY723" s="1759"/>
      <c r="AZ723" s="1759"/>
      <c r="BA723" s="1759"/>
      <c r="BB723" s="1759"/>
      <c r="BC723" s="1759"/>
      <c r="BD723" s="1759"/>
      <c r="BE723" s="1759"/>
      <c r="BF723" s="1759"/>
      <c r="BG723" s="1056"/>
    </row>
    <row r="724" spans="1:59" x14ac:dyDescent="0.15">
      <c r="A724" s="1050"/>
      <c r="B724" s="1064"/>
      <c r="C724" s="1759" t="str">
        <f>+Nyilatkozatok!CK201</f>
        <v/>
      </c>
      <c r="D724" s="1759"/>
      <c r="E724" s="1759"/>
      <c r="F724" s="1759"/>
      <c r="G724" s="1759"/>
      <c r="H724" s="1759"/>
      <c r="I724" s="1759"/>
      <c r="J724" s="1759"/>
      <c r="K724" s="1759"/>
      <c r="L724" s="1759"/>
      <c r="M724" s="1759"/>
      <c r="N724" s="1759"/>
      <c r="O724" s="1759"/>
      <c r="P724" s="1759"/>
      <c r="Q724" s="1759"/>
      <c r="R724" s="1759"/>
      <c r="S724" s="1759"/>
      <c r="T724" s="1759"/>
      <c r="U724" s="1759"/>
      <c r="V724" s="1759"/>
      <c r="W724" s="1759"/>
      <c r="X724" s="1759"/>
      <c r="Y724" s="1759"/>
      <c r="Z724" s="1759"/>
      <c r="AA724" s="1759"/>
      <c r="AB724" s="1759"/>
      <c r="AC724" s="1759"/>
      <c r="AD724" s="1759"/>
      <c r="AE724" s="1759"/>
      <c r="AF724" s="1759"/>
      <c r="AG724" s="1759"/>
      <c r="AH724" s="1759"/>
      <c r="AI724" s="1759"/>
      <c r="AJ724" s="1759"/>
      <c r="AK724" s="1759"/>
      <c r="AL724" s="1759"/>
      <c r="AM724" s="1759"/>
      <c r="AN724" s="1759"/>
      <c r="AO724" s="1759"/>
      <c r="AP724" s="1759"/>
      <c r="AQ724" s="1759"/>
      <c r="AR724" s="1759"/>
      <c r="AS724" s="1759"/>
      <c r="AT724" s="1759"/>
      <c r="AU724" s="1759"/>
      <c r="AV724" s="1759"/>
      <c r="AW724" s="1759"/>
      <c r="AX724" s="1759"/>
      <c r="AY724" s="1759"/>
      <c r="AZ724" s="1759"/>
      <c r="BA724" s="1759"/>
      <c r="BB724" s="1759"/>
      <c r="BC724" s="1759"/>
      <c r="BD724" s="1759"/>
      <c r="BE724" s="1759"/>
      <c r="BF724" s="1759"/>
      <c r="BG724" s="1056"/>
    </row>
    <row r="725" spans="1:59" x14ac:dyDescent="0.15">
      <c r="A725" s="1050"/>
      <c r="B725" s="1064"/>
      <c r="C725" s="1779" t="s">
        <v>787</v>
      </c>
      <c r="D725" s="1761"/>
      <c r="E725" s="1761"/>
      <c r="F725" s="1761"/>
      <c r="G725" s="1761"/>
      <c r="H725" s="1761"/>
      <c r="I725" s="1761"/>
      <c r="J725" s="1761"/>
      <c r="K725" s="1761"/>
      <c r="L725" s="1761"/>
      <c r="M725" s="1761"/>
      <c r="N725" s="1761"/>
      <c r="O725" s="1761"/>
      <c r="P725" s="1761"/>
      <c r="Q725" s="1761"/>
      <c r="R725" s="1761"/>
      <c r="S725" s="1761"/>
      <c r="T725" s="1761"/>
      <c r="U725" s="1761"/>
      <c r="V725" s="1761"/>
      <c r="W725" s="1761"/>
      <c r="X725" s="1761"/>
      <c r="Y725" s="1761"/>
      <c r="Z725" s="1761"/>
      <c r="AA725" s="1761"/>
      <c r="AB725" s="1761"/>
      <c r="AC725" s="1761"/>
      <c r="AD725" s="1761"/>
      <c r="AE725" s="1761"/>
      <c r="AF725" s="1761"/>
      <c r="AG725" s="1761"/>
      <c r="AH725" s="1761"/>
      <c r="AI725" s="1761"/>
      <c r="AJ725" s="1761"/>
      <c r="AK725" s="1761"/>
      <c r="AL725" s="1761"/>
      <c r="AM725" s="1761"/>
      <c r="AN725" s="1761"/>
      <c r="AO725" s="1761"/>
      <c r="AP725" s="1761"/>
      <c r="AQ725" s="1761"/>
      <c r="AR725" s="1761"/>
      <c r="AS725" s="1761"/>
      <c r="AT725" s="1761"/>
      <c r="AU725" s="1761"/>
      <c r="AV725" s="1761"/>
      <c r="AW725" s="1761"/>
      <c r="AX725" s="1761"/>
      <c r="AY725" s="1761"/>
      <c r="AZ725" s="1761"/>
      <c r="BA725" s="1761"/>
      <c r="BB725" s="1761"/>
      <c r="BC725" s="1761"/>
      <c r="BD725" s="1761"/>
      <c r="BE725" s="1761"/>
      <c r="BF725" s="1761"/>
      <c r="BG725" s="1056"/>
    </row>
    <row r="726" spans="1:59" x14ac:dyDescent="0.15">
      <c r="A726" s="1050"/>
      <c r="B726" s="1053"/>
      <c r="C726" s="1760"/>
      <c r="D726" s="1760"/>
      <c r="E726" s="1760"/>
      <c r="F726" s="1760"/>
      <c r="G726" s="1760"/>
      <c r="H726" s="1760"/>
      <c r="I726" s="1760"/>
      <c r="J726" s="1760"/>
      <c r="K726" s="1760"/>
      <c r="L726" s="1760"/>
      <c r="M726" s="1760"/>
      <c r="N726" s="1760"/>
      <c r="O726" s="1760"/>
      <c r="P726" s="1760"/>
      <c r="Q726" s="1760"/>
      <c r="R726" s="1760"/>
      <c r="S726" s="1760"/>
      <c r="T726" s="1760"/>
      <c r="U726" s="1760"/>
      <c r="V726" s="1760"/>
      <c r="W726" s="1760"/>
      <c r="X726" s="1760"/>
      <c r="Y726" s="1760"/>
      <c r="Z726" s="1760"/>
      <c r="AA726" s="1760"/>
      <c r="AB726" s="1760"/>
      <c r="AC726" s="1760"/>
      <c r="AD726" s="1760"/>
      <c r="AE726" s="1760"/>
      <c r="AF726" s="1760"/>
      <c r="AG726" s="1760"/>
      <c r="AH726" s="1760"/>
      <c r="AI726" s="1760"/>
      <c r="AJ726" s="1760"/>
      <c r="AK726" s="1760"/>
      <c r="AL726" s="1760"/>
      <c r="AM726" s="1760"/>
      <c r="AN726" s="1760"/>
      <c r="AO726" s="1760"/>
      <c r="AP726" s="1760"/>
      <c r="AQ726" s="1760"/>
      <c r="AR726" s="1760"/>
      <c r="AS726" s="1760"/>
      <c r="AT726" s="1760"/>
      <c r="AU726" s="1760"/>
      <c r="AV726" s="1760"/>
      <c r="AW726" s="1760"/>
      <c r="AX726" s="1760"/>
      <c r="AY726" s="1760"/>
      <c r="AZ726" s="1760"/>
      <c r="BA726" s="1760"/>
      <c r="BB726" s="1760"/>
      <c r="BC726" s="1760"/>
      <c r="BD726" s="1760"/>
      <c r="BE726" s="1760"/>
      <c r="BF726" s="1760"/>
      <c r="BG726" s="1071"/>
    </row>
    <row r="727" spans="1:59" x14ac:dyDescent="0.15">
      <c r="A727" s="1050"/>
      <c r="B727" s="1064"/>
      <c r="C727" s="1760"/>
      <c r="D727" s="1760"/>
      <c r="E727" s="1760"/>
      <c r="F727" s="1760"/>
      <c r="G727" s="1760"/>
      <c r="H727" s="1760"/>
      <c r="I727" s="1760"/>
      <c r="J727" s="1760"/>
      <c r="K727" s="1760"/>
      <c r="L727" s="1760"/>
      <c r="M727" s="1760"/>
      <c r="N727" s="1760"/>
      <c r="O727" s="1760"/>
      <c r="P727" s="1760"/>
      <c r="Q727" s="1760"/>
      <c r="R727" s="1760"/>
      <c r="S727" s="1760"/>
      <c r="T727" s="1760"/>
      <c r="U727" s="1760"/>
      <c r="V727" s="1760"/>
      <c r="W727" s="1760"/>
      <c r="X727" s="1760"/>
      <c r="Y727" s="1760"/>
      <c r="Z727" s="1760"/>
      <c r="AA727" s="1760"/>
      <c r="AB727" s="1760"/>
      <c r="AC727" s="1760"/>
      <c r="AD727" s="1760"/>
      <c r="AE727" s="1760"/>
      <c r="AF727" s="1760"/>
      <c r="AG727" s="1760"/>
      <c r="AH727" s="1760"/>
      <c r="AI727" s="1760"/>
      <c r="AJ727" s="1760"/>
      <c r="AK727" s="1760"/>
      <c r="AL727" s="1760"/>
      <c r="AM727" s="1760"/>
      <c r="AN727" s="1760"/>
      <c r="AO727" s="1760"/>
      <c r="AP727" s="1760"/>
      <c r="AQ727" s="1760"/>
      <c r="AR727" s="1760"/>
      <c r="AS727" s="1760"/>
      <c r="AT727" s="1760"/>
      <c r="AU727" s="1760"/>
      <c r="AV727" s="1760"/>
      <c r="AW727" s="1760"/>
      <c r="AX727" s="1760"/>
      <c r="AY727" s="1760"/>
      <c r="AZ727" s="1760"/>
      <c r="BA727" s="1760"/>
      <c r="BB727" s="1760"/>
      <c r="BC727" s="1760"/>
      <c r="BD727" s="1760"/>
      <c r="BE727" s="1760"/>
      <c r="BF727" s="1760"/>
      <c r="BG727" s="1056"/>
    </row>
    <row r="728" spans="1:59" x14ac:dyDescent="0.15">
      <c r="A728" s="1050"/>
      <c r="B728" s="1064"/>
      <c r="C728" s="1054"/>
      <c r="D728" s="1054"/>
      <c r="E728" s="1054"/>
      <c r="F728" s="1054" t="s">
        <v>796</v>
      </c>
      <c r="G728" s="1054"/>
      <c r="H728" s="1780" t="str">
        <f>+IF(keltezes="","",keltezes)</f>
        <v/>
      </c>
      <c r="I728" s="1760"/>
      <c r="J728" s="1760"/>
      <c r="K728" s="1760"/>
      <c r="L728" s="1760"/>
      <c r="M728" s="1760"/>
      <c r="N728" s="1760"/>
      <c r="O728" s="1760"/>
      <c r="P728" s="1760"/>
      <c r="Q728" s="1760"/>
      <c r="R728" s="1760"/>
      <c r="S728" s="1760"/>
      <c r="T728" s="1760"/>
      <c r="U728" s="1054"/>
      <c r="V728" s="1054"/>
      <c r="W728" s="1054"/>
      <c r="X728" s="1054"/>
      <c r="Y728" s="1054"/>
      <c r="Z728" s="1054"/>
      <c r="AA728" s="1054"/>
      <c r="AB728" s="1054"/>
      <c r="AC728" s="1054"/>
      <c r="AD728" s="1054"/>
      <c r="AE728" s="1054"/>
      <c r="AF728" s="1054"/>
      <c r="AG728" s="1054"/>
      <c r="AH728" s="1054"/>
      <c r="AI728" s="1054"/>
      <c r="AJ728" s="1054"/>
      <c r="AK728" s="1054"/>
      <c r="AL728" s="1054"/>
      <c r="AM728" s="1054"/>
      <c r="AN728" s="1054"/>
      <c r="AO728" s="1054"/>
      <c r="AP728" s="1054"/>
      <c r="AQ728" s="1054"/>
      <c r="AR728" s="1054"/>
      <c r="AS728" s="1054"/>
      <c r="AT728" s="1054"/>
      <c r="AU728" s="1054"/>
      <c r="AV728" s="1054"/>
      <c r="AW728" s="1054"/>
      <c r="AX728" s="1054"/>
      <c r="AY728" s="1054"/>
      <c r="AZ728" s="1054"/>
      <c r="BA728" s="1054"/>
      <c r="BB728" s="1054"/>
      <c r="BC728" s="1054"/>
      <c r="BD728" s="1054"/>
      <c r="BE728" s="1054"/>
      <c r="BF728" s="1054"/>
      <c r="BG728" s="1056"/>
    </row>
    <row r="729" spans="1:59" x14ac:dyDescent="0.15">
      <c r="A729" s="1050"/>
      <c r="B729" s="1064"/>
      <c r="C729" s="1054"/>
      <c r="D729" s="1054"/>
      <c r="E729" s="1054"/>
      <c r="F729" s="1054"/>
      <c r="G729" s="1054"/>
      <c r="H729" s="1054"/>
      <c r="I729" s="1054"/>
      <c r="J729" s="1054"/>
      <c r="K729" s="1054"/>
      <c r="L729" s="1054"/>
      <c r="M729" s="1054"/>
      <c r="N729" s="1054"/>
      <c r="O729" s="1054"/>
      <c r="P729" s="1054"/>
      <c r="Q729" s="1054"/>
      <c r="R729" s="1054"/>
      <c r="S729" s="1054"/>
      <c r="T729" s="1054"/>
      <c r="U729" s="1054"/>
      <c r="V729" s="1054"/>
      <c r="W729" s="1054"/>
      <c r="X729" s="1054"/>
      <c r="Y729" s="1054"/>
      <c r="Z729" s="1054"/>
      <c r="AA729" s="1054"/>
      <c r="AB729" s="1054"/>
      <c r="AC729" s="1054"/>
      <c r="AD729" s="1054"/>
      <c r="AE729" s="1054"/>
      <c r="AF729" s="1054"/>
      <c r="AG729" s="1054"/>
      <c r="AH729" s="1054"/>
      <c r="AI729" s="1054"/>
      <c r="AJ729" s="1054"/>
      <c r="AK729" s="1054"/>
      <c r="AL729" s="1054"/>
      <c r="AM729" s="1054"/>
      <c r="AN729" s="1054"/>
      <c r="AO729" s="1054"/>
      <c r="AP729" s="1054"/>
      <c r="AQ729" s="1054"/>
      <c r="AR729" s="1054"/>
      <c r="AS729" s="1054"/>
      <c r="AT729" s="1054"/>
      <c r="AU729" s="1054"/>
      <c r="AV729" s="1054"/>
      <c r="AW729" s="1054"/>
      <c r="AX729" s="1054"/>
      <c r="AY729" s="1054"/>
      <c r="AZ729" s="1054"/>
      <c r="BA729" s="1054"/>
      <c r="BB729" s="1054"/>
      <c r="BC729" s="1054"/>
      <c r="BD729" s="1054"/>
      <c r="BE729" s="1054"/>
      <c r="BF729" s="1054"/>
      <c r="BG729" s="1056"/>
    </row>
    <row r="730" spans="1:59" x14ac:dyDescent="0.15">
      <c r="A730" s="1050"/>
      <c r="B730" s="1064"/>
      <c r="C730" s="1054"/>
      <c r="D730" s="1054"/>
      <c r="E730" s="1054"/>
      <c r="F730" s="1054"/>
      <c r="G730" s="1054"/>
      <c r="H730" s="1054"/>
      <c r="I730" s="1054"/>
      <c r="J730" s="1054"/>
      <c r="K730" s="1054"/>
      <c r="L730" s="1054"/>
      <c r="M730" s="1054"/>
      <c r="N730" s="1054"/>
      <c r="O730" s="1054"/>
      <c r="P730" s="1054"/>
      <c r="Q730" s="1054"/>
      <c r="R730" s="1054"/>
      <c r="S730" s="1054"/>
      <c r="T730" s="1054"/>
      <c r="U730" s="1054"/>
      <c r="V730" s="1054"/>
      <c r="W730" s="1054"/>
      <c r="X730" s="1054"/>
      <c r="Y730" s="1054"/>
      <c r="Z730" s="1054"/>
      <c r="AA730" s="1054"/>
      <c r="AB730" s="1054"/>
      <c r="AC730" s="1054"/>
      <c r="AD730" s="1054"/>
      <c r="AE730" s="1054"/>
      <c r="AF730" s="1747"/>
      <c r="AG730" s="1747"/>
      <c r="AH730" s="1747"/>
      <c r="AI730" s="1747"/>
      <c r="AJ730" s="1747"/>
      <c r="AK730" s="1747"/>
      <c r="AL730" s="1747"/>
      <c r="AM730" s="1747"/>
      <c r="AN730" s="1747"/>
      <c r="AO730" s="1747"/>
      <c r="AP730" s="1747"/>
      <c r="AQ730" s="1747"/>
      <c r="AR730" s="1747"/>
      <c r="AS730" s="1747"/>
      <c r="AT730" s="1747"/>
      <c r="AU730" s="1747"/>
      <c r="AV730" s="1747"/>
      <c r="AW730" s="1747"/>
      <c r="AX730" s="1747"/>
      <c r="AY730" s="1747"/>
      <c r="AZ730" s="1747"/>
      <c r="BA730" s="1747"/>
      <c r="BB730" s="1747"/>
      <c r="BC730" s="1747"/>
      <c r="BD730" s="1747"/>
      <c r="BE730" s="1054"/>
      <c r="BF730" s="1054"/>
      <c r="BG730" s="1056"/>
    </row>
    <row r="731" spans="1:59" ht="15" customHeight="1" x14ac:dyDescent="0.15">
      <c r="A731" s="1050"/>
      <c r="B731" s="1064"/>
      <c r="C731" s="1054"/>
      <c r="D731" s="1054"/>
      <c r="E731" s="1054"/>
      <c r="F731" s="1054"/>
      <c r="G731" s="1054"/>
      <c r="H731" s="1054"/>
      <c r="I731" s="1054"/>
      <c r="J731" s="1054"/>
      <c r="K731" s="1054"/>
      <c r="L731" s="1054"/>
      <c r="M731" s="1054"/>
      <c r="N731" s="1054"/>
      <c r="O731" s="1054"/>
      <c r="P731" s="1054"/>
      <c r="Q731" s="1054"/>
      <c r="R731" s="1054"/>
      <c r="S731" s="1054"/>
      <c r="T731" s="1054"/>
      <c r="U731" s="1054"/>
      <c r="V731" s="1054"/>
      <c r="W731" s="1054"/>
      <c r="X731" s="1054"/>
      <c r="Y731" s="1054"/>
      <c r="Z731" s="1054"/>
      <c r="AA731" s="1054"/>
      <c r="AB731" s="1054"/>
      <c r="AC731" s="1054"/>
      <c r="AD731" s="1054"/>
      <c r="AE731" s="1054"/>
      <c r="AF731" s="1072" t="str">
        <f>+IF('Támogatási Nyilatkozatok_all'!C652="","",'Támogatási Nyilatkozatok_all'!C652)</f>
        <v/>
      </c>
      <c r="AG731" s="1072"/>
      <c r="AH731" s="1072"/>
      <c r="AI731" s="1072"/>
      <c r="AJ731" s="1072"/>
      <c r="AK731" s="1072"/>
      <c r="AL731" s="1072"/>
      <c r="AM731" s="1072"/>
      <c r="AN731" s="1072"/>
      <c r="AO731" s="1072"/>
      <c r="AP731" s="1072"/>
      <c r="AQ731" s="1072"/>
      <c r="AR731" s="1072"/>
      <c r="AS731" s="1072"/>
      <c r="AT731" s="1072"/>
      <c r="AU731" s="1072"/>
      <c r="AV731" s="1072"/>
      <c r="AW731" s="1072"/>
      <c r="AX731" s="1072"/>
      <c r="AY731" s="1072"/>
      <c r="AZ731" s="1072"/>
      <c r="BA731" s="1072"/>
      <c r="BB731" s="1072"/>
      <c r="BC731" s="1072"/>
      <c r="BD731" s="1072"/>
      <c r="BE731" s="1054"/>
      <c r="BF731" s="1054"/>
      <c r="BG731" s="1056"/>
    </row>
    <row r="732" spans="1:59" x14ac:dyDescent="0.15">
      <c r="A732" s="1050"/>
      <c r="B732" s="1064"/>
      <c r="C732" s="1054"/>
      <c r="D732" s="1054"/>
      <c r="E732" s="1054"/>
      <c r="F732" s="1054"/>
      <c r="G732" s="1054"/>
      <c r="H732" s="1054"/>
      <c r="I732" s="1054"/>
      <c r="J732" s="1054"/>
      <c r="K732" s="1054"/>
      <c r="L732" s="1054"/>
      <c r="M732" s="1054"/>
      <c r="N732" s="1054"/>
      <c r="O732" s="1054"/>
      <c r="P732" s="1054"/>
      <c r="Q732" s="1054"/>
      <c r="R732" s="1054"/>
      <c r="S732" s="1054"/>
      <c r="T732" s="1054"/>
      <c r="U732" s="1054"/>
      <c r="V732" s="1054"/>
      <c r="W732" s="1054"/>
      <c r="X732" s="1054"/>
      <c r="Y732" s="1054"/>
      <c r="Z732" s="1054"/>
      <c r="AA732" s="1054"/>
      <c r="AB732" s="1054"/>
      <c r="AC732" s="1054"/>
      <c r="AD732" s="1054"/>
      <c r="AE732" s="1054"/>
      <c r="AF732" s="1054"/>
      <c r="AG732" s="1054"/>
      <c r="AH732" s="1054"/>
      <c r="AI732" s="1054"/>
      <c r="AJ732" s="1054"/>
      <c r="AK732" s="1054"/>
      <c r="AL732" s="1054"/>
      <c r="AM732" s="1054"/>
      <c r="AN732" s="1054"/>
      <c r="AO732" s="1054"/>
      <c r="AP732" s="1054"/>
      <c r="AQ732" s="1054"/>
      <c r="AR732" s="1054"/>
      <c r="AS732" s="1054"/>
      <c r="AT732" s="1054"/>
      <c r="AU732" s="1054"/>
      <c r="AV732" s="1054"/>
      <c r="AW732" s="1054"/>
      <c r="AX732" s="1054"/>
      <c r="AY732" s="1054"/>
      <c r="AZ732" s="1054"/>
      <c r="BA732" s="1054"/>
      <c r="BB732" s="1054"/>
      <c r="BC732" s="1054"/>
      <c r="BD732" s="1054"/>
      <c r="BE732" s="1054"/>
      <c r="BF732" s="1054"/>
      <c r="BG732" s="1056"/>
    </row>
    <row r="733" spans="1:59" x14ac:dyDescent="0.15">
      <c r="A733" s="1050"/>
      <c r="B733" s="1064"/>
      <c r="C733" s="1054"/>
      <c r="D733" s="1054"/>
      <c r="E733" s="1054"/>
      <c r="F733" s="1054"/>
      <c r="G733" s="1054"/>
      <c r="H733" s="1054"/>
      <c r="I733" s="1054"/>
      <c r="J733" s="1054"/>
      <c r="K733" s="1054"/>
      <c r="L733" s="1054"/>
      <c r="M733" s="1054"/>
      <c r="N733" s="1054"/>
      <c r="O733" s="1054"/>
      <c r="P733" s="1054"/>
      <c r="Q733" s="1054"/>
      <c r="R733" s="1054"/>
      <c r="S733" s="1054"/>
      <c r="T733" s="1054"/>
      <c r="U733" s="1054"/>
      <c r="V733" s="1054"/>
      <c r="W733" s="1054"/>
      <c r="X733" s="1054"/>
      <c r="Y733" s="1054"/>
      <c r="Z733" s="1054"/>
      <c r="AA733" s="1054"/>
      <c r="AB733" s="1054"/>
      <c r="AC733" s="1054"/>
      <c r="AD733" s="1054"/>
      <c r="AE733" s="1054"/>
      <c r="AF733" s="1054"/>
      <c r="AG733" s="1054"/>
      <c r="AH733" s="1054"/>
      <c r="AI733" s="1054"/>
      <c r="AJ733" s="1054"/>
      <c r="AK733" s="1054"/>
      <c r="AL733" s="1054"/>
      <c r="AM733" s="1054"/>
      <c r="AN733" s="1054"/>
      <c r="AO733" s="1054"/>
      <c r="AP733" s="1054"/>
      <c r="AQ733" s="1054"/>
      <c r="AR733" s="1054"/>
      <c r="AS733" s="1054"/>
      <c r="AT733" s="1054"/>
      <c r="AU733" s="1054"/>
      <c r="AV733" s="1054"/>
      <c r="AW733" s="1054"/>
      <c r="AX733" s="1054"/>
      <c r="AY733" s="1054"/>
      <c r="AZ733" s="1054"/>
      <c r="BA733" s="1054"/>
      <c r="BB733" s="1054"/>
      <c r="BC733" s="1054"/>
      <c r="BD733" s="1054"/>
      <c r="BE733" s="1054"/>
      <c r="BF733" s="1054"/>
      <c r="BG733" s="1056"/>
    </row>
    <row r="734" spans="1:59" x14ac:dyDescent="0.15">
      <c r="A734" s="1050"/>
      <c r="B734" s="1064"/>
      <c r="C734" s="1054"/>
      <c r="D734" s="1054"/>
      <c r="E734" s="1054" t="s">
        <v>797</v>
      </c>
      <c r="F734" s="1054"/>
      <c r="G734" s="1054"/>
      <c r="H734" s="1054"/>
      <c r="I734" s="1054"/>
      <c r="J734" s="1054"/>
      <c r="K734" s="1054"/>
      <c r="L734" s="1054"/>
      <c r="M734" s="1054"/>
      <c r="N734" s="1054"/>
      <c r="O734" s="1054"/>
      <c r="P734" s="1054"/>
      <c r="Q734" s="1054"/>
      <c r="R734" s="1054"/>
      <c r="S734" s="1054"/>
      <c r="T734" s="1054"/>
      <c r="U734" s="1054"/>
      <c r="V734" s="1054"/>
      <c r="W734" s="1054"/>
      <c r="X734" s="1054"/>
      <c r="Y734" s="1054"/>
      <c r="Z734" s="1054"/>
      <c r="AA734" s="1054"/>
      <c r="AB734" s="1054"/>
      <c r="AC734" s="1054"/>
      <c r="AD734" s="1054"/>
      <c r="AE734" s="1054"/>
      <c r="AF734" s="1054"/>
      <c r="AG734" s="1054"/>
      <c r="AH734" s="1054"/>
      <c r="AI734" s="1054"/>
      <c r="AJ734" s="1054"/>
      <c r="AK734" s="1054"/>
      <c r="AL734" s="1054"/>
      <c r="AM734" s="1054"/>
      <c r="AN734" s="1054"/>
      <c r="AO734" s="1054"/>
      <c r="AP734" s="1054"/>
      <c r="AQ734" s="1054"/>
      <c r="AR734" s="1054"/>
      <c r="AS734" s="1054"/>
      <c r="AT734" s="1054"/>
      <c r="AU734" s="1054"/>
      <c r="AV734" s="1054"/>
      <c r="AW734" s="1054"/>
      <c r="AX734" s="1054"/>
      <c r="AY734" s="1054"/>
      <c r="AZ734" s="1054"/>
      <c r="BA734" s="1054"/>
      <c r="BB734" s="1054"/>
      <c r="BC734" s="1054"/>
      <c r="BD734" s="1054"/>
      <c r="BE734" s="1054"/>
      <c r="BF734" s="1054"/>
      <c r="BG734" s="1056"/>
    </row>
    <row r="735" spans="1:59" x14ac:dyDescent="0.15">
      <c r="A735" s="1050"/>
      <c r="B735" s="1064"/>
      <c r="C735" s="1054"/>
      <c r="D735" s="1054"/>
      <c r="E735" s="1054" t="s">
        <v>798</v>
      </c>
      <c r="F735" s="1054"/>
      <c r="G735" s="1054"/>
      <c r="H735" s="1054"/>
      <c r="I735" s="1054"/>
      <c r="J735" s="1054"/>
      <c r="K735" s="1054"/>
      <c r="L735" s="1054"/>
      <c r="M735" s="1054"/>
      <c r="N735" s="1054"/>
      <c r="O735" s="1054"/>
      <c r="P735" s="1054"/>
      <c r="Q735" s="1054"/>
      <c r="R735" s="1054"/>
      <c r="S735" s="1054"/>
      <c r="T735" s="1054"/>
      <c r="U735" s="1054"/>
      <c r="V735" s="1054"/>
      <c r="W735" s="1054"/>
      <c r="X735" s="1054"/>
      <c r="Y735" s="1054"/>
      <c r="Z735" s="1054"/>
      <c r="AA735" s="1054"/>
      <c r="AB735" s="1054"/>
      <c r="AC735" s="1054"/>
      <c r="AD735" s="1054"/>
      <c r="AE735" s="1054"/>
      <c r="AF735" s="1054"/>
      <c r="AG735" s="1054"/>
      <c r="AH735" s="1054"/>
      <c r="AI735" s="1054"/>
      <c r="AJ735" s="1054"/>
      <c r="AK735" s="1054"/>
      <c r="AL735" s="1054"/>
      <c r="AM735" s="1054"/>
      <c r="AN735" s="1054"/>
      <c r="AO735" s="1054"/>
      <c r="AP735" s="1054"/>
      <c r="AQ735" s="1054"/>
      <c r="AR735" s="1054"/>
      <c r="AS735" s="1054"/>
      <c r="AT735" s="1054"/>
      <c r="AU735" s="1054"/>
      <c r="AV735" s="1054"/>
      <c r="AW735" s="1054"/>
      <c r="AX735" s="1054"/>
      <c r="AY735" s="1054"/>
      <c r="AZ735" s="1054"/>
      <c r="BA735" s="1054"/>
      <c r="BB735" s="1054"/>
      <c r="BC735" s="1054"/>
      <c r="BD735" s="1054"/>
      <c r="BE735" s="1054"/>
      <c r="BF735" s="1054"/>
      <c r="BG735" s="1056"/>
    </row>
    <row r="736" spans="1:59" x14ac:dyDescent="0.15">
      <c r="A736" s="1050"/>
      <c r="B736" s="1064"/>
      <c r="C736" s="1054"/>
      <c r="D736" s="1054"/>
      <c r="E736" s="1054"/>
      <c r="F736" s="1054"/>
      <c r="G736" s="1054"/>
      <c r="H736" s="1054"/>
      <c r="I736" s="1054"/>
      <c r="J736" s="1054"/>
      <c r="K736" s="1054"/>
      <c r="L736" s="1054"/>
      <c r="M736" s="1054"/>
      <c r="N736" s="1054"/>
      <c r="O736" s="1054"/>
      <c r="P736" s="1054"/>
      <c r="Q736" s="1054"/>
      <c r="R736" s="1054"/>
      <c r="S736" s="1054"/>
      <c r="T736" s="1054"/>
      <c r="U736" s="1054"/>
      <c r="V736" s="1054"/>
      <c r="W736" s="1054"/>
      <c r="X736" s="1054"/>
      <c r="Y736" s="1054"/>
      <c r="Z736" s="1054"/>
      <c r="AA736" s="1054"/>
      <c r="AB736" s="1054"/>
      <c r="AC736" s="1054"/>
      <c r="AD736" s="1054"/>
      <c r="AE736" s="1054"/>
      <c r="AF736" s="1054"/>
      <c r="AG736" s="1054"/>
      <c r="AH736" s="1054"/>
      <c r="AI736" s="1054"/>
      <c r="AJ736" s="1054"/>
      <c r="AK736" s="1054"/>
      <c r="AL736" s="1054"/>
      <c r="AM736" s="1054"/>
      <c r="AN736" s="1054"/>
      <c r="AO736" s="1054"/>
      <c r="AP736" s="1054"/>
      <c r="AQ736" s="1054"/>
      <c r="AR736" s="1054"/>
      <c r="AS736" s="1054"/>
      <c r="AT736" s="1054"/>
      <c r="AU736" s="1054"/>
      <c r="AV736" s="1054"/>
      <c r="AW736" s="1054"/>
      <c r="AX736" s="1054"/>
      <c r="AY736" s="1054"/>
      <c r="AZ736" s="1054"/>
      <c r="BA736" s="1054"/>
      <c r="BB736" s="1054"/>
      <c r="BC736" s="1054"/>
      <c r="BD736" s="1054"/>
      <c r="BE736" s="1054"/>
      <c r="BF736" s="1054"/>
      <c r="BG736" s="1056"/>
    </row>
    <row r="737" spans="1:59" x14ac:dyDescent="0.15">
      <c r="A737" s="1050"/>
      <c r="B737" s="1064"/>
      <c r="C737" s="1055"/>
      <c r="D737" s="1055"/>
      <c r="E737" s="1055" t="s">
        <v>799</v>
      </c>
      <c r="F737" s="1055"/>
      <c r="G737" s="1055"/>
      <c r="H737" s="1055"/>
      <c r="I737" s="1055"/>
      <c r="J737" s="1747"/>
      <c r="K737" s="1747"/>
      <c r="L737" s="1747"/>
      <c r="M737" s="1747"/>
      <c r="N737" s="1747"/>
      <c r="O737" s="1747"/>
      <c r="P737" s="1747"/>
      <c r="Q737" s="1747"/>
      <c r="R737" s="1747"/>
      <c r="S737" s="1747"/>
      <c r="T737" s="1747"/>
      <c r="U737" s="1747"/>
      <c r="V737" s="1747"/>
      <c r="W737" s="1747"/>
      <c r="X737" s="1747"/>
      <c r="Y737" s="1747"/>
      <c r="Z737" s="1747"/>
      <c r="AA737" s="1747"/>
      <c r="AB737" s="1747"/>
      <c r="AC737" s="1055"/>
      <c r="AD737" s="1055"/>
      <c r="AE737" s="1055"/>
      <c r="AF737" s="1055" t="s">
        <v>800</v>
      </c>
      <c r="AG737" s="1055"/>
      <c r="AH737" s="1055"/>
      <c r="AI737" s="1055"/>
      <c r="AJ737" s="1747"/>
      <c r="AK737" s="1747"/>
      <c r="AL737" s="1747"/>
      <c r="AM737" s="1747"/>
      <c r="AN737" s="1747"/>
      <c r="AO737" s="1747"/>
      <c r="AP737" s="1747"/>
      <c r="AQ737" s="1747"/>
      <c r="AR737" s="1747"/>
      <c r="AS737" s="1747"/>
      <c r="AT737" s="1747"/>
      <c r="AU737" s="1747"/>
      <c r="AV737" s="1747"/>
      <c r="AW737" s="1747"/>
      <c r="AX737" s="1747"/>
      <c r="AY737" s="1747"/>
      <c r="AZ737" s="1747"/>
      <c r="BA737" s="1747"/>
      <c r="BB737" s="1747"/>
      <c r="BC737" s="1055"/>
      <c r="BD737" s="1055"/>
      <c r="BE737" s="1055"/>
      <c r="BF737" s="1055"/>
      <c r="BG737" s="1056"/>
    </row>
    <row r="738" spans="1:59" x14ac:dyDescent="0.15">
      <c r="A738" s="1050"/>
      <c r="B738" s="1064"/>
      <c r="C738" s="1055"/>
      <c r="D738" s="1055"/>
      <c r="E738" s="1055"/>
      <c r="F738" s="1055"/>
      <c r="G738" s="1055"/>
      <c r="H738" s="1055"/>
      <c r="I738" s="1055"/>
      <c r="J738" s="1055"/>
      <c r="K738" s="1055"/>
      <c r="L738" s="1055"/>
      <c r="M738" s="1055"/>
      <c r="N738" s="1746" t="s">
        <v>315</v>
      </c>
      <c r="O738" s="1746"/>
      <c r="P738" s="1746"/>
      <c r="Q738" s="1746"/>
      <c r="R738" s="1746"/>
      <c r="S738" s="1746"/>
      <c r="T738" s="1746"/>
      <c r="U738" s="1746"/>
      <c r="V738" s="1746"/>
      <c r="W738" s="1746"/>
      <c r="X738" s="1746"/>
      <c r="Y738" s="1055"/>
      <c r="Z738" s="1055"/>
      <c r="AA738" s="1055"/>
      <c r="AB738" s="1055"/>
      <c r="AC738" s="1055"/>
      <c r="AD738" s="1055"/>
      <c r="AE738" s="1055"/>
      <c r="AF738" s="1055"/>
      <c r="AG738" s="1055"/>
      <c r="AH738" s="1055"/>
      <c r="AI738" s="1055"/>
      <c r="AJ738" s="1055"/>
      <c r="AK738" s="1055"/>
      <c r="AL738" s="1055"/>
      <c r="AM738" s="1055"/>
      <c r="AN738" s="1746" t="s">
        <v>315</v>
      </c>
      <c r="AO738" s="1746"/>
      <c r="AP738" s="1746"/>
      <c r="AQ738" s="1746"/>
      <c r="AR738" s="1746"/>
      <c r="AS738" s="1746"/>
      <c r="AT738" s="1746"/>
      <c r="AU738" s="1746"/>
      <c r="AV738" s="1746"/>
      <c r="AW738" s="1746"/>
      <c r="AX738" s="1746"/>
      <c r="AY738" s="1055"/>
      <c r="AZ738" s="1055"/>
      <c r="BA738" s="1055"/>
      <c r="BB738" s="1055"/>
      <c r="BC738" s="1055"/>
      <c r="BD738" s="1055"/>
      <c r="BE738" s="1055"/>
      <c r="BF738" s="1055"/>
      <c r="BG738" s="1056"/>
    </row>
    <row r="739" spans="1:59" x14ac:dyDescent="0.15">
      <c r="A739" s="1050"/>
      <c r="B739" s="1064"/>
      <c r="C739" s="1055"/>
      <c r="D739" s="1055"/>
      <c r="E739" s="1055"/>
      <c r="F739" s="1055"/>
      <c r="G739" s="1055"/>
      <c r="H739" s="1055"/>
      <c r="I739" s="1055"/>
      <c r="J739" s="1055"/>
      <c r="K739" s="1055"/>
      <c r="L739" s="1055"/>
      <c r="M739" s="1055"/>
      <c r="N739" s="1055"/>
      <c r="O739" s="1055"/>
      <c r="P739" s="1055"/>
      <c r="Q739" s="1055"/>
      <c r="R739" s="1055"/>
      <c r="S739" s="1055"/>
      <c r="T739" s="1055"/>
      <c r="U739" s="1055"/>
      <c r="V739" s="1055"/>
      <c r="W739" s="1055"/>
      <c r="X739" s="1055"/>
      <c r="Y739" s="1055"/>
      <c r="Z739" s="1055"/>
      <c r="AA739" s="1055"/>
      <c r="AB739" s="1055"/>
      <c r="AC739" s="1055"/>
      <c r="AD739" s="1055"/>
      <c r="AE739" s="1055"/>
      <c r="AF739" s="1055"/>
      <c r="AG739" s="1055"/>
      <c r="AH739" s="1055"/>
      <c r="AI739" s="1055"/>
      <c r="AJ739" s="1055"/>
      <c r="AK739" s="1055"/>
      <c r="AL739" s="1055"/>
      <c r="AM739" s="1055"/>
      <c r="AN739" s="1055"/>
      <c r="AO739" s="1055"/>
      <c r="AP739" s="1055"/>
      <c r="AQ739" s="1055"/>
      <c r="AR739" s="1055"/>
      <c r="AS739" s="1055"/>
      <c r="AT739" s="1055"/>
      <c r="AU739" s="1055"/>
      <c r="AV739" s="1055"/>
      <c r="AW739" s="1055"/>
      <c r="AX739" s="1055"/>
      <c r="AY739" s="1055"/>
      <c r="AZ739" s="1055"/>
      <c r="BA739" s="1055"/>
      <c r="BB739" s="1055"/>
      <c r="BC739" s="1055"/>
      <c r="BD739" s="1055"/>
      <c r="BE739" s="1055"/>
      <c r="BF739" s="1055"/>
      <c r="BG739" s="1056"/>
    </row>
    <row r="740" spans="1:59" x14ac:dyDescent="0.15">
      <c r="A740" s="1050"/>
      <c r="B740" s="1064"/>
      <c r="C740" s="1055"/>
      <c r="D740" s="1055"/>
      <c r="E740" s="1055"/>
      <c r="F740" s="1055"/>
      <c r="G740" s="1055"/>
      <c r="H740" s="1055"/>
      <c r="I740" s="1055"/>
      <c r="J740" s="1055"/>
      <c r="K740" s="1055"/>
      <c r="L740" s="1055"/>
      <c r="M740" s="1055"/>
      <c r="N740" s="1055"/>
      <c r="O740" s="1055"/>
      <c r="P740" s="1055"/>
      <c r="Q740" s="1055"/>
      <c r="R740" s="1055"/>
      <c r="S740" s="1055"/>
      <c r="T740" s="1055"/>
      <c r="U740" s="1055"/>
      <c r="V740" s="1055"/>
      <c r="W740" s="1055"/>
      <c r="X740" s="1055"/>
      <c r="Y740" s="1055"/>
      <c r="Z740" s="1055"/>
      <c r="AA740" s="1055"/>
      <c r="AB740" s="1055"/>
      <c r="AC740" s="1055"/>
      <c r="AD740" s="1055"/>
      <c r="AE740" s="1055"/>
      <c r="AF740" s="1055"/>
      <c r="AG740" s="1055"/>
      <c r="AH740" s="1055"/>
      <c r="AI740" s="1055"/>
      <c r="AJ740" s="1055"/>
      <c r="AK740" s="1055"/>
      <c r="AL740" s="1055"/>
      <c r="AM740" s="1055"/>
      <c r="AN740" s="1055"/>
      <c r="AO740" s="1055"/>
      <c r="AP740" s="1055"/>
      <c r="AQ740" s="1055"/>
      <c r="AR740" s="1055"/>
      <c r="AS740" s="1055"/>
      <c r="AT740" s="1055"/>
      <c r="AU740" s="1055"/>
      <c r="AV740" s="1055"/>
      <c r="AW740" s="1055"/>
      <c r="AX740" s="1055"/>
      <c r="AY740" s="1055"/>
      <c r="AZ740" s="1055"/>
      <c r="BA740" s="1055"/>
      <c r="BB740" s="1055"/>
      <c r="BC740" s="1055"/>
      <c r="BD740" s="1055"/>
      <c r="BE740" s="1055"/>
      <c r="BF740" s="1055"/>
      <c r="BG740" s="1056"/>
    </row>
    <row r="741" spans="1:59" x14ac:dyDescent="0.15">
      <c r="A741" s="1050"/>
      <c r="B741" s="1064"/>
      <c r="C741" s="1055"/>
      <c r="D741" s="1055"/>
      <c r="E741" s="1055"/>
      <c r="F741" s="1055"/>
      <c r="G741" s="1055"/>
      <c r="H741" s="1055"/>
      <c r="I741" s="1055"/>
      <c r="J741" s="1747"/>
      <c r="K741" s="1747"/>
      <c r="L741" s="1747"/>
      <c r="M741" s="1747"/>
      <c r="N741" s="1747"/>
      <c r="O741" s="1747"/>
      <c r="P741" s="1747"/>
      <c r="Q741" s="1747"/>
      <c r="R741" s="1747"/>
      <c r="S741" s="1747"/>
      <c r="T741" s="1747"/>
      <c r="U741" s="1747"/>
      <c r="V741" s="1747"/>
      <c r="W741" s="1747"/>
      <c r="X741" s="1747"/>
      <c r="Y741" s="1747"/>
      <c r="Z741" s="1747"/>
      <c r="AA741" s="1747"/>
      <c r="AB741" s="1747"/>
      <c r="AC741" s="1055"/>
      <c r="AD741" s="1055"/>
      <c r="AE741" s="1055"/>
      <c r="AF741" s="1055"/>
      <c r="AG741" s="1055"/>
      <c r="AH741" s="1055"/>
      <c r="AI741" s="1055"/>
      <c r="AJ741" s="1747"/>
      <c r="AK741" s="1747"/>
      <c r="AL741" s="1747"/>
      <c r="AM741" s="1747"/>
      <c r="AN741" s="1747"/>
      <c r="AO741" s="1747"/>
      <c r="AP741" s="1747"/>
      <c r="AQ741" s="1747"/>
      <c r="AR741" s="1747"/>
      <c r="AS741" s="1747"/>
      <c r="AT741" s="1747"/>
      <c r="AU741" s="1747"/>
      <c r="AV741" s="1747"/>
      <c r="AW741" s="1747"/>
      <c r="AX741" s="1747"/>
      <c r="AY741" s="1747"/>
      <c r="AZ741" s="1747"/>
      <c r="BA741" s="1747"/>
      <c r="BB741" s="1747"/>
      <c r="BC741" s="1055"/>
      <c r="BD741" s="1055"/>
      <c r="BE741" s="1055"/>
      <c r="BF741" s="1055"/>
      <c r="BG741" s="1056"/>
    </row>
    <row r="742" spans="1:59" x14ac:dyDescent="0.15">
      <c r="A742" s="1050"/>
      <c r="B742" s="1064"/>
      <c r="C742" s="1055"/>
      <c r="D742" s="1055"/>
      <c r="E742" s="1055"/>
      <c r="F742" s="1055"/>
      <c r="G742" s="1055"/>
      <c r="H742" s="1055"/>
      <c r="I742" s="1055"/>
      <c r="J742" s="1055"/>
      <c r="K742" s="1055"/>
      <c r="L742" s="1055"/>
      <c r="M742" s="1055"/>
      <c r="N742" s="1746" t="s">
        <v>316</v>
      </c>
      <c r="O742" s="1746"/>
      <c r="P742" s="1746"/>
      <c r="Q742" s="1746"/>
      <c r="R742" s="1746"/>
      <c r="S742" s="1746"/>
      <c r="T742" s="1746"/>
      <c r="U742" s="1746"/>
      <c r="V742" s="1746"/>
      <c r="W742" s="1746"/>
      <c r="X742" s="1746"/>
      <c r="Y742" s="1055"/>
      <c r="Z742" s="1055"/>
      <c r="AA742" s="1055"/>
      <c r="AB742" s="1055"/>
      <c r="AC742" s="1055"/>
      <c r="AD742" s="1055"/>
      <c r="AE742" s="1055"/>
      <c r="AF742" s="1055"/>
      <c r="AG742" s="1055"/>
      <c r="AH742" s="1055"/>
      <c r="AI742" s="1055"/>
      <c r="AJ742" s="1055"/>
      <c r="AK742" s="1055"/>
      <c r="AL742" s="1055"/>
      <c r="AM742" s="1055"/>
      <c r="AN742" s="1746" t="s">
        <v>316</v>
      </c>
      <c r="AO742" s="1746"/>
      <c r="AP742" s="1746"/>
      <c r="AQ742" s="1746"/>
      <c r="AR742" s="1746"/>
      <c r="AS742" s="1746"/>
      <c r="AT742" s="1746"/>
      <c r="AU742" s="1746"/>
      <c r="AV742" s="1746"/>
      <c r="AW742" s="1746"/>
      <c r="AX742" s="1746"/>
      <c r="AY742" s="1055"/>
      <c r="AZ742" s="1055"/>
      <c r="BA742" s="1055"/>
      <c r="BB742" s="1055"/>
      <c r="BC742" s="1055"/>
      <c r="BD742" s="1055"/>
      <c r="BE742" s="1055"/>
      <c r="BF742" s="1055"/>
      <c r="BG742" s="1056"/>
    </row>
    <row r="743" spans="1:59" x14ac:dyDescent="0.15">
      <c r="A743" s="1050"/>
      <c r="B743" s="1064"/>
      <c r="C743" s="1055"/>
      <c r="D743" s="1055"/>
      <c r="E743" s="1055"/>
      <c r="F743" s="1055"/>
      <c r="G743" s="1055"/>
      <c r="H743" s="1055"/>
      <c r="I743" s="1055"/>
      <c r="J743" s="1055"/>
      <c r="K743" s="1055"/>
      <c r="L743" s="1055"/>
      <c r="M743" s="1055"/>
      <c r="N743" s="1055"/>
      <c r="O743" s="1055"/>
      <c r="P743" s="1055"/>
      <c r="Q743" s="1055"/>
      <c r="R743" s="1055"/>
      <c r="S743" s="1055"/>
      <c r="T743" s="1055"/>
      <c r="U743" s="1055"/>
      <c r="V743" s="1055"/>
      <c r="W743" s="1055"/>
      <c r="X743" s="1055"/>
      <c r="Y743" s="1055"/>
      <c r="Z743" s="1055"/>
      <c r="AA743" s="1055"/>
      <c r="AB743" s="1055"/>
      <c r="AC743" s="1055"/>
      <c r="AD743" s="1055"/>
      <c r="AE743" s="1055"/>
      <c r="AF743" s="1055"/>
      <c r="AG743" s="1055"/>
      <c r="AH743" s="1055"/>
      <c r="AI743" s="1055"/>
      <c r="AJ743" s="1055"/>
      <c r="AK743" s="1055"/>
      <c r="AL743" s="1055"/>
      <c r="AM743" s="1055"/>
      <c r="AN743" s="1055"/>
      <c r="AO743" s="1055"/>
      <c r="AP743" s="1055"/>
      <c r="AQ743" s="1055"/>
      <c r="AR743" s="1055"/>
      <c r="AS743" s="1055"/>
      <c r="AT743" s="1055"/>
      <c r="AU743" s="1055"/>
      <c r="AV743" s="1055"/>
      <c r="AW743" s="1055"/>
      <c r="AX743" s="1055"/>
      <c r="AY743" s="1055"/>
      <c r="AZ743" s="1055"/>
      <c r="BA743" s="1055"/>
      <c r="BB743" s="1055"/>
      <c r="BC743" s="1055"/>
      <c r="BD743" s="1055"/>
      <c r="BE743" s="1055"/>
      <c r="BF743" s="1055"/>
      <c r="BG743" s="1056"/>
    </row>
    <row r="744" spans="1:59" x14ac:dyDescent="0.15">
      <c r="A744" s="1050"/>
      <c r="B744" s="1064"/>
      <c r="C744" s="1055"/>
      <c r="D744" s="1055"/>
      <c r="E744" s="1055"/>
      <c r="F744" s="1055"/>
      <c r="G744" s="1055"/>
      <c r="H744" s="1055"/>
      <c r="I744" s="1055"/>
      <c r="J744" s="1055"/>
      <c r="K744" s="1055"/>
      <c r="L744" s="1055"/>
      <c r="M744" s="1055"/>
      <c r="N744" s="1055"/>
      <c r="O744" s="1055"/>
      <c r="P744" s="1055"/>
      <c r="Q744" s="1055"/>
      <c r="R744" s="1055"/>
      <c r="S744" s="1055"/>
      <c r="T744" s="1055"/>
      <c r="U744" s="1055"/>
      <c r="V744" s="1055"/>
      <c r="W744" s="1055"/>
      <c r="X744" s="1055"/>
      <c r="Y744" s="1055"/>
      <c r="Z744" s="1055"/>
      <c r="AA744" s="1055"/>
      <c r="AB744" s="1055"/>
      <c r="AC744" s="1055"/>
      <c r="AD744" s="1055"/>
      <c r="AE744" s="1055"/>
      <c r="AF744" s="1055"/>
      <c r="AG744" s="1055"/>
      <c r="AH744" s="1055"/>
      <c r="AI744" s="1055"/>
      <c r="AJ744" s="1055"/>
      <c r="AK744" s="1055"/>
      <c r="AL744" s="1055"/>
      <c r="AM744" s="1055"/>
      <c r="AN744" s="1055"/>
      <c r="AO744" s="1055"/>
      <c r="AP744" s="1055"/>
      <c r="AQ744" s="1055"/>
      <c r="AR744" s="1055"/>
      <c r="AS744" s="1055"/>
      <c r="AT744" s="1055"/>
      <c r="AU744" s="1055"/>
      <c r="AV744" s="1055"/>
      <c r="AW744" s="1055"/>
      <c r="AX744" s="1055"/>
      <c r="AY744" s="1055"/>
      <c r="AZ744" s="1055"/>
      <c r="BA744" s="1055"/>
      <c r="BB744" s="1055"/>
      <c r="BC744" s="1055"/>
      <c r="BD744" s="1055"/>
      <c r="BE744" s="1055"/>
      <c r="BF744" s="1055"/>
      <c r="BG744" s="1056"/>
    </row>
    <row r="745" spans="1:59" x14ac:dyDescent="0.15">
      <c r="A745" s="1050"/>
      <c r="B745" s="1064"/>
      <c r="C745" s="1055"/>
      <c r="D745" s="1055"/>
      <c r="E745" s="1055"/>
      <c r="F745" s="1055"/>
      <c r="G745" s="1055"/>
      <c r="H745" s="1055"/>
      <c r="I745" s="1055"/>
      <c r="J745" s="1747"/>
      <c r="K745" s="1747"/>
      <c r="L745" s="1747"/>
      <c r="M745" s="1747"/>
      <c r="N745" s="1747"/>
      <c r="O745" s="1747"/>
      <c r="P745" s="1747"/>
      <c r="Q745" s="1747"/>
      <c r="R745" s="1747"/>
      <c r="S745" s="1747"/>
      <c r="T745" s="1747"/>
      <c r="U745" s="1747"/>
      <c r="V745" s="1747"/>
      <c r="W745" s="1747"/>
      <c r="X745" s="1747"/>
      <c r="Y745" s="1747"/>
      <c r="Z745" s="1747"/>
      <c r="AA745" s="1747"/>
      <c r="AB745" s="1747"/>
      <c r="AC745" s="1055"/>
      <c r="AD745" s="1055"/>
      <c r="AE745" s="1055"/>
      <c r="AF745" s="1055"/>
      <c r="AG745" s="1055"/>
      <c r="AH745" s="1055"/>
      <c r="AI745" s="1055"/>
      <c r="AJ745" s="1747"/>
      <c r="AK745" s="1747"/>
      <c r="AL745" s="1747"/>
      <c r="AM745" s="1747"/>
      <c r="AN745" s="1747"/>
      <c r="AO745" s="1747"/>
      <c r="AP745" s="1747"/>
      <c r="AQ745" s="1747"/>
      <c r="AR745" s="1747"/>
      <c r="AS745" s="1747"/>
      <c r="AT745" s="1747"/>
      <c r="AU745" s="1747"/>
      <c r="AV745" s="1747"/>
      <c r="AW745" s="1747"/>
      <c r="AX745" s="1747"/>
      <c r="AY745" s="1747"/>
      <c r="AZ745" s="1747"/>
      <c r="BA745" s="1747"/>
      <c r="BB745" s="1747"/>
      <c r="BC745" s="1055"/>
      <c r="BD745" s="1055"/>
      <c r="BE745" s="1055"/>
      <c r="BF745" s="1055"/>
      <c r="BG745" s="1056"/>
    </row>
    <row r="746" spans="1:59" x14ac:dyDescent="0.15">
      <c r="A746" s="1050"/>
      <c r="B746" s="1064"/>
      <c r="C746" s="1055"/>
      <c r="D746" s="1055"/>
      <c r="E746" s="1055"/>
      <c r="F746" s="1055"/>
      <c r="G746" s="1055"/>
      <c r="H746" s="1055"/>
      <c r="I746" s="1055"/>
      <c r="J746" s="1055"/>
      <c r="K746" s="1055"/>
      <c r="L746" s="1055"/>
      <c r="M746" s="1055"/>
      <c r="N746" s="1746" t="s">
        <v>801</v>
      </c>
      <c r="O746" s="1746"/>
      <c r="P746" s="1746"/>
      <c r="Q746" s="1746"/>
      <c r="R746" s="1746"/>
      <c r="S746" s="1746"/>
      <c r="T746" s="1746"/>
      <c r="U746" s="1746"/>
      <c r="V746" s="1746"/>
      <c r="W746" s="1746"/>
      <c r="X746" s="1746"/>
      <c r="Y746" s="1055"/>
      <c r="Z746" s="1055"/>
      <c r="AA746" s="1055"/>
      <c r="AB746" s="1055"/>
      <c r="AC746" s="1055"/>
      <c r="AD746" s="1055"/>
      <c r="AE746" s="1055"/>
      <c r="AF746" s="1055"/>
      <c r="AG746" s="1055"/>
      <c r="AH746" s="1055"/>
      <c r="AI746" s="1055"/>
      <c r="AJ746" s="1055"/>
      <c r="AK746" s="1055"/>
      <c r="AL746" s="1055"/>
      <c r="AM746" s="1055"/>
      <c r="AN746" s="1746" t="s">
        <v>801</v>
      </c>
      <c r="AO746" s="1746"/>
      <c r="AP746" s="1746"/>
      <c r="AQ746" s="1746"/>
      <c r="AR746" s="1746"/>
      <c r="AS746" s="1746"/>
      <c r="AT746" s="1746"/>
      <c r="AU746" s="1746"/>
      <c r="AV746" s="1746"/>
      <c r="AW746" s="1746"/>
      <c r="AX746" s="1746"/>
      <c r="AY746" s="1055"/>
      <c r="AZ746" s="1055"/>
      <c r="BA746" s="1055"/>
      <c r="BB746" s="1055"/>
      <c r="BC746" s="1055"/>
      <c r="BD746" s="1055"/>
      <c r="BE746" s="1055"/>
      <c r="BF746" s="1055"/>
      <c r="BG746" s="1056"/>
    </row>
    <row r="747" spans="1:59" x14ac:dyDescent="0.15">
      <c r="A747" s="1050"/>
      <c r="B747" s="1064"/>
      <c r="C747" s="1055"/>
      <c r="D747" s="1055"/>
      <c r="E747" s="1055"/>
      <c r="F747" s="1055"/>
      <c r="G747" s="1055"/>
      <c r="H747" s="1055"/>
      <c r="I747" s="1055"/>
      <c r="J747" s="1055"/>
      <c r="K747" s="1055"/>
      <c r="L747" s="1055"/>
      <c r="M747" s="1055"/>
      <c r="N747" s="1055"/>
      <c r="O747" s="1055"/>
      <c r="P747" s="1055"/>
      <c r="Q747" s="1055"/>
      <c r="R747" s="1055"/>
      <c r="S747" s="1055"/>
      <c r="T747" s="1055"/>
      <c r="U747" s="1055"/>
      <c r="V747" s="1055"/>
      <c r="W747" s="1055"/>
      <c r="X747" s="1055"/>
      <c r="Y747" s="1055"/>
      <c r="Z747" s="1055"/>
      <c r="AA747" s="1055"/>
      <c r="AB747" s="1055"/>
      <c r="AC747" s="1055"/>
      <c r="AD747" s="1055"/>
      <c r="AE747" s="1055"/>
      <c r="AF747" s="1055"/>
      <c r="AG747" s="1055"/>
      <c r="AH747" s="1055"/>
      <c r="AI747" s="1055"/>
      <c r="AJ747" s="1055"/>
      <c r="AK747" s="1055"/>
      <c r="AL747" s="1055"/>
      <c r="AM747" s="1055"/>
      <c r="AN747" s="1055"/>
      <c r="AO747" s="1055"/>
      <c r="AP747" s="1055"/>
      <c r="AQ747" s="1055"/>
      <c r="AR747" s="1055"/>
      <c r="AS747" s="1055"/>
      <c r="AT747" s="1055"/>
      <c r="AU747" s="1055"/>
      <c r="AV747" s="1055"/>
      <c r="AW747" s="1055"/>
      <c r="AX747" s="1055"/>
      <c r="AY747" s="1055"/>
      <c r="AZ747" s="1055"/>
      <c r="BA747" s="1055"/>
      <c r="BB747" s="1055"/>
      <c r="BC747" s="1055"/>
      <c r="BD747" s="1055"/>
      <c r="BE747" s="1055"/>
      <c r="BF747" s="1055"/>
      <c r="BG747" s="1056"/>
    </row>
    <row r="748" spans="1:59" x14ac:dyDescent="0.15">
      <c r="A748" s="1050"/>
      <c r="B748" s="1064"/>
      <c r="C748" s="1055"/>
      <c r="D748" s="1055"/>
      <c r="E748" s="1055"/>
      <c r="F748" s="1055"/>
      <c r="G748" s="1055"/>
      <c r="H748" s="1055"/>
      <c r="I748" s="1055"/>
      <c r="J748" s="1055"/>
      <c r="K748" s="1055"/>
      <c r="L748" s="1055"/>
      <c r="M748" s="1055"/>
      <c r="N748" s="1055"/>
      <c r="O748" s="1055"/>
      <c r="P748" s="1055"/>
      <c r="Q748" s="1055"/>
      <c r="R748" s="1055"/>
      <c r="S748" s="1055"/>
      <c r="T748" s="1055"/>
      <c r="U748" s="1055"/>
      <c r="V748" s="1055"/>
      <c r="W748" s="1055"/>
      <c r="X748" s="1055"/>
      <c r="Y748" s="1055"/>
      <c r="Z748" s="1055"/>
      <c r="AA748" s="1055"/>
      <c r="AB748" s="1055"/>
      <c r="AC748" s="1055"/>
      <c r="AD748" s="1055"/>
      <c r="AE748" s="1055"/>
      <c r="AF748" s="1055"/>
      <c r="AG748" s="1055"/>
      <c r="AH748" s="1055"/>
      <c r="AI748" s="1055"/>
      <c r="AJ748" s="1055"/>
      <c r="AK748" s="1055"/>
      <c r="AL748" s="1055"/>
      <c r="AM748" s="1055"/>
      <c r="AN748" s="1055"/>
      <c r="AO748" s="1055"/>
      <c r="AP748" s="1055"/>
      <c r="AQ748" s="1055"/>
      <c r="AR748" s="1055"/>
      <c r="AS748" s="1055"/>
      <c r="AT748" s="1055"/>
      <c r="AU748" s="1055"/>
      <c r="AV748" s="1055"/>
      <c r="AW748" s="1055"/>
      <c r="AX748" s="1055"/>
      <c r="AY748" s="1055"/>
      <c r="AZ748" s="1055"/>
      <c r="BA748" s="1055"/>
      <c r="BB748" s="1055"/>
      <c r="BC748" s="1055"/>
      <c r="BD748" s="1055"/>
      <c r="BE748" s="1055"/>
      <c r="BF748" s="1055"/>
      <c r="BG748" s="1056"/>
    </row>
    <row r="749" spans="1:59" x14ac:dyDescent="0.15">
      <c r="A749" s="1050"/>
      <c r="B749" s="1064"/>
      <c r="C749" s="1055"/>
      <c r="D749" s="1055"/>
      <c r="E749" s="1055"/>
      <c r="F749" s="1055"/>
      <c r="G749" s="1055"/>
      <c r="H749" s="1055"/>
      <c r="I749" s="1055"/>
      <c r="J749" s="1747"/>
      <c r="K749" s="1747"/>
      <c r="L749" s="1747"/>
      <c r="M749" s="1747"/>
      <c r="N749" s="1747"/>
      <c r="O749" s="1747"/>
      <c r="P749" s="1747"/>
      <c r="Q749" s="1747"/>
      <c r="R749" s="1747"/>
      <c r="S749" s="1747"/>
      <c r="T749" s="1747"/>
      <c r="U749" s="1747"/>
      <c r="V749" s="1747"/>
      <c r="W749" s="1747"/>
      <c r="X749" s="1747"/>
      <c r="Y749" s="1747"/>
      <c r="Z749" s="1747"/>
      <c r="AA749" s="1747"/>
      <c r="AB749" s="1747"/>
      <c r="AC749" s="1055"/>
      <c r="AD749" s="1055"/>
      <c r="AE749" s="1055"/>
      <c r="AF749" s="1055"/>
      <c r="AG749" s="1055"/>
      <c r="AH749" s="1055"/>
      <c r="AI749" s="1055"/>
      <c r="AJ749" s="1747"/>
      <c r="AK749" s="1747"/>
      <c r="AL749" s="1747"/>
      <c r="AM749" s="1747"/>
      <c r="AN749" s="1747"/>
      <c r="AO749" s="1747"/>
      <c r="AP749" s="1747"/>
      <c r="AQ749" s="1747"/>
      <c r="AR749" s="1747"/>
      <c r="AS749" s="1747"/>
      <c r="AT749" s="1747"/>
      <c r="AU749" s="1747"/>
      <c r="AV749" s="1747"/>
      <c r="AW749" s="1747"/>
      <c r="AX749" s="1747"/>
      <c r="AY749" s="1747"/>
      <c r="AZ749" s="1747"/>
      <c r="BA749" s="1747"/>
      <c r="BB749" s="1747"/>
      <c r="BC749" s="1055"/>
      <c r="BD749" s="1055"/>
      <c r="BE749" s="1055"/>
      <c r="BF749" s="1055"/>
      <c r="BG749" s="1056"/>
    </row>
    <row r="750" spans="1:59" x14ac:dyDescent="0.15">
      <c r="A750" s="1050"/>
      <c r="B750" s="1064"/>
      <c r="C750" s="1055"/>
      <c r="D750" s="1055"/>
      <c r="E750" s="1055"/>
      <c r="F750" s="1055"/>
      <c r="G750" s="1055"/>
      <c r="H750" s="1055"/>
      <c r="I750" s="1055"/>
      <c r="J750" s="1055"/>
      <c r="K750" s="1055"/>
      <c r="L750" s="1055"/>
      <c r="M750" s="1055"/>
      <c r="N750" s="1746" t="s">
        <v>802</v>
      </c>
      <c r="O750" s="1746"/>
      <c r="P750" s="1746"/>
      <c r="Q750" s="1746"/>
      <c r="R750" s="1746"/>
      <c r="S750" s="1746"/>
      <c r="T750" s="1746"/>
      <c r="U750" s="1746"/>
      <c r="V750" s="1746"/>
      <c r="W750" s="1746"/>
      <c r="X750" s="1746"/>
      <c r="Y750" s="1055"/>
      <c r="Z750" s="1055"/>
      <c r="AA750" s="1055"/>
      <c r="AB750" s="1055"/>
      <c r="AC750" s="1055"/>
      <c r="AD750" s="1055"/>
      <c r="AE750" s="1055"/>
      <c r="AF750" s="1055"/>
      <c r="AG750" s="1055"/>
      <c r="AH750" s="1055"/>
      <c r="AI750" s="1055"/>
      <c r="AJ750" s="1055"/>
      <c r="AK750" s="1055"/>
      <c r="AL750" s="1055"/>
      <c r="AM750" s="1055"/>
      <c r="AN750" s="1746" t="s">
        <v>802</v>
      </c>
      <c r="AO750" s="1746"/>
      <c r="AP750" s="1746"/>
      <c r="AQ750" s="1746"/>
      <c r="AR750" s="1746"/>
      <c r="AS750" s="1746"/>
      <c r="AT750" s="1746"/>
      <c r="AU750" s="1746"/>
      <c r="AV750" s="1746"/>
      <c r="AW750" s="1746"/>
      <c r="AX750" s="1746"/>
      <c r="AY750" s="1055"/>
      <c r="AZ750" s="1055"/>
      <c r="BA750" s="1055"/>
      <c r="BB750" s="1055"/>
      <c r="BC750" s="1055"/>
      <c r="BD750" s="1055"/>
      <c r="BE750" s="1055"/>
      <c r="BF750" s="1055"/>
      <c r="BG750" s="1056"/>
    </row>
    <row r="751" spans="1:59" x14ac:dyDescent="0.15">
      <c r="A751" s="1050"/>
      <c r="B751" s="1064"/>
      <c r="C751" s="1760"/>
      <c r="D751" s="1760"/>
      <c r="E751" s="1760"/>
      <c r="F751" s="1760"/>
      <c r="G751" s="1760"/>
      <c r="H751" s="1760"/>
      <c r="I751" s="1760"/>
      <c r="J751" s="1760"/>
      <c r="K751" s="1760"/>
      <c r="L751" s="1760"/>
      <c r="M751" s="1760"/>
      <c r="N751" s="1760"/>
      <c r="O751" s="1760"/>
      <c r="P751" s="1760"/>
      <c r="Q751" s="1760"/>
      <c r="R751" s="1760"/>
      <c r="S751" s="1760"/>
      <c r="T751" s="1760"/>
      <c r="U751" s="1760"/>
      <c r="V751" s="1760"/>
      <c r="W751" s="1760"/>
      <c r="X751" s="1760"/>
      <c r="Y751" s="1760"/>
      <c r="Z751" s="1760"/>
      <c r="AA751" s="1760"/>
      <c r="AB751" s="1760"/>
      <c r="AC751" s="1760"/>
      <c r="AD751" s="1760"/>
      <c r="AE751" s="1760"/>
      <c r="AF751" s="1760"/>
      <c r="AG751" s="1760"/>
      <c r="AH751" s="1760"/>
      <c r="AI751" s="1760"/>
      <c r="AJ751" s="1760"/>
      <c r="AK751" s="1760"/>
      <c r="AL751" s="1760"/>
      <c r="AM751" s="1760"/>
      <c r="AN751" s="1760"/>
      <c r="AO751" s="1760"/>
      <c r="AP751" s="1760"/>
      <c r="AQ751" s="1760"/>
      <c r="AR751" s="1760"/>
      <c r="AS751" s="1760"/>
      <c r="AT751" s="1760"/>
      <c r="AU751" s="1760"/>
      <c r="AV751" s="1760"/>
      <c r="AW751" s="1760"/>
      <c r="AX751" s="1760"/>
      <c r="AY751" s="1760"/>
      <c r="AZ751" s="1760"/>
      <c r="BA751" s="1760"/>
      <c r="BB751" s="1760"/>
      <c r="BC751" s="1760"/>
      <c r="BD751" s="1760"/>
      <c r="BE751" s="1760"/>
      <c r="BF751" s="1760"/>
      <c r="BG751" s="1056"/>
    </row>
    <row r="752" spans="1:59" x14ac:dyDescent="0.15">
      <c r="A752" s="1050"/>
      <c r="B752" s="1065"/>
      <c r="C752" s="1747"/>
      <c r="D752" s="1747"/>
      <c r="E752" s="1747"/>
      <c r="F752" s="1747"/>
      <c r="G752" s="1747"/>
      <c r="H752" s="1747"/>
      <c r="I752" s="1747"/>
      <c r="J752" s="1747"/>
      <c r="K752" s="1747"/>
      <c r="L752" s="1747"/>
      <c r="M752" s="1747"/>
      <c r="N752" s="1747"/>
      <c r="O752" s="1747"/>
      <c r="P752" s="1747"/>
      <c r="Q752" s="1747"/>
      <c r="R752" s="1747"/>
      <c r="S752" s="1747"/>
      <c r="T752" s="1747"/>
      <c r="U752" s="1747"/>
      <c r="V752" s="1747"/>
      <c r="W752" s="1747"/>
      <c r="X752" s="1747"/>
      <c r="Y752" s="1747"/>
      <c r="Z752" s="1747"/>
      <c r="AA752" s="1747"/>
      <c r="AB752" s="1747"/>
      <c r="AC752" s="1747"/>
      <c r="AD752" s="1747"/>
      <c r="AE752" s="1747"/>
      <c r="AF752" s="1747"/>
      <c r="AG752" s="1747"/>
      <c r="AH752" s="1747"/>
      <c r="AI752" s="1747"/>
      <c r="AJ752" s="1747"/>
      <c r="AK752" s="1747"/>
      <c r="AL752" s="1747"/>
      <c r="AM752" s="1747"/>
      <c r="AN752" s="1747"/>
      <c r="AO752" s="1747"/>
      <c r="AP752" s="1747"/>
      <c r="AQ752" s="1747"/>
      <c r="AR752" s="1747"/>
      <c r="AS752" s="1747"/>
      <c r="AT752" s="1747"/>
      <c r="AU752" s="1747"/>
      <c r="AV752" s="1747"/>
      <c r="AW752" s="1747"/>
      <c r="AX752" s="1747"/>
      <c r="AY752" s="1747"/>
      <c r="AZ752" s="1747"/>
      <c r="BA752" s="1747"/>
      <c r="BB752" s="1747"/>
      <c r="BC752" s="1747"/>
      <c r="BD752" s="1747"/>
      <c r="BE752" s="1747"/>
      <c r="BF752" s="1747"/>
      <c r="BG752" s="1067"/>
    </row>
    <row r="753" spans="1:59" x14ac:dyDescent="0.15">
      <c r="A753" s="1050"/>
      <c r="B753" s="1050"/>
      <c r="C753" s="1050"/>
      <c r="D753" s="1050"/>
      <c r="E753" s="1050"/>
      <c r="F753" s="1050"/>
      <c r="G753" s="1050"/>
      <c r="H753" s="1050"/>
      <c r="I753" s="1050"/>
      <c r="J753" s="1050"/>
      <c r="K753" s="1050"/>
      <c r="L753" s="1050"/>
      <c r="M753" s="1050"/>
      <c r="N753" s="1050"/>
      <c r="O753" s="1050"/>
      <c r="P753" s="1050"/>
      <c r="Q753" s="1050"/>
      <c r="R753" s="1050"/>
      <c r="S753" s="1050"/>
      <c r="T753" s="1050"/>
      <c r="U753" s="1050"/>
      <c r="V753" s="1050"/>
      <c r="W753" s="1050"/>
      <c r="X753" s="1050"/>
      <c r="Y753" s="1050"/>
      <c r="Z753" s="1050"/>
      <c r="AA753" s="1050"/>
      <c r="AB753" s="1050"/>
      <c r="AC753" s="1050"/>
      <c r="AD753" s="1050"/>
      <c r="AE753" s="1050"/>
      <c r="AF753" s="1050"/>
      <c r="AG753" s="1050"/>
      <c r="AH753" s="1050"/>
      <c r="AI753" s="1050"/>
      <c r="AJ753" s="1050"/>
      <c r="AK753" s="1050"/>
      <c r="AL753" s="1050"/>
      <c r="AM753" s="1050"/>
      <c r="AN753" s="1050"/>
      <c r="AO753" s="1050"/>
      <c r="AP753" s="1050"/>
      <c r="AQ753" s="1050"/>
      <c r="AR753" s="1050"/>
      <c r="AS753" s="1050"/>
      <c r="AT753" s="1050"/>
      <c r="AU753" s="1050"/>
      <c r="AV753" s="1050"/>
      <c r="AW753" s="1050"/>
      <c r="AX753" s="1050"/>
      <c r="AY753" s="1050"/>
      <c r="AZ753" s="1050"/>
      <c r="BA753" s="1050"/>
      <c r="BB753" s="1050"/>
      <c r="BC753" s="1050"/>
      <c r="BD753" s="1050"/>
      <c r="BE753" s="1050"/>
      <c r="BF753" s="1050"/>
      <c r="BG753" s="1050"/>
    </row>
    <row r="754" spans="1:59" x14ac:dyDescent="0.15">
      <c r="A754" s="1050"/>
      <c r="B754" s="1762" t="str">
        <f>+IF(Hitelprog_Rovid="","",Hitelprog_Rovid)</f>
        <v/>
      </c>
      <c r="C754" s="1762"/>
      <c r="D754" s="1762"/>
      <c r="E754" s="1762"/>
      <c r="F754" s="1762"/>
      <c r="G754" s="1762"/>
      <c r="H754" s="1762"/>
      <c r="I754" s="1762"/>
      <c r="J754" s="1762"/>
      <c r="K754" s="1762"/>
      <c r="L754" s="1762"/>
      <c r="M754" s="1762"/>
      <c r="N754" s="1762"/>
      <c r="O754" s="1762"/>
      <c r="P754" s="1762"/>
      <c r="Q754" s="1762"/>
      <c r="R754" s="1762"/>
      <c r="S754" s="1762"/>
      <c r="T754" s="1762"/>
      <c r="U754" s="1762"/>
      <c r="V754" s="1762"/>
      <c r="W754" s="1762"/>
      <c r="X754" s="1762"/>
      <c r="Y754" s="1762"/>
      <c r="Z754" s="1762"/>
      <c r="AA754" s="1762"/>
      <c r="AB754" s="1762"/>
      <c r="AC754" s="1762"/>
      <c r="AD754" s="1762"/>
      <c r="AE754" s="1762"/>
      <c r="AF754" s="1762"/>
      <c r="AG754" s="1762"/>
      <c r="AH754" s="1762"/>
      <c r="AI754" s="1762"/>
      <c r="AJ754" s="1762"/>
      <c r="AK754" s="1762"/>
      <c r="AL754" s="1762"/>
      <c r="AM754" s="1762"/>
      <c r="AN754" s="1762"/>
      <c r="AO754" s="1762"/>
      <c r="AP754" s="1762"/>
      <c r="AQ754" s="1762"/>
      <c r="AR754" s="1762"/>
      <c r="AS754" s="1762"/>
      <c r="AT754" s="1762"/>
      <c r="AU754" s="1762"/>
      <c r="AV754" s="1762"/>
      <c r="AW754" s="1762"/>
      <c r="AX754" s="1762"/>
      <c r="AY754" s="1762"/>
      <c r="AZ754" s="1762"/>
      <c r="BA754" s="1762"/>
      <c r="BB754" s="1762"/>
      <c r="BC754" s="1762"/>
      <c r="BD754" s="1762"/>
      <c r="BE754" s="1762"/>
      <c r="BF754" s="1762"/>
      <c r="BG754" s="1762"/>
    </row>
    <row r="755" spans="1:59" x14ac:dyDescent="0.15">
      <c r="A755" s="1050"/>
      <c r="B755" s="1762"/>
      <c r="C755" s="1762"/>
      <c r="D755" s="1762"/>
      <c r="E755" s="1762"/>
      <c r="F755" s="1762"/>
      <c r="G755" s="1762"/>
      <c r="H755" s="1762"/>
      <c r="I755" s="1762"/>
      <c r="J755" s="1762"/>
      <c r="K755" s="1762"/>
      <c r="L755" s="1762"/>
      <c r="M755" s="1762"/>
      <c r="N755" s="1762"/>
      <c r="O755" s="1762"/>
      <c r="P755" s="1762"/>
      <c r="Q755" s="1762"/>
      <c r="R755" s="1762"/>
      <c r="S755" s="1762"/>
      <c r="T755" s="1762"/>
      <c r="U755" s="1762"/>
      <c r="V755" s="1762"/>
      <c r="W755" s="1762"/>
      <c r="X755" s="1762"/>
      <c r="Y755" s="1762"/>
      <c r="Z755" s="1762"/>
      <c r="AA755" s="1762"/>
      <c r="AB755" s="1762"/>
      <c r="AC755" s="1762"/>
      <c r="AD755" s="1762"/>
      <c r="AE755" s="1762"/>
      <c r="AF755" s="1762"/>
      <c r="AG755" s="1762"/>
      <c r="AH755" s="1762"/>
      <c r="AI755" s="1762"/>
      <c r="AJ755" s="1762"/>
      <c r="AK755" s="1762"/>
      <c r="AL755" s="1762"/>
      <c r="AM755" s="1762"/>
      <c r="AN755" s="1762"/>
      <c r="AO755" s="1762"/>
      <c r="AP755" s="1762"/>
      <c r="AQ755" s="1762"/>
      <c r="AR755" s="1762"/>
      <c r="AS755" s="1762"/>
      <c r="AT755" s="1762"/>
      <c r="AU755" s="1762"/>
      <c r="AV755" s="1762"/>
      <c r="AW755" s="1762"/>
      <c r="AX755" s="1762"/>
      <c r="AY755" s="1762"/>
      <c r="AZ755" s="1762"/>
      <c r="BA755" s="1762"/>
      <c r="BB755" s="1762"/>
      <c r="BC755" s="1762"/>
      <c r="BD755" s="1762"/>
      <c r="BE755" s="1762"/>
      <c r="BF755" s="1762"/>
      <c r="BG755" s="1762"/>
    </row>
    <row r="756" spans="1:59" x14ac:dyDescent="0.15">
      <c r="A756" s="1752"/>
      <c r="B756" s="1752"/>
      <c r="C756" s="1752"/>
      <c r="D756" s="1752"/>
      <c r="E756" s="1050"/>
      <c r="F756" s="1050"/>
      <c r="G756" s="1050"/>
      <c r="H756" s="1050"/>
      <c r="I756" s="1050"/>
      <c r="J756" s="1050"/>
      <c r="K756" s="1050"/>
      <c r="L756" s="1050"/>
      <c r="M756" s="1050"/>
      <c r="N756" s="1050"/>
      <c r="O756" s="1050"/>
      <c r="P756" s="1050"/>
      <c r="Q756" s="1050"/>
      <c r="R756" s="1050"/>
      <c r="S756" s="1050"/>
      <c r="T756" s="1050"/>
      <c r="U756" s="1050"/>
      <c r="V756" s="1050"/>
      <c r="W756" s="1050"/>
      <c r="X756" s="1050"/>
      <c r="Y756" s="1050"/>
      <c r="Z756" s="1050"/>
      <c r="AA756" s="1050"/>
      <c r="AB756" s="1050"/>
      <c r="AC756" s="1050"/>
      <c r="AD756" s="1050"/>
      <c r="AE756" s="1050"/>
      <c r="AF756" s="1050"/>
      <c r="AG756" s="1050"/>
      <c r="AH756" s="1050"/>
      <c r="AI756" s="1050"/>
      <c r="AJ756" s="1050"/>
      <c r="AK756" s="1050"/>
      <c r="AL756" s="1050"/>
      <c r="AM756" s="1050"/>
      <c r="AN756" s="1050"/>
      <c r="AO756" s="1050"/>
      <c r="AP756" s="1050"/>
      <c r="AQ756" s="1050"/>
      <c r="AR756" s="1050"/>
      <c r="AS756" s="1050"/>
      <c r="AT756" s="1050"/>
      <c r="AU756" s="1050"/>
      <c r="AV756" s="1050"/>
      <c r="AW756" s="1050"/>
      <c r="AX756" s="1050"/>
      <c r="AY756" s="1050"/>
      <c r="AZ756" s="1050"/>
      <c r="BA756" s="1050"/>
      <c r="BB756" s="1050"/>
      <c r="BC756" s="1050"/>
      <c r="BD756" s="1050"/>
      <c r="BE756" s="1050"/>
      <c r="BF756" s="1050"/>
      <c r="BG756" s="1050"/>
    </row>
    <row r="757" spans="1:59" ht="15" thickBot="1" x14ac:dyDescent="0.2">
      <c r="A757" s="1752"/>
      <c r="B757" s="1752"/>
      <c r="C757" s="1752"/>
      <c r="D757" s="1752"/>
      <c r="E757" s="1050"/>
      <c r="F757" s="1050"/>
      <c r="G757" s="1050"/>
      <c r="H757" s="1050"/>
      <c r="I757" s="1050"/>
      <c r="J757" s="1050"/>
      <c r="K757" s="1050"/>
      <c r="L757" s="1050"/>
      <c r="M757" s="1050"/>
      <c r="N757" s="1050"/>
      <c r="O757" s="1050"/>
      <c r="P757" s="1050"/>
      <c r="Q757" s="1050"/>
      <c r="R757" s="1050"/>
      <c r="S757" s="1050"/>
      <c r="T757" s="1050"/>
      <c r="U757" s="1050"/>
      <c r="V757" s="1050"/>
      <c r="W757" s="1050"/>
      <c r="X757" s="1050"/>
      <c r="Y757" s="1050"/>
      <c r="Z757" s="1050"/>
      <c r="AA757" s="1050"/>
      <c r="AB757" s="1050"/>
      <c r="AC757" s="1050"/>
      <c r="AD757" s="1050"/>
      <c r="AE757" s="1050"/>
      <c r="AF757" s="1050"/>
      <c r="AG757" s="1050"/>
      <c r="AH757" s="1050"/>
      <c r="AI757" s="1050"/>
      <c r="AJ757" s="1050"/>
      <c r="AK757" s="1050"/>
      <c r="AL757" s="1050"/>
      <c r="AM757" s="1050"/>
      <c r="AN757" s="1050"/>
      <c r="AO757" s="1050"/>
      <c r="AP757" s="1050"/>
      <c r="AQ757" s="1050"/>
      <c r="AR757" s="1050"/>
      <c r="AS757" s="1050"/>
      <c r="AT757" s="1050"/>
      <c r="AU757" s="1050"/>
      <c r="AV757" s="1050"/>
      <c r="AW757" s="1050"/>
      <c r="AX757" s="1050"/>
      <c r="AY757" s="1050"/>
      <c r="AZ757" s="1050"/>
      <c r="BA757" s="1050"/>
      <c r="BB757" s="1050"/>
      <c r="BC757" s="1050"/>
      <c r="BD757" s="1050"/>
      <c r="BE757" s="1050"/>
      <c r="BF757" s="1050"/>
      <c r="BG757" s="1050"/>
    </row>
    <row r="758" spans="1:59" ht="27" customHeight="1" thickBot="1" x14ac:dyDescent="0.2">
      <c r="A758" s="1752"/>
      <c r="B758" s="1752"/>
      <c r="C758" s="1752"/>
      <c r="D758" s="1752"/>
      <c r="E758" s="1050"/>
      <c r="F758" s="1050"/>
      <c r="G758" s="1050"/>
      <c r="H758" s="1050"/>
      <c r="I758" s="1050"/>
      <c r="J758" s="1050"/>
      <c r="K758" s="1050"/>
      <c r="L758" s="1050"/>
      <c r="M758" s="1050"/>
      <c r="N758" s="1050"/>
      <c r="O758" s="1050"/>
      <c r="P758" s="1050"/>
      <c r="Q758" s="1766" t="str">
        <f>+IF(B754="MFB NHP Fix Lízing Refinanszírozási Program","FINANSZÍROZÁSI KATEGÓRIA NYILATKOZAT","TÁMOGATÁSI KATEGÓRIA NYILATKOZAT")</f>
        <v>TÁMOGATÁSI KATEGÓRIA NYILATKOZAT</v>
      </c>
      <c r="R758" s="1767"/>
      <c r="S758" s="1767"/>
      <c r="T758" s="1767"/>
      <c r="U758" s="1767"/>
      <c r="V758" s="1767"/>
      <c r="W758" s="1767"/>
      <c r="X758" s="1767"/>
      <c r="Y758" s="1767"/>
      <c r="Z758" s="1767"/>
      <c r="AA758" s="1767"/>
      <c r="AB758" s="1767"/>
      <c r="AC758" s="1767"/>
      <c r="AD758" s="1767"/>
      <c r="AE758" s="1767"/>
      <c r="AF758" s="1767"/>
      <c r="AG758" s="1767"/>
      <c r="AH758" s="1767"/>
      <c r="AI758" s="1767"/>
      <c r="AJ758" s="1767"/>
      <c r="AK758" s="1767"/>
      <c r="AL758" s="1767"/>
      <c r="AM758" s="1767"/>
      <c r="AN758" s="1767"/>
      <c r="AO758" s="1767"/>
      <c r="AP758" s="1767"/>
      <c r="AQ758" s="1767"/>
      <c r="AR758" s="1767"/>
      <c r="AS758" s="1768"/>
      <c r="AT758" s="1050"/>
      <c r="AU758" s="1050"/>
      <c r="AV758" s="1050"/>
      <c r="AW758" s="1050"/>
      <c r="AX758" s="1050"/>
      <c r="AY758" s="1050"/>
      <c r="AZ758" s="1050"/>
      <c r="BA758" s="1050"/>
      <c r="BB758" s="1050"/>
      <c r="BC758" s="1050"/>
      <c r="BD758" s="1050"/>
      <c r="BE758" s="1050"/>
      <c r="BF758" s="1050"/>
      <c r="BG758" s="1050"/>
    </row>
    <row r="759" spans="1:59" x14ac:dyDescent="0.15">
      <c r="A759" s="1752"/>
      <c r="B759" s="1752"/>
      <c r="C759" s="1752"/>
      <c r="D759" s="1752"/>
      <c r="E759" s="1050"/>
      <c r="F759" s="1050"/>
      <c r="G759" s="1050"/>
      <c r="H759" s="1050"/>
      <c r="I759" s="1050"/>
      <c r="J759" s="1050"/>
      <c r="K759" s="1050"/>
      <c r="L759" s="1050"/>
      <c r="M759" s="1050"/>
      <c r="N759" s="1050"/>
      <c r="O759" s="1050"/>
      <c r="P759" s="1050"/>
      <c r="Q759" s="1050"/>
      <c r="R759" s="1050"/>
      <c r="S759" s="1050"/>
      <c r="T759" s="1050"/>
      <c r="U759" s="1050"/>
      <c r="V759" s="1050"/>
      <c r="W759" s="1050"/>
      <c r="X759" s="1050"/>
      <c r="Y759" s="1050"/>
      <c r="Z759" s="1050"/>
      <c r="AA759" s="1050"/>
      <c r="AB759" s="1050"/>
      <c r="AC759" s="1050"/>
      <c r="AD759" s="1050"/>
      <c r="AE759" s="1050"/>
      <c r="AF759" s="1050"/>
      <c r="AG759" s="1050"/>
      <c r="AH759" s="1050"/>
      <c r="AI759" s="1050"/>
      <c r="AJ759" s="1050"/>
      <c r="AK759" s="1050"/>
      <c r="AL759" s="1050"/>
      <c r="AM759" s="1050"/>
      <c r="AN759" s="1050"/>
      <c r="AO759" s="1050"/>
      <c r="AP759" s="1050"/>
      <c r="AQ759" s="1050"/>
      <c r="AR759" s="1050"/>
      <c r="AS759" s="1050"/>
      <c r="AT759" s="1050"/>
      <c r="AU759" s="1050"/>
      <c r="AV759" s="1050"/>
      <c r="AW759" s="1050"/>
      <c r="AX759" s="1050"/>
      <c r="AY759" s="1050"/>
      <c r="AZ759" s="1050"/>
      <c r="BA759" s="1050"/>
      <c r="BB759" s="1050"/>
      <c r="BC759" s="1050"/>
      <c r="BD759" s="1050"/>
      <c r="BE759" s="1050"/>
      <c r="BF759" s="1050"/>
      <c r="BG759" s="1050"/>
    </row>
    <row r="760" spans="1:59" x14ac:dyDescent="0.15">
      <c r="A760" s="1052"/>
      <c r="B760" s="1753" t="s">
        <v>841</v>
      </c>
      <c r="C760" s="1754"/>
      <c r="D760" s="1754"/>
      <c r="E760" s="1754"/>
      <c r="F760" s="1754"/>
      <c r="G760" s="1754"/>
      <c r="H760" s="1754"/>
      <c r="I760" s="1754"/>
      <c r="J760" s="1754"/>
      <c r="K760" s="1754"/>
      <c r="L760" s="1754"/>
      <c r="M760" s="1754"/>
      <c r="N760" s="1754"/>
      <c r="O760" s="1754"/>
      <c r="P760" s="1754"/>
      <c r="Q760" s="1754"/>
      <c r="R760" s="1754"/>
      <c r="S760" s="1754"/>
      <c r="T760" s="1754"/>
      <c r="U760" s="1754"/>
      <c r="V760" s="1754"/>
      <c r="W760" s="1754"/>
      <c r="X760" s="1754"/>
      <c r="Y760" s="1754"/>
      <c r="Z760" s="1754"/>
      <c r="AA760" s="1754"/>
      <c r="AB760" s="1754"/>
      <c r="AC760" s="1754"/>
      <c r="AD760" s="1754"/>
      <c r="AE760" s="1754"/>
      <c r="AF760" s="1754"/>
      <c r="AG760" s="1754"/>
      <c r="AH760" s="1754"/>
      <c r="AI760" s="1754"/>
      <c r="AJ760" s="1754"/>
      <c r="AK760" s="1754"/>
      <c r="AL760" s="1754"/>
      <c r="AM760" s="1754"/>
      <c r="AN760" s="1754"/>
      <c r="AO760" s="1754"/>
      <c r="AP760" s="1754"/>
      <c r="AQ760" s="1754"/>
      <c r="AR760" s="1754"/>
      <c r="AS760" s="1754"/>
      <c r="AT760" s="1754"/>
      <c r="AU760" s="1754"/>
      <c r="AV760" s="1754"/>
      <c r="AW760" s="1754"/>
      <c r="AX760" s="1754"/>
      <c r="AY760" s="1754"/>
      <c r="AZ760" s="1754"/>
      <c r="BA760" s="1754"/>
      <c r="BB760" s="1754"/>
      <c r="BC760" s="1754"/>
      <c r="BD760" s="1754"/>
      <c r="BE760" s="1754"/>
      <c r="BF760" s="1754"/>
      <c r="BG760" s="1755"/>
    </row>
    <row r="761" spans="1:59" ht="15" thickBot="1" x14ac:dyDescent="0.2">
      <c r="A761" s="1052"/>
      <c r="B761" s="1053"/>
      <c r="C761" s="1054"/>
      <c r="D761" s="1054"/>
      <c r="E761" s="1055"/>
      <c r="F761" s="1055"/>
      <c r="G761" s="1055"/>
      <c r="H761" s="1055"/>
      <c r="I761" s="1055"/>
      <c r="J761" s="1055"/>
      <c r="K761" s="1055"/>
      <c r="L761" s="1055"/>
      <c r="M761" s="1055"/>
      <c r="N761" s="1055"/>
      <c r="O761" s="1055"/>
      <c r="P761" s="1055"/>
      <c r="Q761" s="1055"/>
      <c r="R761" s="1055"/>
      <c r="S761" s="1055"/>
      <c r="T761" s="1055"/>
      <c r="U761" s="1055"/>
      <c r="V761" s="1055"/>
      <c r="W761" s="1055"/>
      <c r="X761" s="1055"/>
      <c r="Y761" s="1055"/>
      <c r="Z761" s="1055"/>
      <c r="AA761" s="1055"/>
      <c r="AB761" s="1055"/>
      <c r="AC761" s="1055"/>
      <c r="AD761" s="1055"/>
      <c r="AE761" s="1055"/>
      <c r="AF761" s="1055"/>
      <c r="AG761" s="1055"/>
      <c r="AH761" s="1055"/>
      <c r="AI761" s="1055"/>
      <c r="AJ761" s="1055"/>
      <c r="AK761" s="1055"/>
      <c r="AL761" s="1055"/>
      <c r="AM761" s="1055"/>
      <c r="AN761" s="1055"/>
      <c r="AO761" s="1055"/>
      <c r="AP761" s="1055"/>
      <c r="AQ761" s="1055"/>
      <c r="AR761" s="1055"/>
      <c r="AS761" s="1055"/>
      <c r="AT761" s="1055"/>
      <c r="AU761" s="1055"/>
      <c r="AV761" s="1055"/>
      <c r="AW761" s="1055"/>
      <c r="AX761" s="1055"/>
      <c r="AY761" s="1055"/>
      <c r="AZ761" s="1055"/>
      <c r="BA761" s="1055"/>
      <c r="BB761" s="1055"/>
      <c r="BC761" s="1055"/>
      <c r="BD761" s="1055"/>
      <c r="BE761" s="1055"/>
      <c r="BF761" s="1055"/>
      <c r="BG761" s="1056"/>
    </row>
    <row r="762" spans="1:59" ht="15" thickBot="1" x14ac:dyDescent="0.2">
      <c r="A762" s="1052"/>
      <c r="B762" s="1053"/>
      <c r="C762" s="1756" t="str">
        <f>+IF(Ugyfelnyil="","",Ugyfelnyil)</f>
        <v/>
      </c>
      <c r="D762" s="1757"/>
      <c r="E762" s="1757"/>
      <c r="F762" s="1757"/>
      <c r="G762" s="1757"/>
      <c r="H762" s="1757"/>
      <c r="I762" s="1757"/>
      <c r="J762" s="1757"/>
      <c r="K762" s="1757"/>
      <c r="L762" s="1757"/>
      <c r="M762" s="1757"/>
      <c r="N762" s="1757"/>
      <c r="O762" s="1757"/>
      <c r="P762" s="1757"/>
      <c r="Q762" s="1757"/>
      <c r="R762" s="1757"/>
      <c r="S762" s="1757"/>
      <c r="T762" s="1757"/>
      <c r="U762" s="1757"/>
      <c r="V762" s="1757"/>
      <c r="W762" s="1757"/>
      <c r="X762" s="1757"/>
      <c r="Y762" s="1757"/>
      <c r="Z762" s="1757"/>
      <c r="AA762" s="1757"/>
      <c r="AB762" s="1757"/>
      <c r="AC762" s="1757"/>
      <c r="AD762" s="1757"/>
      <c r="AE762" s="1757"/>
      <c r="AF762" s="1757"/>
      <c r="AG762" s="1757"/>
      <c r="AH762" s="1757"/>
      <c r="AI762" s="1757"/>
      <c r="AJ762" s="1757"/>
      <c r="AK762" s="1757"/>
      <c r="AL762" s="1757"/>
      <c r="AM762" s="1757"/>
      <c r="AN762" s="1757"/>
      <c r="AO762" s="1757"/>
      <c r="AP762" s="1757"/>
      <c r="AQ762" s="1757"/>
      <c r="AR762" s="1757"/>
      <c r="AS762" s="1757"/>
      <c r="AT762" s="1757"/>
      <c r="AU762" s="1757"/>
      <c r="AV762" s="1757"/>
      <c r="AW762" s="1757"/>
      <c r="AX762" s="1757"/>
      <c r="AY762" s="1757"/>
      <c r="AZ762" s="1757"/>
      <c r="BA762" s="1757"/>
      <c r="BB762" s="1757"/>
      <c r="BC762" s="1757"/>
      <c r="BD762" s="1757"/>
      <c r="BE762" s="1757"/>
      <c r="BF762" s="1758"/>
      <c r="BG762" s="1056"/>
    </row>
    <row r="763" spans="1:59" x14ac:dyDescent="0.15">
      <c r="A763" s="1052"/>
      <c r="B763" s="1053"/>
      <c r="C763" s="1054"/>
      <c r="D763" s="1057" t="s">
        <v>370</v>
      </c>
      <c r="E763" s="1055"/>
      <c r="F763" s="1055"/>
      <c r="G763" s="1055"/>
      <c r="H763" s="1055"/>
      <c r="I763" s="1055"/>
      <c r="J763" s="1055"/>
      <c r="K763" s="1055"/>
      <c r="L763" s="1055"/>
      <c r="M763" s="1055"/>
      <c r="N763" s="1055"/>
      <c r="O763" s="1055"/>
      <c r="P763" s="1055"/>
      <c r="Q763" s="1055"/>
      <c r="R763" s="1055"/>
      <c r="S763" s="1055"/>
      <c r="T763" s="1055"/>
      <c r="U763" s="1055"/>
      <c r="V763" s="1055"/>
      <c r="W763" s="1055"/>
      <c r="X763" s="1055"/>
      <c r="Y763" s="1055"/>
      <c r="Z763" s="1055"/>
      <c r="AA763" s="1055"/>
      <c r="AB763" s="1055"/>
      <c r="AC763" s="1055"/>
      <c r="AD763" s="1055"/>
      <c r="AE763" s="1055"/>
      <c r="AF763" s="1055"/>
      <c r="AG763" s="1055"/>
      <c r="AH763" s="1055"/>
      <c r="AI763" s="1055"/>
      <c r="AJ763" s="1055"/>
      <c r="AK763" s="1055"/>
      <c r="AL763" s="1055"/>
      <c r="AM763" s="1055"/>
      <c r="AN763" s="1055"/>
      <c r="AO763" s="1055"/>
      <c r="AP763" s="1055"/>
      <c r="AQ763" s="1055"/>
      <c r="AR763" s="1055"/>
      <c r="AS763" s="1055"/>
      <c r="AT763" s="1055"/>
      <c r="AU763" s="1055"/>
      <c r="AV763" s="1055"/>
      <c r="AW763" s="1055"/>
      <c r="AX763" s="1055"/>
      <c r="AY763" s="1055"/>
      <c r="AZ763" s="1055"/>
      <c r="BA763" s="1055"/>
      <c r="BB763" s="1055"/>
      <c r="BC763" s="1055"/>
      <c r="BD763" s="1055"/>
      <c r="BE763" s="1055"/>
      <c r="BF763" s="1055"/>
      <c r="BG763" s="1056"/>
    </row>
    <row r="764" spans="1:59" ht="15" thickBot="1" x14ac:dyDescent="0.2">
      <c r="A764" s="1052"/>
      <c r="B764" s="1053"/>
      <c r="C764" s="1054"/>
      <c r="D764" s="1054"/>
      <c r="E764" s="1055"/>
      <c r="F764" s="1055"/>
      <c r="G764" s="1055"/>
      <c r="H764" s="1055"/>
      <c r="I764" s="1055"/>
      <c r="J764" s="1055"/>
      <c r="K764" s="1055"/>
      <c r="L764" s="1055"/>
      <c r="M764" s="1055"/>
      <c r="N764" s="1055"/>
      <c r="O764" s="1055"/>
      <c r="P764" s="1055"/>
      <c r="Q764" s="1055"/>
      <c r="R764" s="1055"/>
      <c r="S764" s="1055"/>
      <c r="T764" s="1055"/>
      <c r="U764" s="1055"/>
      <c r="V764" s="1055"/>
      <c r="W764" s="1055"/>
      <c r="X764" s="1055"/>
      <c r="Y764" s="1055"/>
      <c r="Z764" s="1055"/>
      <c r="AA764" s="1055"/>
      <c r="AB764" s="1055"/>
      <c r="AC764" s="1055"/>
      <c r="AD764" s="1055"/>
      <c r="AE764" s="1055"/>
      <c r="AF764" s="1055"/>
      <c r="AG764" s="1055"/>
      <c r="AH764" s="1055"/>
      <c r="AI764" s="1055"/>
      <c r="AJ764" s="1055"/>
      <c r="AK764" s="1055"/>
      <c r="AL764" s="1055"/>
      <c r="AM764" s="1055"/>
      <c r="AN764" s="1055"/>
      <c r="AO764" s="1055"/>
      <c r="AP764" s="1055"/>
      <c r="AQ764" s="1055"/>
      <c r="AR764" s="1055"/>
      <c r="AS764" s="1055"/>
      <c r="AT764" s="1055"/>
      <c r="AU764" s="1055"/>
      <c r="AV764" s="1055"/>
      <c r="AW764" s="1055"/>
      <c r="AX764" s="1055"/>
      <c r="AY764" s="1055"/>
      <c r="AZ764" s="1055"/>
      <c r="BA764" s="1055"/>
      <c r="BB764" s="1055"/>
      <c r="BC764" s="1055"/>
      <c r="BD764" s="1055"/>
      <c r="BE764" s="1055"/>
      <c r="BF764" s="1055"/>
      <c r="BG764" s="1056"/>
    </row>
    <row r="765" spans="1:59" ht="15" thickBot="1" x14ac:dyDescent="0.2">
      <c r="A765" s="1052"/>
      <c r="B765" s="1053"/>
      <c r="C765" s="1763" t="str">
        <f>+IF(anyanyil="","",anyanyil)</f>
        <v/>
      </c>
      <c r="D765" s="1764"/>
      <c r="E765" s="1764"/>
      <c r="F765" s="1764"/>
      <c r="G765" s="1764"/>
      <c r="H765" s="1764"/>
      <c r="I765" s="1764"/>
      <c r="J765" s="1764"/>
      <c r="K765" s="1764"/>
      <c r="L765" s="1764"/>
      <c r="M765" s="1764"/>
      <c r="N765" s="1764"/>
      <c r="O765" s="1764"/>
      <c r="P765" s="1764"/>
      <c r="Q765" s="1764"/>
      <c r="R765" s="1764"/>
      <c r="S765" s="1764"/>
      <c r="T765" s="1765"/>
      <c r="U765" s="1055"/>
      <c r="V765" s="1055"/>
      <c r="W765" s="1055"/>
      <c r="X765" s="1763" t="str">
        <f>+IF(szülnyil="","",szülnyil)</f>
        <v/>
      </c>
      <c r="Y765" s="1764"/>
      <c r="Z765" s="1764"/>
      <c r="AA765" s="1764"/>
      <c r="AB765" s="1764"/>
      <c r="AC765" s="1764"/>
      <c r="AD765" s="1764"/>
      <c r="AE765" s="1764"/>
      <c r="AF765" s="1764"/>
      <c r="AG765" s="1764"/>
      <c r="AH765" s="1764"/>
      <c r="AI765" s="1764"/>
      <c r="AJ765" s="1764"/>
      <c r="AK765" s="1764"/>
      <c r="AL765" s="1764"/>
      <c r="AM765" s="1764"/>
      <c r="AN765" s="1765"/>
      <c r="AO765" s="1054"/>
      <c r="AP765" s="1054"/>
      <c r="AQ765" s="1055"/>
      <c r="AR765" s="1763" t="str">
        <f>+IF(szülidonyil="","",szülidonyil)</f>
        <v/>
      </c>
      <c r="AS765" s="1764"/>
      <c r="AT765" s="1764"/>
      <c r="AU765" s="1764"/>
      <c r="AV765" s="1764"/>
      <c r="AW765" s="1764"/>
      <c r="AX765" s="1764"/>
      <c r="AY765" s="1764"/>
      <c r="AZ765" s="1764"/>
      <c r="BA765" s="1764"/>
      <c r="BB765" s="1764"/>
      <c r="BC765" s="1764"/>
      <c r="BD765" s="1765"/>
      <c r="BE765" s="1055"/>
      <c r="BF765" s="1055"/>
      <c r="BG765" s="1056"/>
    </row>
    <row r="766" spans="1:59" x14ac:dyDescent="0.15">
      <c r="A766" s="1052"/>
      <c r="B766" s="1053"/>
      <c r="C766" s="1054" t="s">
        <v>581</v>
      </c>
      <c r="D766" s="1054"/>
      <c r="E766" s="1055"/>
      <c r="F766" s="1055"/>
      <c r="G766" s="1055"/>
      <c r="H766" s="1055"/>
      <c r="I766" s="1055"/>
      <c r="J766" s="1055"/>
      <c r="K766" s="1055"/>
      <c r="L766" s="1055"/>
      <c r="M766" s="1055"/>
      <c r="N766" s="1055"/>
      <c r="O766" s="1055"/>
      <c r="P766" s="1055"/>
      <c r="Q766" s="1055"/>
      <c r="R766" s="1055"/>
      <c r="S766" s="1055"/>
      <c r="T766" s="1055"/>
      <c r="U766" s="1055"/>
      <c r="V766" s="1055"/>
      <c r="W766" s="1055"/>
      <c r="X766" s="1055" t="s">
        <v>582</v>
      </c>
      <c r="Y766" s="1055"/>
      <c r="Z766" s="1055"/>
      <c r="AA766" s="1055"/>
      <c r="AB766" s="1055"/>
      <c r="AC766" s="1055"/>
      <c r="AD766" s="1055"/>
      <c r="AE766" s="1055"/>
      <c r="AF766" s="1055"/>
      <c r="AG766" s="1055"/>
      <c r="AH766" s="1055"/>
      <c r="AI766" s="1055"/>
      <c r="AJ766" s="1055"/>
      <c r="AK766" s="1055"/>
      <c r="AL766" s="1055"/>
      <c r="AM766" s="1055"/>
      <c r="AN766" s="1055"/>
      <c r="AO766" s="1055"/>
      <c r="AP766" s="1055"/>
      <c r="AQ766" s="1055"/>
      <c r="AR766" s="1055" t="s">
        <v>583</v>
      </c>
      <c r="AS766" s="1055"/>
      <c r="AT766" s="1055"/>
      <c r="AU766" s="1055"/>
      <c r="AV766" s="1055"/>
      <c r="AW766" s="1055"/>
      <c r="AX766" s="1055"/>
      <c r="AY766" s="1055"/>
      <c r="AZ766" s="1055"/>
      <c r="BA766" s="1055"/>
      <c r="BB766" s="1055"/>
      <c r="BC766" s="1055"/>
      <c r="BD766" s="1055"/>
      <c r="BE766" s="1055"/>
      <c r="BF766" s="1055"/>
      <c r="BG766" s="1056"/>
    </row>
    <row r="767" spans="1:59" ht="15" thickBot="1" x14ac:dyDescent="0.2">
      <c r="A767" s="1052"/>
      <c r="B767" s="1053"/>
      <c r="C767" s="1054"/>
      <c r="D767" s="1054"/>
      <c r="E767" s="1055"/>
      <c r="F767" s="1055"/>
      <c r="G767" s="1055"/>
      <c r="H767" s="1055"/>
      <c r="I767" s="1055"/>
      <c r="J767" s="1055"/>
      <c r="K767" s="1055"/>
      <c r="L767" s="1055"/>
      <c r="M767" s="1055"/>
      <c r="N767" s="1055"/>
      <c r="O767" s="1055"/>
      <c r="P767" s="1055"/>
      <c r="Q767" s="1055"/>
      <c r="R767" s="1055"/>
      <c r="S767" s="1055"/>
      <c r="T767" s="1055"/>
      <c r="U767" s="1055"/>
      <c r="V767" s="1055"/>
      <c r="W767" s="1055"/>
      <c r="X767" s="1055"/>
      <c r="Y767" s="1055"/>
      <c r="Z767" s="1055"/>
      <c r="AA767" s="1055"/>
      <c r="AB767" s="1055"/>
      <c r="AC767" s="1055"/>
      <c r="AD767" s="1055"/>
      <c r="AE767" s="1055"/>
      <c r="AF767" s="1055"/>
      <c r="AG767" s="1055"/>
      <c r="AH767" s="1055"/>
      <c r="AI767" s="1055"/>
      <c r="AJ767" s="1055"/>
      <c r="AK767" s="1055"/>
      <c r="AL767" s="1055"/>
      <c r="AM767" s="1055"/>
      <c r="AN767" s="1055"/>
      <c r="AO767" s="1055"/>
      <c r="AP767" s="1055"/>
      <c r="AQ767" s="1055"/>
      <c r="AR767" s="1055"/>
      <c r="AS767" s="1055"/>
      <c r="AT767" s="1055"/>
      <c r="AU767" s="1055"/>
      <c r="AV767" s="1055"/>
      <c r="AW767" s="1055"/>
      <c r="AX767" s="1055"/>
      <c r="AY767" s="1055"/>
      <c r="AZ767" s="1055"/>
      <c r="BA767" s="1055"/>
      <c r="BB767" s="1055"/>
      <c r="BC767" s="1055"/>
      <c r="BD767" s="1055"/>
      <c r="BE767" s="1055"/>
      <c r="BF767" s="1055"/>
      <c r="BG767" s="1056"/>
    </row>
    <row r="768" spans="1:59" ht="15" thickBot="1" x14ac:dyDescent="0.2">
      <c r="A768" s="1052"/>
      <c r="B768" s="1053"/>
      <c r="C768" s="1054"/>
      <c r="D768" s="1054"/>
      <c r="E768" s="1055"/>
      <c r="F768" s="1055"/>
      <c r="G768" s="1055"/>
      <c r="H768" s="1055"/>
      <c r="I768" s="1055"/>
      <c r="J768" s="1055"/>
      <c r="K768" s="1055"/>
      <c r="L768" s="1055"/>
      <c r="M768" s="1055"/>
      <c r="N768" s="1055"/>
      <c r="O768" s="1055"/>
      <c r="P768" s="1763" t="str">
        <f>+IF(orszagnyil="","",orszagnyil)</f>
        <v>HU</v>
      </c>
      <c r="Q768" s="1764"/>
      <c r="R768" s="1764"/>
      <c r="S768" s="1765"/>
      <c r="T768" s="1055"/>
      <c r="U768" s="1055"/>
      <c r="V768" s="1055"/>
      <c r="W768" s="1055"/>
      <c r="X768" s="1055"/>
      <c r="Y768" s="1055"/>
      <c r="Z768" s="1055"/>
      <c r="AA768" s="1055"/>
      <c r="AB768" s="1055"/>
      <c r="AC768" s="1055"/>
      <c r="AD768" s="1055"/>
      <c r="AE768" s="1055"/>
      <c r="AF768" s="1055"/>
      <c r="AG768" s="1055"/>
      <c r="AH768" s="1055"/>
      <c r="AI768" s="1055"/>
      <c r="AJ768" s="1055"/>
      <c r="AK768" s="1055"/>
      <c r="AL768" s="1055"/>
      <c r="AM768" s="1055"/>
      <c r="AN768" s="1055"/>
      <c r="AO768" s="1055"/>
      <c r="AP768" s="1055"/>
      <c r="AQ768" s="1055"/>
      <c r="AR768" s="1055"/>
      <c r="AS768" s="1055"/>
      <c r="AT768" s="1055"/>
      <c r="AU768" s="1055"/>
      <c r="AV768" s="1055"/>
      <c r="AW768" s="1055"/>
      <c r="AX768" s="1055"/>
      <c r="AY768" s="1055"/>
      <c r="AZ768" s="1055"/>
      <c r="BA768" s="1055"/>
      <c r="BB768" s="1055"/>
      <c r="BC768" s="1055"/>
      <c r="BD768" s="1055"/>
      <c r="BE768" s="1055"/>
      <c r="BF768" s="1055"/>
      <c r="BG768" s="1056"/>
    </row>
    <row r="769" spans="1:59" ht="15" thickBot="1" x14ac:dyDescent="0.2">
      <c r="A769" s="1052"/>
      <c r="B769" s="1053"/>
      <c r="C769" s="1054"/>
      <c r="D769" s="1769" t="s">
        <v>584</v>
      </c>
      <c r="E769" s="1769"/>
      <c r="F769" s="1769"/>
      <c r="G769" s="1769"/>
      <c r="H769" s="1769"/>
      <c r="I769" s="1769"/>
      <c r="J769" s="1769"/>
      <c r="K769" s="1769"/>
      <c r="L769" s="1769"/>
      <c r="M769" s="1769"/>
      <c r="N769" s="1769"/>
      <c r="O769" s="1058"/>
      <c r="P769" s="1058" t="s">
        <v>297</v>
      </c>
      <c r="Q769" s="1058"/>
      <c r="R769" s="1058"/>
      <c r="S769" s="1057"/>
      <c r="T769" s="1058"/>
      <c r="U769" s="1058"/>
      <c r="V769" s="1057"/>
      <c r="W769" s="1057"/>
      <c r="X769" s="1057"/>
      <c r="Y769" s="1057"/>
      <c r="Z769" s="1057"/>
      <c r="AA769" s="1057"/>
      <c r="AB769" s="1057"/>
      <c r="AC769" s="1057"/>
      <c r="AD769" s="1057"/>
      <c r="AE769" s="1057"/>
      <c r="AF769" s="1057"/>
      <c r="AG769" s="1057"/>
      <c r="AH769" s="1057"/>
      <c r="AI769" s="1057"/>
      <c r="AJ769" s="1057"/>
      <c r="AK769" s="1057"/>
      <c r="AL769" s="1057"/>
      <c r="AM769" s="1057"/>
      <c r="AN769" s="1057"/>
      <c r="AO769" s="1057"/>
      <c r="AP769" s="1057"/>
      <c r="AQ769" s="1057"/>
      <c r="AR769" s="1057"/>
      <c r="AS769" s="1057"/>
      <c r="AT769" s="1057"/>
      <c r="AU769" s="1057"/>
      <c r="AV769" s="1057"/>
      <c r="AW769" s="1057"/>
      <c r="AX769" s="1057"/>
      <c r="AY769" s="1057"/>
      <c r="AZ769" s="1057"/>
      <c r="BA769" s="1057"/>
      <c r="BB769" s="1057"/>
      <c r="BC769" s="1057"/>
      <c r="BD769" s="1057"/>
      <c r="BE769" s="1057"/>
      <c r="BF769" s="1057"/>
      <c r="BG769" s="1056"/>
    </row>
    <row r="770" spans="1:59" ht="15" thickBot="1" x14ac:dyDescent="0.2">
      <c r="A770" s="1052"/>
      <c r="B770" s="1053"/>
      <c r="C770" s="1054"/>
      <c r="D770" s="1769"/>
      <c r="E770" s="1769"/>
      <c r="F770" s="1769"/>
      <c r="G770" s="1769"/>
      <c r="H770" s="1769"/>
      <c r="I770" s="1769"/>
      <c r="J770" s="1769"/>
      <c r="K770" s="1769"/>
      <c r="L770" s="1769"/>
      <c r="M770" s="1769"/>
      <c r="N770" s="1769"/>
      <c r="O770" s="1059"/>
      <c r="P770" s="1770" t="str">
        <f>+IF(irszamnyil="","",irszamnyil)</f>
        <v/>
      </c>
      <c r="Q770" s="1771"/>
      <c r="R770" s="1771"/>
      <c r="S770" s="1772"/>
      <c r="T770" s="1057"/>
      <c r="U770" s="1773" t="str">
        <f>+IF(helysegnyil="","",helysegnyil)</f>
        <v/>
      </c>
      <c r="V770" s="1774"/>
      <c r="W770" s="1774"/>
      <c r="X770" s="1774"/>
      <c r="Y770" s="1774"/>
      <c r="Z770" s="1774"/>
      <c r="AA770" s="1774"/>
      <c r="AB770" s="1774"/>
      <c r="AC770" s="1774"/>
      <c r="AD770" s="1774"/>
      <c r="AE770" s="1774"/>
      <c r="AF770" s="1774"/>
      <c r="AG770" s="1774"/>
      <c r="AH770" s="1774"/>
      <c r="AI770" s="1774"/>
      <c r="AJ770" s="1774"/>
      <c r="AK770" s="1774"/>
      <c r="AL770" s="1774"/>
      <c r="AM770" s="1774"/>
      <c r="AN770" s="1774"/>
      <c r="AO770" s="1774"/>
      <c r="AP770" s="1774"/>
      <c r="AQ770" s="1774"/>
      <c r="AR770" s="1774"/>
      <c r="AS770" s="1774"/>
      <c r="AT770" s="1774"/>
      <c r="AU770" s="1774"/>
      <c r="AV770" s="1774"/>
      <c r="AW770" s="1774"/>
      <c r="AX770" s="1774"/>
      <c r="AY770" s="1775"/>
      <c r="AZ770" s="1057"/>
      <c r="BA770" s="1770" t="str">
        <f>+IF(postafioknyil="","",postafioknyil)</f>
        <v/>
      </c>
      <c r="BB770" s="1771"/>
      <c r="BC770" s="1771"/>
      <c r="BD770" s="1771"/>
      <c r="BE770" s="1771"/>
      <c r="BF770" s="1772"/>
      <c r="BG770" s="1056"/>
    </row>
    <row r="771" spans="1:59" x14ac:dyDescent="0.15">
      <c r="A771" s="1052"/>
      <c r="B771" s="1053"/>
      <c r="C771" s="1054"/>
      <c r="D771" s="1769"/>
      <c r="E771" s="1769"/>
      <c r="F771" s="1769"/>
      <c r="G771" s="1769"/>
      <c r="H771" s="1769"/>
      <c r="I771" s="1769"/>
      <c r="J771" s="1769"/>
      <c r="K771" s="1769"/>
      <c r="L771" s="1769"/>
      <c r="M771" s="1769"/>
      <c r="N771" s="1769"/>
      <c r="O771" s="1057"/>
      <c r="P771" s="1057" t="s">
        <v>146</v>
      </c>
      <c r="Q771" s="1057"/>
      <c r="R771" s="1057"/>
      <c r="S771" s="1057"/>
      <c r="T771" s="1057"/>
      <c r="U771" s="1057" t="s">
        <v>147</v>
      </c>
      <c r="V771" s="1057"/>
      <c r="W771" s="1057"/>
      <c r="X771" s="1057"/>
      <c r="Y771" s="1057"/>
      <c r="Z771" s="1057"/>
      <c r="AA771" s="1057"/>
      <c r="AB771" s="1057"/>
      <c r="AC771" s="1057"/>
      <c r="AD771" s="1057"/>
      <c r="AE771" s="1057"/>
      <c r="AF771" s="1057"/>
      <c r="AG771" s="1057"/>
      <c r="AH771" s="1057"/>
      <c r="AI771" s="1057"/>
      <c r="AJ771" s="1057"/>
      <c r="AK771" s="1057"/>
      <c r="AL771" s="1057"/>
      <c r="AM771" s="1057"/>
      <c r="AN771" s="1057"/>
      <c r="AO771" s="1057"/>
      <c r="AP771" s="1057"/>
      <c r="AQ771" s="1057"/>
      <c r="AR771" s="1057"/>
      <c r="AS771" s="1057"/>
      <c r="AT771" s="1057"/>
      <c r="AU771" s="1057"/>
      <c r="AV771" s="1057"/>
      <c r="AW771" s="1057"/>
      <c r="AX771" s="1057"/>
      <c r="AY771" s="1057"/>
      <c r="AZ771" s="1057"/>
      <c r="BA771" s="1057" t="s">
        <v>148</v>
      </c>
      <c r="BB771" s="1057"/>
      <c r="BC771" s="1057"/>
      <c r="BD771" s="1057"/>
      <c r="BE771" s="1057"/>
      <c r="BF771" s="1057"/>
      <c r="BG771" s="1056"/>
    </row>
    <row r="772" spans="1:59" ht="15" thickBot="1" x14ac:dyDescent="0.2">
      <c r="A772" s="1052"/>
      <c r="B772" s="1053"/>
      <c r="C772" s="1054"/>
      <c r="D772" s="1060"/>
      <c r="E772" s="1060"/>
      <c r="F772" s="1060"/>
      <c r="G772" s="1060"/>
      <c r="H772" s="1060"/>
      <c r="I772" s="1060"/>
      <c r="J772" s="1060"/>
      <c r="K772" s="1060"/>
      <c r="L772" s="1060"/>
      <c r="M772" s="1060"/>
      <c r="N772" s="1060"/>
      <c r="O772" s="1061"/>
      <c r="P772" s="1057"/>
      <c r="Q772" s="1057"/>
      <c r="R772" s="1057"/>
      <c r="S772" s="1057"/>
      <c r="T772" s="1057"/>
      <c r="U772" s="1057"/>
      <c r="V772" s="1057"/>
      <c r="W772" s="1057"/>
      <c r="X772" s="1057"/>
      <c r="Y772" s="1057"/>
      <c r="Z772" s="1057"/>
      <c r="AA772" s="1057"/>
      <c r="AB772" s="1057"/>
      <c r="AC772" s="1057"/>
      <c r="AD772" s="1057"/>
      <c r="AE772" s="1057"/>
      <c r="AF772" s="1057"/>
      <c r="AG772" s="1057"/>
      <c r="AH772" s="1057"/>
      <c r="AI772" s="1057"/>
      <c r="AJ772" s="1057"/>
      <c r="AK772" s="1057"/>
      <c r="AL772" s="1057"/>
      <c r="AM772" s="1057"/>
      <c r="AN772" s="1057"/>
      <c r="AO772" s="1057"/>
      <c r="AP772" s="1057"/>
      <c r="AQ772" s="1057"/>
      <c r="AR772" s="1057"/>
      <c r="AS772" s="1057"/>
      <c r="AT772" s="1057"/>
      <c r="AU772" s="1057"/>
      <c r="AV772" s="1057"/>
      <c r="AW772" s="1057"/>
      <c r="AX772" s="1057"/>
      <c r="AY772" s="1057"/>
      <c r="AZ772" s="1057"/>
      <c r="BA772" s="1057"/>
      <c r="BB772" s="1057"/>
      <c r="BC772" s="1057"/>
      <c r="BD772" s="1057"/>
      <c r="BE772" s="1057"/>
      <c r="BF772" s="1057"/>
      <c r="BG772" s="1056"/>
    </row>
    <row r="773" spans="1:59" ht="15" thickBot="1" x14ac:dyDescent="0.2">
      <c r="A773" s="1052"/>
      <c r="B773" s="1053"/>
      <c r="C773" s="1054"/>
      <c r="D773" s="1770" t="str">
        <f>+IF(kozternevenyil="","",kozternevenyil)</f>
        <v/>
      </c>
      <c r="E773" s="1771"/>
      <c r="F773" s="1771"/>
      <c r="G773" s="1771"/>
      <c r="H773" s="1771"/>
      <c r="I773" s="1771"/>
      <c r="J773" s="1771"/>
      <c r="K773" s="1771"/>
      <c r="L773" s="1771"/>
      <c r="M773" s="1771"/>
      <c r="N773" s="1771"/>
      <c r="O773" s="1771"/>
      <c r="P773" s="1771"/>
      <c r="Q773" s="1771"/>
      <c r="R773" s="1771"/>
      <c r="S773" s="1771"/>
      <c r="T773" s="1771"/>
      <c r="U773" s="1771"/>
      <c r="V773" s="1771"/>
      <c r="W773" s="1771"/>
      <c r="X773" s="1771"/>
      <c r="Y773" s="1771"/>
      <c r="Z773" s="1771"/>
      <c r="AA773" s="1771"/>
      <c r="AB773" s="1771"/>
      <c r="AC773" s="1772"/>
      <c r="AD773" s="1062"/>
      <c r="AE773" s="1063"/>
      <c r="AF773" s="1770" t="str">
        <f>+IF(jellegnyil="","",jellegnyil)</f>
        <v>legördülő cella</v>
      </c>
      <c r="AG773" s="1771"/>
      <c r="AH773" s="1771"/>
      <c r="AI773" s="1771"/>
      <c r="AJ773" s="1771"/>
      <c r="AK773" s="1771"/>
      <c r="AL773" s="1771"/>
      <c r="AM773" s="1771"/>
      <c r="AN773" s="1771"/>
      <c r="AO773" s="1771"/>
      <c r="AP773" s="1772"/>
      <c r="AQ773" s="1062"/>
      <c r="AR773" s="1059"/>
      <c r="AS773" s="1059"/>
      <c r="AT773" s="1059"/>
      <c r="AU773" s="1059"/>
      <c r="AV773" s="1059"/>
      <c r="AW773" s="1059"/>
      <c r="AX773" s="1776" t="str">
        <f>+IF(ajtonyil="","",ajtonyil)</f>
        <v/>
      </c>
      <c r="AY773" s="1777"/>
      <c r="AZ773" s="1777"/>
      <c r="BA773" s="1777"/>
      <c r="BB773" s="1777"/>
      <c r="BC773" s="1777"/>
      <c r="BD773" s="1777"/>
      <c r="BE773" s="1777"/>
      <c r="BF773" s="1778"/>
      <c r="BG773" s="1056"/>
    </row>
    <row r="774" spans="1:59" x14ac:dyDescent="0.15">
      <c r="A774" s="1052"/>
      <c r="B774" s="1053"/>
      <c r="C774" s="1054"/>
      <c r="D774" s="1057" t="s">
        <v>149</v>
      </c>
      <c r="E774" s="105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c r="AA774" s="1057"/>
      <c r="AB774" s="1057"/>
      <c r="AC774" s="1057"/>
      <c r="AD774" s="1057"/>
      <c r="AE774" s="1057"/>
      <c r="AF774" s="1057" t="s">
        <v>150</v>
      </c>
      <c r="AG774" s="1057"/>
      <c r="AH774" s="1057"/>
      <c r="AI774" s="1057"/>
      <c r="AJ774" s="1063"/>
      <c r="AK774" s="1057"/>
      <c r="AL774" s="1057"/>
      <c r="AM774" s="1057"/>
      <c r="AN774" s="1057"/>
      <c r="AO774" s="1057"/>
      <c r="AP774" s="1057"/>
      <c r="AQ774" s="1063"/>
      <c r="AR774" s="1057"/>
      <c r="AS774" s="1057"/>
      <c r="AT774" s="1057"/>
      <c r="AU774" s="1057"/>
      <c r="AV774" s="1057"/>
      <c r="AW774" s="1057"/>
      <c r="AX774" s="1058" t="s">
        <v>151</v>
      </c>
      <c r="AY774" s="1058"/>
      <c r="AZ774" s="1058"/>
      <c r="BA774" s="1058"/>
      <c r="BB774" s="1058"/>
      <c r="BC774" s="1058"/>
      <c r="BD774" s="1058"/>
      <c r="BE774" s="1058"/>
      <c r="BF774" s="1058"/>
      <c r="BG774" s="1056"/>
    </row>
    <row r="775" spans="1:59" x14ac:dyDescent="0.15">
      <c r="A775" s="1050"/>
      <c r="B775" s="1064"/>
      <c r="C775" s="1055"/>
      <c r="D775" s="1060"/>
      <c r="E775" s="1060"/>
      <c r="F775" s="1060"/>
      <c r="G775" s="1060"/>
      <c r="H775" s="1060"/>
      <c r="I775" s="1060"/>
      <c r="J775" s="1060"/>
      <c r="K775" s="1060"/>
      <c r="L775" s="1060"/>
      <c r="M775" s="1060"/>
      <c r="N775" s="1060"/>
      <c r="O775" s="1061"/>
      <c r="P775" s="1057"/>
      <c r="Q775" s="1057"/>
      <c r="R775" s="1057"/>
      <c r="S775" s="1057"/>
      <c r="T775" s="1057"/>
      <c r="U775" s="1057"/>
      <c r="V775" s="1057"/>
      <c r="W775" s="1057"/>
      <c r="X775" s="1057"/>
      <c r="Y775" s="1057"/>
      <c r="Z775" s="1057"/>
      <c r="AA775" s="1057"/>
      <c r="AB775" s="1057"/>
      <c r="AC775" s="1057"/>
      <c r="AD775" s="1057"/>
      <c r="AE775" s="1057"/>
      <c r="AF775" s="1057"/>
      <c r="AG775" s="1057"/>
      <c r="AH775" s="1057"/>
      <c r="AI775" s="1057"/>
      <c r="AJ775" s="1057"/>
      <c r="AK775" s="1057"/>
      <c r="AL775" s="1057"/>
      <c r="AM775" s="1057"/>
      <c r="AN775" s="1057"/>
      <c r="AO775" s="1057"/>
      <c r="AP775" s="1057"/>
      <c r="AQ775" s="1057"/>
      <c r="AR775" s="1057"/>
      <c r="AS775" s="1057"/>
      <c r="AT775" s="1057"/>
      <c r="AU775" s="1057"/>
      <c r="AV775" s="1057"/>
      <c r="AW775" s="1057"/>
      <c r="AX775" s="1057"/>
      <c r="AY775" s="1057"/>
      <c r="AZ775" s="1057"/>
      <c r="BA775" s="1057"/>
      <c r="BB775" s="1057"/>
      <c r="BC775" s="1057"/>
      <c r="BD775" s="1057"/>
      <c r="BE775" s="1057"/>
      <c r="BF775" s="1057"/>
      <c r="BG775" s="1056"/>
    </row>
    <row r="776" spans="1:59" ht="15" thickBot="1" x14ac:dyDescent="0.2">
      <c r="A776" s="1050"/>
      <c r="B776" s="1064"/>
      <c r="C776" s="1055"/>
      <c r="D776" s="1055"/>
      <c r="E776" s="1055"/>
      <c r="F776" s="1055"/>
      <c r="G776" s="1055"/>
      <c r="H776" s="1055"/>
      <c r="I776" s="1055"/>
      <c r="J776" s="1055"/>
      <c r="K776" s="1055"/>
      <c r="L776" s="1055"/>
      <c r="M776" s="1055"/>
      <c r="N776" s="1055"/>
      <c r="O776" s="1055"/>
      <c r="P776" s="1055"/>
      <c r="Q776" s="1055"/>
      <c r="R776" s="1055"/>
      <c r="S776" s="1055"/>
      <c r="T776" s="1055"/>
      <c r="U776" s="1055"/>
      <c r="V776" s="1055"/>
      <c r="W776" s="1055"/>
      <c r="X776" s="1055"/>
      <c r="Y776" s="1055"/>
      <c r="Z776" s="1055"/>
      <c r="AA776" s="1055"/>
      <c r="AB776" s="1055"/>
      <c r="AC776" s="1055"/>
      <c r="AD776" s="1055"/>
      <c r="AE776" s="1055"/>
      <c r="AF776" s="1055"/>
      <c r="AG776" s="1055"/>
      <c r="AH776" s="1055"/>
      <c r="AI776" s="1055"/>
      <c r="AJ776" s="1055"/>
      <c r="AK776" s="1055"/>
      <c r="AL776" s="1055"/>
      <c r="AM776" s="1055"/>
      <c r="AN776" s="1055"/>
      <c r="AO776" s="1055"/>
      <c r="AP776" s="1055"/>
      <c r="AQ776" s="1055"/>
      <c r="AR776" s="1055"/>
      <c r="AS776" s="1055"/>
      <c r="AT776" s="1055"/>
      <c r="AU776" s="1055"/>
      <c r="AV776" s="1055"/>
      <c r="AW776" s="1055"/>
      <c r="AX776" s="1055"/>
      <c r="AY776" s="1055"/>
      <c r="AZ776" s="1055"/>
      <c r="BA776" s="1055"/>
      <c r="BB776" s="1055"/>
      <c r="BC776" s="1055"/>
      <c r="BD776" s="1055"/>
      <c r="BE776" s="1055"/>
      <c r="BF776" s="1055"/>
      <c r="BG776" s="1056"/>
    </row>
    <row r="777" spans="1:59" ht="15" thickBot="1" x14ac:dyDescent="0.2">
      <c r="A777" s="1050"/>
      <c r="B777" s="1064"/>
      <c r="C777" s="1763" t="str">
        <f>+IF(adoszamnyil="","",adoszamnyil)</f>
        <v/>
      </c>
      <c r="D777" s="1764"/>
      <c r="E777" s="1764"/>
      <c r="F777" s="1764"/>
      <c r="G777" s="1764"/>
      <c r="H777" s="1764"/>
      <c r="I777" s="1764"/>
      <c r="J777" s="1764"/>
      <c r="K777" s="1764"/>
      <c r="L777" s="1764"/>
      <c r="M777" s="1764"/>
      <c r="N777" s="1764"/>
      <c r="O777" s="1764"/>
      <c r="P777" s="1764"/>
      <c r="Q777" s="1764"/>
      <c r="R777" s="1764"/>
      <c r="S777" s="1764"/>
      <c r="T777" s="1765"/>
      <c r="U777" s="1055"/>
      <c r="V777" s="1055"/>
      <c r="W777" s="1055"/>
      <c r="X777" s="1763" t="str">
        <f>+IF(evnyil="","",evnyil)</f>
        <v/>
      </c>
      <c r="Y777" s="1764"/>
      <c r="Z777" s="1764"/>
      <c r="AA777" s="1764"/>
      <c r="AB777" s="1764"/>
      <c r="AC777" s="1764"/>
      <c r="AD777" s="1764"/>
      <c r="AE777" s="1764"/>
      <c r="AF777" s="1764"/>
      <c r="AG777" s="1764"/>
      <c r="AH777" s="1764"/>
      <c r="AI777" s="1764"/>
      <c r="AJ777" s="1764"/>
      <c r="AK777" s="1764"/>
      <c r="AL777" s="1765"/>
      <c r="AM777" s="1055"/>
      <c r="AN777" s="1055"/>
      <c r="AO777" s="1763" t="str">
        <f>+IF(evszamnyil="","",evszamnyil)</f>
        <v/>
      </c>
      <c r="AP777" s="1764"/>
      <c r="AQ777" s="1764"/>
      <c r="AR777" s="1764"/>
      <c r="AS777" s="1764"/>
      <c r="AT777" s="1764"/>
      <c r="AU777" s="1764"/>
      <c r="AV777" s="1764"/>
      <c r="AW777" s="1764"/>
      <c r="AX777" s="1764"/>
      <c r="AY777" s="1764"/>
      <c r="AZ777" s="1764"/>
      <c r="BA777" s="1764"/>
      <c r="BB777" s="1764"/>
      <c r="BC777" s="1764"/>
      <c r="BD777" s="1764"/>
      <c r="BE777" s="1764"/>
      <c r="BF777" s="1765"/>
      <c r="BG777" s="1056"/>
    </row>
    <row r="778" spans="1:59" x14ac:dyDescent="0.15">
      <c r="A778" s="1050"/>
      <c r="B778" s="1064"/>
      <c r="C778" s="1055" t="s">
        <v>590</v>
      </c>
      <c r="D778" s="1055"/>
      <c r="E778" s="1055"/>
      <c r="F778" s="1055"/>
      <c r="G778" s="1055"/>
      <c r="H778" s="1055"/>
      <c r="I778" s="1055"/>
      <c r="J778" s="1055"/>
      <c r="K778" s="1055"/>
      <c r="L778" s="1055"/>
      <c r="M778" s="1055"/>
      <c r="N778" s="1055"/>
      <c r="O778" s="1055"/>
      <c r="P778" s="1055"/>
      <c r="Q778" s="1055"/>
      <c r="R778" s="1055"/>
      <c r="S778" s="1055"/>
      <c r="T778" s="1055"/>
      <c r="U778" s="1055"/>
      <c r="V778" s="1055"/>
      <c r="W778" s="1055"/>
      <c r="X778" s="1055" t="s">
        <v>591</v>
      </c>
      <c r="Y778" s="1055"/>
      <c r="Z778" s="1055"/>
      <c r="AA778" s="1055"/>
      <c r="AB778" s="1055"/>
      <c r="AC778" s="1055"/>
      <c r="AD778" s="1055"/>
      <c r="AE778" s="1055"/>
      <c r="AF778" s="1055"/>
      <c r="AG778" s="1055"/>
      <c r="AH778" s="1055"/>
      <c r="AI778" s="1055"/>
      <c r="AJ778" s="1055"/>
      <c r="AK778" s="1055"/>
      <c r="AL778" s="1055"/>
      <c r="AM778" s="1055"/>
      <c r="AN778" s="1055"/>
      <c r="AO778" s="1055" t="s">
        <v>592</v>
      </c>
      <c r="AP778" s="1055"/>
      <c r="AQ778" s="1055"/>
      <c r="AR778" s="1055"/>
      <c r="AS778" s="1055"/>
      <c r="AT778" s="1055"/>
      <c r="AU778" s="1055"/>
      <c r="AV778" s="1055"/>
      <c r="AW778" s="1055"/>
      <c r="AX778" s="1055"/>
      <c r="AY778" s="1055"/>
      <c r="AZ778" s="1055"/>
      <c r="BA778" s="1055"/>
      <c r="BB778" s="1055"/>
      <c r="BC778" s="1055"/>
      <c r="BD778" s="1055"/>
      <c r="BE778" s="1055"/>
      <c r="BF778" s="1055"/>
      <c r="BG778" s="1056"/>
    </row>
    <row r="779" spans="1:59" ht="15" thickBot="1" x14ac:dyDescent="0.2">
      <c r="A779" s="1050"/>
      <c r="B779" s="1064"/>
      <c r="C779" s="1055"/>
      <c r="D779" s="1055"/>
      <c r="E779" s="1055"/>
      <c r="F779" s="1055"/>
      <c r="G779" s="1055"/>
      <c r="H779" s="1055"/>
      <c r="I779" s="1055"/>
      <c r="J779" s="1055"/>
      <c r="K779" s="1055"/>
      <c r="L779" s="1055"/>
      <c r="M779" s="1055"/>
      <c r="N779" s="1055"/>
      <c r="O779" s="1055"/>
      <c r="P779" s="1055"/>
      <c r="Q779" s="1055"/>
      <c r="R779" s="1055"/>
      <c r="S779" s="1055"/>
      <c r="T779" s="1055"/>
      <c r="U779" s="1055"/>
      <c r="V779" s="1055"/>
      <c r="W779" s="1055"/>
      <c r="X779" s="1055"/>
      <c r="Y779" s="1055"/>
      <c r="Z779" s="1055"/>
      <c r="AA779" s="1055"/>
      <c r="AB779" s="1055"/>
      <c r="AC779" s="1055"/>
      <c r="AD779" s="1055"/>
      <c r="AE779" s="1055"/>
      <c r="AF779" s="1055"/>
      <c r="AG779" s="1055"/>
      <c r="AH779" s="1055"/>
      <c r="AI779" s="1055"/>
      <c r="AJ779" s="1055"/>
      <c r="AK779" s="1055"/>
      <c r="AL779" s="1055"/>
      <c r="AM779" s="1055"/>
      <c r="AN779" s="1055"/>
      <c r="AO779" s="1055"/>
      <c r="AP779" s="1055"/>
      <c r="AQ779" s="1055"/>
      <c r="AR779" s="1055"/>
      <c r="AS779" s="1055"/>
      <c r="AT779" s="1055"/>
      <c r="AU779" s="1055"/>
      <c r="AV779" s="1055"/>
      <c r="AW779" s="1055"/>
      <c r="AX779" s="1055"/>
      <c r="AY779" s="1055"/>
      <c r="AZ779" s="1055"/>
      <c r="BA779" s="1055"/>
      <c r="BB779" s="1055"/>
      <c r="BC779" s="1055"/>
      <c r="BD779" s="1055"/>
      <c r="BE779" s="1055"/>
      <c r="BF779" s="1055"/>
      <c r="BG779" s="1056"/>
    </row>
    <row r="780" spans="1:59" ht="15" thickBot="1" x14ac:dyDescent="0.2">
      <c r="A780" s="1050"/>
      <c r="B780" s="1064"/>
      <c r="C780" s="1763" t="str">
        <f>+IF(KKVnyil="","",KKVnyil)</f>
        <v>legördülő cella</v>
      </c>
      <c r="D780" s="1764"/>
      <c r="E780" s="1764"/>
      <c r="F780" s="1764"/>
      <c r="G780" s="1764"/>
      <c r="H780" s="1764"/>
      <c r="I780" s="1764"/>
      <c r="J780" s="1764"/>
      <c r="K780" s="1764"/>
      <c r="L780" s="1764"/>
      <c r="M780" s="1764"/>
      <c r="N780" s="1764"/>
      <c r="O780" s="1764"/>
      <c r="P780" s="1764"/>
      <c r="Q780" s="1764"/>
      <c r="R780" s="1764"/>
      <c r="S780" s="1764"/>
      <c r="T780" s="1765"/>
      <c r="U780" s="1055"/>
      <c r="V780" s="1055"/>
      <c r="W780" s="1055"/>
      <c r="X780" s="1763" t="str">
        <f>+IF(gazformnyil="","",gazformnyil)</f>
        <v>legördülő cella</v>
      </c>
      <c r="Y780" s="1764"/>
      <c r="Z780" s="1764"/>
      <c r="AA780" s="1764"/>
      <c r="AB780" s="1764"/>
      <c r="AC780" s="1764"/>
      <c r="AD780" s="1764"/>
      <c r="AE780" s="1764"/>
      <c r="AF780" s="1764"/>
      <c r="AG780" s="1764"/>
      <c r="AH780" s="1764"/>
      <c r="AI780" s="1764"/>
      <c r="AJ780" s="1764"/>
      <c r="AK780" s="1764"/>
      <c r="AL780" s="1765"/>
      <c r="AM780" s="1055"/>
      <c r="AN780" s="1055"/>
      <c r="AO780" s="1055"/>
      <c r="AP780" s="1055"/>
      <c r="AQ780" s="1055"/>
      <c r="AR780" s="1055"/>
      <c r="AS780" s="1055"/>
      <c r="AT780" s="1055"/>
      <c r="AU780" s="1055"/>
      <c r="AV780" s="1055"/>
      <c r="AW780" s="1055"/>
      <c r="AX780" s="1055"/>
      <c r="AY780" s="1055"/>
      <c r="AZ780" s="1055"/>
      <c r="BA780" s="1055"/>
      <c r="BB780" s="1055"/>
      <c r="BC780" s="1055"/>
      <c r="BD780" s="1055"/>
      <c r="BE780" s="1055"/>
      <c r="BF780" s="1055"/>
      <c r="BG780" s="1056"/>
    </row>
    <row r="781" spans="1:59" x14ac:dyDescent="0.15">
      <c r="A781" s="1050"/>
      <c r="B781" s="1064"/>
      <c r="C781" s="1055" t="s">
        <v>593</v>
      </c>
      <c r="D781" s="1055"/>
      <c r="E781" s="1055"/>
      <c r="F781" s="1055"/>
      <c r="G781" s="1055"/>
      <c r="H781" s="1055"/>
      <c r="I781" s="1055"/>
      <c r="J781" s="1055"/>
      <c r="K781" s="1055"/>
      <c r="L781" s="1055"/>
      <c r="M781" s="1055"/>
      <c r="N781" s="1055"/>
      <c r="O781" s="1055"/>
      <c r="P781" s="1055"/>
      <c r="Q781" s="1055"/>
      <c r="R781" s="1055"/>
      <c r="S781" s="1055"/>
      <c r="T781" s="1055"/>
      <c r="U781" s="1055"/>
      <c r="V781" s="1055"/>
      <c r="W781" s="1055"/>
      <c r="X781" s="1055" t="s">
        <v>594</v>
      </c>
      <c r="Y781" s="1055"/>
      <c r="Z781" s="1055"/>
      <c r="AA781" s="1055"/>
      <c r="AB781" s="1055"/>
      <c r="AC781" s="1055"/>
      <c r="AD781" s="1055"/>
      <c r="AE781" s="1055"/>
      <c r="AF781" s="1055"/>
      <c r="AG781" s="1055"/>
      <c r="AH781" s="1055"/>
      <c r="AI781" s="1055"/>
      <c r="AJ781" s="1055"/>
      <c r="AK781" s="1055"/>
      <c r="AL781" s="1055"/>
      <c r="AM781" s="1055"/>
      <c r="AN781" s="1055"/>
      <c r="AO781" s="1055"/>
      <c r="AP781" s="1055"/>
      <c r="AQ781" s="1055"/>
      <c r="AR781" s="1055"/>
      <c r="AS781" s="1055"/>
      <c r="AT781" s="1055"/>
      <c r="AU781" s="1055"/>
      <c r="AV781" s="1055"/>
      <c r="AW781" s="1055"/>
      <c r="AX781" s="1055"/>
      <c r="AY781" s="1055"/>
      <c r="AZ781" s="1055"/>
      <c r="BA781" s="1055"/>
      <c r="BB781" s="1055"/>
      <c r="BC781" s="1055"/>
      <c r="BD781" s="1055"/>
      <c r="BE781" s="1055"/>
      <c r="BF781" s="1055"/>
      <c r="BG781" s="1056"/>
    </row>
    <row r="782" spans="1:59" ht="15" thickBot="1" x14ac:dyDescent="0.2">
      <c r="A782" s="1050"/>
      <c r="B782" s="1064"/>
      <c r="C782" s="1055"/>
      <c r="D782" s="1055"/>
      <c r="E782" s="1055"/>
      <c r="F782" s="1055"/>
      <c r="G782" s="1055"/>
      <c r="H782" s="1055"/>
      <c r="I782" s="1055"/>
      <c r="J782" s="1055"/>
      <c r="K782" s="1055"/>
      <c r="L782" s="1055"/>
      <c r="M782" s="1055"/>
      <c r="N782" s="1055"/>
      <c r="O782" s="1055"/>
      <c r="P782" s="1055"/>
      <c r="Q782" s="1055"/>
      <c r="R782" s="1055"/>
      <c r="S782" s="1055"/>
      <c r="T782" s="1055"/>
      <c r="U782" s="1055"/>
      <c r="V782" s="1055"/>
      <c r="W782" s="1055"/>
      <c r="X782" s="1055"/>
      <c r="Y782" s="1055"/>
      <c r="Z782" s="1055"/>
      <c r="AA782" s="1055"/>
      <c r="AB782" s="1055"/>
      <c r="AC782" s="1055"/>
      <c r="AD782" s="1055"/>
      <c r="AE782" s="1055"/>
      <c r="AF782" s="1055"/>
      <c r="AG782" s="1055"/>
      <c r="AH782" s="1055"/>
      <c r="AI782" s="1055"/>
      <c r="AJ782" s="1055"/>
      <c r="AK782" s="1055"/>
      <c r="AL782" s="1055"/>
      <c r="AM782" s="1055"/>
      <c r="AN782" s="1055"/>
      <c r="AO782" s="1055"/>
      <c r="AP782" s="1055"/>
      <c r="AQ782" s="1055"/>
      <c r="AR782" s="1055"/>
      <c r="AS782" s="1055"/>
      <c r="AT782" s="1055"/>
      <c r="AU782" s="1055"/>
      <c r="AV782" s="1055"/>
      <c r="AW782" s="1055"/>
      <c r="AX782" s="1055"/>
      <c r="AY782" s="1055"/>
      <c r="AZ782" s="1055"/>
      <c r="BA782" s="1055"/>
      <c r="BB782" s="1055"/>
      <c r="BC782" s="1055"/>
      <c r="BD782" s="1055"/>
      <c r="BE782" s="1055"/>
      <c r="BF782" s="1055"/>
      <c r="BG782" s="1056"/>
    </row>
    <row r="783" spans="1:59" ht="15" thickBot="1" x14ac:dyDescent="0.2">
      <c r="A783" s="1050"/>
      <c r="B783" s="1064"/>
      <c r="C783" s="1763" t="str">
        <f>+IF(kapcsnyil="","",kapcsnyil)</f>
        <v/>
      </c>
      <c r="D783" s="1764"/>
      <c r="E783" s="1764"/>
      <c r="F783" s="1764"/>
      <c r="G783" s="1764"/>
      <c r="H783" s="1764"/>
      <c r="I783" s="1764"/>
      <c r="J783" s="1764"/>
      <c r="K783" s="1764"/>
      <c r="L783" s="1764"/>
      <c r="M783" s="1764"/>
      <c r="N783" s="1764"/>
      <c r="O783" s="1764"/>
      <c r="P783" s="1764"/>
      <c r="Q783" s="1764"/>
      <c r="R783" s="1764"/>
      <c r="S783" s="1764"/>
      <c r="T783" s="1765"/>
      <c r="U783" s="1055"/>
      <c r="V783" s="1055"/>
      <c r="W783" s="1055"/>
      <c r="X783" s="1763" t="str">
        <f>+IF(kapcstelnyil="","",kapcstelnyil)</f>
        <v/>
      </c>
      <c r="Y783" s="1764"/>
      <c r="Z783" s="1764"/>
      <c r="AA783" s="1764"/>
      <c r="AB783" s="1764"/>
      <c r="AC783" s="1764"/>
      <c r="AD783" s="1764"/>
      <c r="AE783" s="1764"/>
      <c r="AF783" s="1764"/>
      <c r="AG783" s="1764"/>
      <c r="AH783" s="1764"/>
      <c r="AI783" s="1764"/>
      <c r="AJ783" s="1764"/>
      <c r="AK783" s="1764"/>
      <c r="AL783" s="1765"/>
      <c r="AM783" s="1055"/>
      <c r="AN783" s="1055"/>
      <c r="AO783" s="1763" t="str">
        <f>+IF(kapcsemailnyil="","",kapcsemailnyil)</f>
        <v/>
      </c>
      <c r="AP783" s="1764"/>
      <c r="AQ783" s="1764"/>
      <c r="AR783" s="1764"/>
      <c r="AS783" s="1764"/>
      <c r="AT783" s="1764"/>
      <c r="AU783" s="1764"/>
      <c r="AV783" s="1764"/>
      <c r="AW783" s="1764"/>
      <c r="AX783" s="1764"/>
      <c r="AY783" s="1764"/>
      <c r="AZ783" s="1764"/>
      <c r="BA783" s="1764"/>
      <c r="BB783" s="1764"/>
      <c r="BC783" s="1764"/>
      <c r="BD783" s="1764"/>
      <c r="BE783" s="1764"/>
      <c r="BF783" s="1765"/>
      <c r="BG783" s="1056"/>
    </row>
    <row r="784" spans="1:59" x14ac:dyDescent="0.15">
      <c r="A784" s="1050"/>
      <c r="B784" s="1064"/>
      <c r="C784" s="1055" t="s">
        <v>587</v>
      </c>
      <c r="D784" s="1055"/>
      <c r="E784" s="1055"/>
      <c r="F784" s="1055"/>
      <c r="G784" s="1055"/>
      <c r="H784" s="1055"/>
      <c r="I784" s="1055"/>
      <c r="J784" s="1055"/>
      <c r="K784" s="1055"/>
      <c r="L784" s="1055"/>
      <c r="M784" s="1055"/>
      <c r="N784" s="1055"/>
      <c r="O784" s="1055"/>
      <c r="P784" s="1055"/>
      <c r="Q784" s="1055"/>
      <c r="R784" s="1055"/>
      <c r="S784" s="1055"/>
      <c r="T784" s="1055"/>
      <c r="U784" s="1055"/>
      <c r="V784" s="1055"/>
      <c r="W784" s="1055"/>
      <c r="X784" s="1055" t="s">
        <v>586</v>
      </c>
      <c r="Y784" s="1055"/>
      <c r="Z784" s="1055"/>
      <c r="AA784" s="1055"/>
      <c r="AB784" s="1055"/>
      <c r="AC784" s="1055"/>
      <c r="AD784" s="1055"/>
      <c r="AE784" s="1055"/>
      <c r="AF784" s="1055"/>
      <c r="AG784" s="1055"/>
      <c r="AH784" s="1055"/>
      <c r="AI784" s="1055"/>
      <c r="AJ784" s="1055"/>
      <c r="AK784" s="1055"/>
      <c r="AL784" s="1055"/>
      <c r="AM784" s="1055"/>
      <c r="AN784" s="1055"/>
      <c r="AO784" s="1055" t="s">
        <v>585</v>
      </c>
      <c r="AP784" s="1055"/>
      <c r="AQ784" s="1055"/>
      <c r="AR784" s="1055"/>
      <c r="AS784" s="1055"/>
      <c r="AT784" s="1055"/>
      <c r="AU784" s="1055"/>
      <c r="AV784" s="1055"/>
      <c r="AW784" s="1055"/>
      <c r="AX784" s="1055"/>
      <c r="AY784" s="1055"/>
      <c r="AZ784" s="1055"/>
      <c r="BA784" s="1055"/>
      <c r="BB784" s="1055"/>
      <c r="BC784" s="1055"/>
      <c r="BD784" s="1055"/>
      <c r="BE784" s="1055"/>
      <c r="BF784" s="1055"/>
      <c r="BG784" s="1056"/>
    </row>
    <row r="785" spans="1:59" ht="15" thickBot="1" x14ac:dyDescent="0.2">
      <c r="A785" s="1050"/>
      <c r="B785" s="1064"/>
      <c r="C785" s="1055"/>
      <c r="D785" s="1055"/>
      <c r="E785" s="1055"/>
      <c r="F785" s="1055"/>
      <c r="G785" s="1055"/>
      <c r="H785" s="1055"/>
      <c r="I785" s="1055"/>
      <c r="J785" s="1055"/>
      <c r="K785" s="1055"/>
      <c r="L785" s="1055"/>
      <c r="M785" s="1055"/>
      <c r="N785" s="1055"/>
      <c r="O785" s="1055"/>
      <c r="P785" s="1055"/>
      <c r="Q785" s="1055"/>
      <c r="R785" s="1055"/>
      <c r="S785" s="1055"/>
      <c r="T785" s="1055"/>
      <c r="U785" s="1055"/>
      <c r="V785" s="1055"/>
      <c r="W785" s="1055"/>
      <c r="X785" s="1055"/>
      <c r="Y785" s="1055"/>
      <c r="Z785" s="1055"/>
      <c r="AA785" s="1055"/>
      <c r="AB785" s="1055"/>
      <c r="AC785" s="1055"/>
      <c r="AD785" s="1055"/>
      <c r="AE785" s="1055"/>
      <c r="AF785" s="1055"/>
      <c r="AG785" s="1055"/>
      <c r="AH785" s="1055"/>
      <c r="AI785" s="1055"/>
      <c r="AJ785" s="1055"/>
      <c r="AK785" s="1055"/>
      <c r="AL785" s="1055"/>
      <c r="AM785" s="1055"/>
      <c r="AN785" s="1055"/>
      <c r="AO785" s="1055"/>
      <c r="AP785" s="1055"/>
      <c r="AQ785" s="1055"/>
      <c r="AR785" s="1055"/>
      <c r="AS785" s="1055"/>
      <c r="AT785" s="1055"/>
      <c r="AU785" s="1055"/>
      <c r="AV785" s="1055"/>
      <c r="AW785" s="1055"/>
      <c r="AX785" s="1055"/>
      <c r="AY785" s="1055"/>
      <c r="AZ785" s="1055"/>
      <c r="BA785" s="1055"/>
      <c r="BB785" s="1055"/>
      <c r="BC785" s="1055"/>
      <c r="BD785" s="1055"/>
      <c r="BE785" s="1055"/>
      <c r="BF785" s="1055"/>
      <c r="BG785" s="1056"/>
    </row>
    <row r="786" spans="1:59" ht="15" thickBot="1" x14ac:dyDescent="0.2">
      <c r="A786" s="1050"/>
      <c r="B786" s="1064"/>
      <c r="C786" s="1763" t="str">
        <f>+IF(vállemailnyil="","",vállemailnyil)</f>
        <v/>
      </c>
      <c r="D786" s="1764"/>
      <c r="E786" s="1764"/>
      <c r="F786" s="1764"/>
      <c r="G786" s="1764"/>
      <c r="H786" s="1764"/>
      <c r="I786" s="1764"/>
      <c r="J786" s="1764"/>
      <c r="K786" s="1764"/>
      <c r="L786" s="1764"/>
      <c r="M786" s="1764"/>
      <c r="N786" s="1764"/>
      <c r="O786" s="1764"/>
      <c r="P786" s="1764"/>
      <c r="Q786" s="1764"/>
      <c r="R786" s="1764"/>
      <c r="S786" s="1764"/>
      <c r="T786" s="1765"/>
      <c r="U786" s="1055"/>
      <c r="V786" s="1055"/>
      <c r="W786" s="1055"/>
      <c r="X786" s="1763" t="str">
        <f>+IF(válltelnyil="","",válltelnyil)</f>
        <v/>
      </c>
      <c r="Y786" s="1764"/>
      <c r="Z786" s="1764"/>
      <c r="AA786" s="1764"/>
      <c r="AB786" s="1764"/>
      <c r="AC786" s="1764"/>
      <c r="AD786" s="1764"/>
      <c r="AE786" s="1764"/>
      <c r="AF786" s="1764"/>
      <c r="AG786" s="1764"/>
      <c r="AH786" s="1764"/>
      <c r="AI786" s="1764"/>
      <c r="AJ786" s="1764"/>
      <c r="AK786" s="1764"/>
      <c r="AL786" s="1765"/>
      <c r="AM786" s="1055"/>
      <c r="AN786" s="1055"/>
      <c r="AO786" s="1055"/>
      <c r="AP786" s="1055"/>
      <c r="AQ786" s="1055"/>
      <c r="AR786" s="1055"/>
      <c r="AS786" s="1055"/>
      <c r="AT786" s="1055"/>
      <c r="AU786" s="1055"/>
      <c r="AV786" s="1055"/>
      <c r="AW786" s="1055"/>
      <c r="AX786" s="1055"/>
      <c r="AY786" s="1055"/>
      <c r="AZ786" s="1055"/>
      <c r="BA786" s="1055"/>
      <c r="BB786" s="1055"/>
      <c r="BC786" s="1055"/>
      <c r="BD786" s="1055"/>
      <c r="BE786" s="1055"/>
      <c r="BF786" s="1055"/>
      <c r="BG786" s="1056"/>
    </row>
    <row r="787" spans="1:59" x14ac:dyDescent="0.15">
      <c r="A787" s="1050"/>
      <c r="B787" s="1064"/>
      <c r="C787" s="1055" t="s">
        <v>588</v>
      </c>
      <c r="D787" s="1055"/>
      <c r="E787" s="1055"/>
      <c r="F787" s="1055"/>
      <c r="G787" s="1055"/>
      <c r="H787" s="1055"/>
      <c r="I787" s="1055"/>
      <c r="J787" s="1055"/>
      <c r="K787" s="1055"/>
      <c r="L787" s="1055"/>
      <c r="M787" s="1055"/>
      <c r="N787" s="1055"/>
      <c r="O787" s="1055"/>
      <c r="P787" s="1055"/>
      <c r="Q787" s="1055"/>
      <c r="R787" s="1055"/>
      <c r="S787" s="1055"/>
      <c r="T787" s="1055"/>
      <c r="U787" s="1055"/>
      <c r="V787" s="1055"/>
      <c r="W787" s="1055"/>
      <c r="X787" s="1055" t="s">
        <v>589</v>
      </c>
      <c r="Y787" s="1055"/>
      <c r="Z787" s="1055"/>
      <c r="AA787" s="1055"/>
      <c r="AB787" s="1055"/>
      <c r="AC787" s="1055"/>
      <c r="AD787" s="1055"/>
      <c r="AE787" s="1055"/>
      <c r="AF787" s="1055"/>
      <c r="AG787" s="1055"/>
      <c r="AH787" s="1055"/>
      <c r="AI787" s="1055"/>
      <c r="AJ787" s="1055"/>
      <c r="AK787" s="1055"/>
      <c r="AL787" s="1055"/>
      <c r="AM787" s="1055"/>
      <c r="AN787" s="1055"/>
      <c r="AO787" s="1055"/>
      <c r="AP787" s="1055"/>
      <c r="AQ787" s="1055"/>
      <c r="AR787" s="1055"/>
      <c r="AS787" s="1055"/>
      <c r="AT787" s="1055"/>
      <c r="AU787" s="1055"/>
      <c r="AV787" s="1055"/>
      <c r="AW787" s="1055"/>
      <c r="AX787" s="1055"/>
      <c r="AY787" s="1055"/>
      <c r="AZ787" s="1055"/>
      <c r="BA787" s="1055"/>
      <c r="BB787" s="1055"/>
      <c r="BC787" s="1055"/>
      <c r="BD787" s="1055"/>
      <c r="BE787" s="1055"/>
      <c r="BF787" s="1055"/>
      <c r="BG787" s="1056"/>
    </row>
    <row r="788" spans="1:59" x14ac:dyDescent="0.15">
      <c r="A788" s="1050"/>
      <c r="B788" s="1065"/>
      <c r="C788" s="1066"/>
      <c r="D788" s="1066"/>
      <c r="E788" s="1066"/>
      <c r="F788" s="1066"/>
      <c r="G788" s="1066"/>
      <c r="H788" s="1066"/>
      <c r="I788" s="1066"/>
      <c r="J788" s="1066"/>
      <c r="K788" s="1066"/>
      <c r="L788" s="1066"/>
      <c r="M788" s="1066"/>
      <c r="N788" s="1066"/>
      <c r="O788" s="1066"/>
      <c r="P788" s="1066"/>
      <c r="Q788" s="1066"/>
      <c r="R788" s="1066"/>
      <c r="S788" s="1066"/>
      <c r="T788" s="1066"/>
      <c r="U788" s="1066"/>
      <c r="V788" s="1066"/>
      <c r="W788" s="1066"/>
      <c r="X788" s="1066"/>
      <c r="Y788" s="1066"/>
      <c r="Z788" s="1066"/>
      <c r="AA788" s="1066"/>
      <c r="AB788" s="1066"/>
      <c r="AC788" s="1066"/>
      <c r="AD788" s="1066"/>
      <c r="AE788" s="1066"/>
      <c r="AF788" s="1066"/>
      <c r="AG788" s="1066"/>
      <c r="AH788" s="1066"/>
      <c r="AI788" s="1066"/>
      <c r="AJ788" s="1066"/>
      <c r="AK788" s="1066"/>
      <c r="AL788" s="1066"/>
      <c r="AM788" s="1066"/>
      <c r="AN788" s="1066"/>
      <c r="AO788" s="1066"/>
      <c r="AP788" s="1066"/>
      <c r="AQ788" s="1066"/>
      <c r="AR788" s="1066"/>
      <c r="AS788" s="1066"/>
      <c r="AT788" s="1066"/>
      <c r="AU788" s="1066"/>
      <c r="AV788" s="1066"/>
      <c r="AW788" s="1066"/>
      <c r="AX788" s="1066"/>
      <c r="AY788" s="1066"/>
      <c r="AZ788" s="1066"/>
      <c r="BA788" s="1066"/>
      <c r="BB788" s="1066"/>
      <c r="BC788" s="1066"/>
      <c r="BD788" s="1066"/>
      <c r="BE788" s="1066"/>
      <c r="BF788" s="1066"/>
      <c r="BG788" s="1067"/>
    </row>
    <row r="789" spans="1:59" x14ac:dyDescent="0.15">
      <c r="A789" s="1050"/>
      <c r="B789" s="1753" t="s">
        <v>846</v>
      </c>
      <c r="C789" s="1754"/>
      <c r="D789" s="1754"/>
      <c r="E789" s="1754"/>
      <c r="F789" s="1754"/>
      <c r="G789" s="1754"/>
      <c r="H789" s="1754"/>
      <c r="I789" s="1754"/>
      <c r="J789" s="1754"/>
      <c r="K789" s="1754"/>
      <c r="L789" s="1754"/>
      <c r="M789" s="1754"/>
      <c r="N789" s="1754"/>
      <c r="O789" s="1754"/>
      <c r="P789" s="1754"/>
      <c r="Q789" s="1754"/>
      <c r="R789" s="1754"/>
      <c r="S789" s="1754"/>
      <c r="T789" s="1754"/>
      <c r="U789" s="1754"/>
      <c r="V789" s="1754"/>
      <c r="W789" s="1754"/>
      <c r="X789" s="1754"/>
      <c r="Y789" s="1754"/>
      <c r="Z789" s="1754"/>
      <c r="AA789" s="1754"/>
      <c r="AB789" s="1754"/>
      <c r="AC789" s="1754"/>
      <c r="AD789" s="1754"/>
      <c r="AE789" s="1754"/>
      <c r="AF789" s="1754"/>
      <c r="AG789" s="1754"/>
      <c r="AH789" s="1754"/>
      <c r="AI789" s="1754"/>
      <c r="AJ789" s="1754"/>
      <c r="AK789" s="1754"/>
      <c r="AL789" s="1754"/>
      <c r="AM789" s="1754"/>
      <c r="AN789" s="1754"/>
      <c r="AO789" s="1754"/>
      <c r="AP789" s="1754"/>
      <c r="AQ789" s="1754"/>
      <c r="AR789" s="1754"/>
      <c r="AS789" s="1754"/>
      <c r="AT789" s="1754"/>
      <c r="AU789" s="1754"/>
      <c r="AV789" s="1754"/>
      <c r="AW789" s="1754"/>
      <c r="AX789" s="1754"/>
      <c r="AY789" s="1754"/>
      <c r="AZ789" s="1754"/>
      <c r="BA789" s="1754"/>
      <c r="BB789" s="1754"/>
      <c r="BC789" s="1754"/>
      <c r="BD789" s="1754"/>
      <c r="BE789" s="1754"/>
      <c r="BF789" s="1754"/>
      <c r="BG789" s="1755"/>
    </row>
    <row r="790" spans="1:59" x14ac:dyDescent="0.15">
      <c r="A790" s="1050"/>
      <c r="B790" s="1068"/>
      <c r="C790" s="1751" t="s">
        <v>777</v>
      </c>
      <c r="D790" s="1751"/>
      <c r="E790" s="1751"/>
      <c r="F790" s="1751"/>
      <c r="G790" s="1751"/>
      <c r="H790" s="1751"/>
      <c r="I790" s="1751"/>
      <c r="J790" s="1751"/>
      <c r="K790" s="1751"/>
      <c r="L790" s="1751"/>
      <c r="M790" s="1751"/>
      <c r="N790" s="1751"/>
      <c r="O790" s="1751"/>
      <c r="P790" s="1751"/>
      <c r="Q790" s="1751"/>
      <c r="R790" s="1751"/>
      <c r="S790" s="1751"/>
      <c r="T790" s="1751"/>
      <c r="U790" s="1751"/>
      <c r="V790" s="1751"/>
      <c r="W790" s="1751"/>
      <c r="X790" s="1751"/>
      <c r="Y790" s="1751"/>
      <c r="Z790" s="1751"/>
      <c r="AA790" s="1751"/>
      <c r="AB790" s="1751"/>
      <c r="AC790" s="1751"/>
      <c r="AD790" s="1751"/>
      <c r="AE790" s="1751"/>
      <c r="AF790" s="1751"/>
      <c r="AG790" s="1751"/>
      <c r="AH790" s="1751"/>
      <c r="AI790" s="1751"/>
      <c r="AJ790" s="1751"/>
      <c r="AK790" s="1751"/>
      <c r="AL790" s="1751"/>
      <c r="AM790" s="1751"/>
      <c r="AN790" s="1751"/>
      <c r="AO790" s="1751"/>
      <c r="AP790" s="1751"/>
      <c r="AQ790" s="1751"/>
      <c r="AR790" s="1751"/>
      <c r="AS790" s="1751"/>
      <c r="AT790" s="1751"/>
      <c r="AU790" s="1751"/>
      <c r="AV790" s="1751"/>
      <c r="AW790" s="1751"/>
      <c r="AX790" s="1751"/>
      <c r="AY790" s="1751"/>
      <c r="AZ790" s="1751"/>
      <c r="BA790" s="1751"/>
      <c r="BB790" s="1751"/>
      <c r="BC790" s="1751"/>
      <c r="BD790" s="1751"/>
      <c r="BE790" s="1751"/>
      <c r="BF790" s="1751"/>
      <c r="BG790" s="1069"/>
    </row>
    <row r="791" spans="1:59" ht="15" thickBot="1" x14ac:dyDescent="0.2">
      <c r="A791" s="1050"/>
      <c r="B791" s="1064"/>
      <c r="C791" s="1761" t="s">
        <v>914</v>
      </c>
      <c r="D791" s="1761"/>
      <c r="E791" s="1761"/>
      <c r="F791" s="1761"/>
      <c r="G791" s="1761"/>
      <c r="H791" s="1761"/>
      <c r="I791" s="1761"/>
      <c r="J791" s="1761"/>
      <c r="K791" s="1761"/>
      <c r="L791" s="1761"/>
      <c r="M791" s="1761"/>
      <c r="N791" s="1761"/>
      <c r="O791" s="1761"/>
      <c r="P791" s="1761"/>
      <c r="Q791" s="1761"/>
      <c r="R791" s="1761"/>
      <c r="S791" s="1761"/>
      <c r="T791" s="1761"/>
      <c r="U791" s="1761"/>
      <c r="V791" s="1761"/>
      <c r="W791" s="1761"/>
      <c r="X791" s="1761"/>
      <c r="Y791" s="1761"/>
      <c r="Z791" s="1761"/>
      <c r="AA791" s="1761"/>
      <c r="AB791" s="1761"/>
      <c r="AC791" s="1761"/>
      <c r="AD791" s="1761"/>
      <c r="AE791" s="1761"/>
      <c r="AF791" s="1761"/>
      <c r="AG791" s="1761"/>
      <c r="AH791" s="1761"/>
      <c r="AI791" s="1761"/>
      <c r="AJ791" s="1761"/>
      <c r="AK791" s="1761"/>
      <c r="AL791" s="1761"/>
      <c r="AM791" s="1761"/>
      <c r="AN791" s="1761"/>
      <c r="AO791" s="1761"/>
      <c r="AP791" s="1761"/>
      <c r="AQ791" s="1761"/>
      <c r="AR791" s="1761"/>
      <c r="AS791" s="1761"/>
      <c r="AT791" s="1761"/>
      <c r="AU791" s="1761"/>
      <c r="AV791" s="1761"/>
      <c r="AW791" s="1761"/>
      <c r="AX791" s="1761"/>
      <c r="AY791" s="1761"/>
      <c r="AZ791" s="1761"/>
      <c r="BA791" s="1761"/>
      <c r="BB791" s="1761"/>
      <c r="BC791" s="1761"/>
      <c r="BD791" s="1761"/>
      <c r="BE791" s="1761"/>
      <c r="BF791" s="1761"/>
      <c r="BG791" s="1056"/>
    </row>
    <row r="792" spans="1:59" ht="15" thickBot="1" x14ac:dyDescent="0.2">
      <c r="A792" s="1050"/>
      <c r="B792" s="1064"/>
      <c r="C792" s="1748" t="str">
        <f>+Nyilatkozatok!CX160</f>
        <v>mezőgazdasági termékek feldolgozása, forgalmazásának támogatása</v>
      </c>
      <c r="D792" s="1749"/>
      <c r="E792" s="1749"/>
      <c r="F792" s="1749"/>
      <c r="G792" s="1749"/>
      <c r="H792" s="1749"/>
      <c r="I792" s="1749"/>
      <c r="J792" s="1749"/>
      <c r="K792" s="1749"/>
      <c r="L792" s="1749"/>
      <c r="M792" s="1749"/>
      <c r="N792" s="1749"/>
      <c r="O792" s="1749"/>
      <c r="P792" s="1749"/>
      <c r="Q792" s="1749"/>
      <c r="R792" s="1749"/>
      <c r="S792" s="1749"/>
      <c r="T792" s="1749"/>
      <c r="U792" s="1749"/>
      <c r="V792" s="1749"/>
      <c r="W792" s="1749"/>
      <c r="X792" s="1749"/>
      <c r="Y792" s="1749"/>
      <c r="Z792" s="1749"/>
      <c r="AA792" s="1749"/>
      <c r="AB792" s="1749"/>
      <c r="AC792" s="1749"/>
      <c r="AD792" s="1749"/>
      <c r="AE792" s="1749"/>
      <c r="AF792" s="1749"/>
      <c r="AG792" s="1749"/>
      <c r="AH792" s="1750"/>
      <c r="AI792" s="1070"/>
      <c r="AJ792" s="1070"/>
      <c r="AK792" s="1070"/>
      <c r="AL792" s="1070"/>
      <c r="AM792" s="1070"/>
      <c r="AN792" s="1070"/>
      <c r="AO792" s="1070"/>
      <c r="AP792" s="1070"/>
      <c r="AQ792" s="1070"/>
      <c r="AR792" s="1070"/>
      <c r="AS792" s="1070"/>
      <c r="AT792" s="1070"/>
      <c r="AU792" s="1070"/>
      <c r="AV792" s="1070"/>
      <c r="AW792" s="1070"/>
      <c r="AX792" s="1070"/>
      <c r="AY792" s="1070"/>
      <c r="AZ792" s="1070"/>
      <c r="BA792" s="1070"/>
      <c r="BB792" s="1070"/>
      <c r="BC792" s="1070"/>
      <c r="BD792" s="1070"/>
      <c r="BE792" s="1070"/>
      <c r="BF792" s="1070"/>
      <c r="BG792" s="1056"/>
    </row>
    <row r="793" spans="1:59" x14ac:dyDescent="0.15">
      <c r="A793" s="1050"/>
      <c r="B793" s="1064"/>
      <c r="C793" s="1761" t="s">
        <v>856</v>
      </c>
      <c r="D793" s="1761"/>
      <c r="E793" s="1761"/>
      <c r="F793" s="1761"/>
      <c r="G793" s="1761"/>
      <c r="H793" s="1761"/>
      <c r="I793" s="1761"/>
      <c r="J793" s="1761"/>
      <c r="K793" s="1761"/>
      <c r="L793" s="1761"/>
      <c r="M793" s="1761"/>
      <c r="N793" s="1761"/>
      <c r="O793" s="1761"/>
      <c r="P793" s="1761"/>
      <c r="Q793" s="1761"/>
      <c r="R793" s="1761"/>
      <c r="S793" s="1761"/>
      <c r="T793" s="1761"/>
      <c r="U793" s="1761"/>
      <c r="V793" s="1761"/>
      <c r="W793" s="1761"/>
      <c r="X793" s="1761"/>
      <c r="Y793" s="1761"/>
      <c r="Z793" s="1761"/>
      <c r="AA793" s="1761"/>
      <c r="AB793" s="1761"/>
      <c r="AC793" s="1761"/>
      <c r="AD793" s="1761"/>
      <c r="AE793" s="1761"/>
      <c r="AF793" s="1761"/>
      <c r="AG793" s="1761"/>
      <c r="AH793" s="1761"/>
      <c r="AI793" s="1761"/>
      <c r="AJ793" s="1761"/>
      <c r="AK793" s="1761"/>
      <c r="AL793" s="1761"/>
      <c r="AM793" s="1761"/>
      <c r="AN793" s="1761"/>
      <c r="AO793" s="1761"/>
      <c r="AP793" s="1761"/>
      <c r="AQ793" s="1761"/>
      <c r="AR793" s="1761"/>
      <c r="AS793" s="1761"/>
      <c r="AT793" s="1761"/>
      <c r="AU793" s="1761"/>
      <c r="AV793" s="1761"/>
      <c r="AW793" s="1761"/>
      <c r="AX793" s="1761"/>
      <c r="AY793" s="1761"/>
      <c r="AZ793" s="1761"/>
      <c r="BA793" s="1761"/>
      <c r="BB793" s="1761"/>
      <c r="BC793" s="1761"/>
      <c r="BD793" s="1761"/>
      <c r="BE793" s="1761"/>
      <c r="BF793" s="1761"/>
      <c r="BG793" s="1056"/>
    </row>
    <row r="794" spans="1:59" x14ac:dyDescent="0.15">
      <c r="A794" s="1050"/>
      <c r="B794" s="1064"/>
      <c r="C794" s="1759" t="str">
        <f>+Nyilatkozatok!CX161</f>
        <v xml:space="preserve">– a finanszírozást nem visszaigényelhető általános forgalmi adó (ÁFA) finanszírozására használom fel, kivéve, ha ÁFA visszaigénylésére nem vagyok jogosult; </v>
      </c>
      <c r="D794" s="1759"/>
      <c r="E794" s="1759"/>
      <c r="F794" s="1759"/>
      <c r="G794" s="1759"/>
      <c r="H794" s="1759"/>
      <c r="I794" s="1759"/>
      <c r="J794" s="1759"/>
      <c r="K794" s="1759"/>
      <c r="L794" s="1759"/>
      <c r="M794" s="1759"/>
      <c r="N794" s="1759"/>
      <c r="O794" s="1759"/>
      <c r="P794" s="1759"/>
      <c r="Q794" s="1759"/>
      <c r="R794" s="1759"/>
      <c r="S794" s="1759"/>
      <c r="T794" s="1759"/>
      <c r="U794" s="1759"/>
      <c r="V794" s="1759"/>
      <c r="W794" s="1759"/>
      <c r="X794" s="1759"/>
      <c r="Y794" s="1759"/>
      <c r="Z794" s="1759"/>
      <c r="AA794" s="1759"/>
      <c r="AB794" s="1759"/>
      <c r="AC794" s="1759"/>
      <c r="AD794" s="1759"/>
      <c r="AE794" s="1759"/>
      <c r="AF794" s="1759"/>
      <c r="AG794" s="1759"/>
      <c r="AH794" s="1759"/>
      <c r="AI794" s="1759"/>
      <c r="AJ794" s="1759"/>
      <c r="AK794" s="1759"/>
      <c r="AL794" s="1759"/>
      <c r="AM794" s="1759"/>
      <c r="AN794" s="1759"/>
      <c r="AO794" s="1759"/>
      <c r="AP794" s="1759"/>
      <c r="AQ794" s="1759"/>
      <c r="AR794" s="1759"/>
      <c r="AS794" s="1759"/>
      <c r="AT794" s="1759"/>
      <c r="AU794" s="1759"/>
      <c r="AV794" s="1759"/>
      <c r="AW794" s="1759"/>
      <c r="AX794" s="1759"/>
      <c r="AY794" s="1759"/>
      <c r="AZ794" s="1759"/>
      <c r="BA794" s="1759"/>
      <c r="BB794" s="1759"/>
      <c r="BC794" s="1759"/>
      <c r="BD794" s="1759"/>
      <c r="BE794" s="1759"/>
      <c r="BF794" s="1759"/>
      <c r="BG794" s="1056"/>
    </row>
    <row r="795" spans="1:59" x14ac:dyDescent="0.15">
      <c r="A795" s="1050"/>
      <c r="B795" s="1064"/>
      <c r="C795" s="1759" t="str">
        <f>+Nyilatkozatok!CX162</f>
        <v xml:space="preserve">– a finanszírozást nem más hitel, lízing kiváltására, üzletrész, részvény, illetve más társasági részesedés vásárlására használom fel; </v>
      </c>
      <c r="D795" s="1759"/>
      <c r="E795" s="1759"/>
      <c r="F795" s="1759"/>
      <c r="G795" s="1759"/>
      <c r="H795" s="1759"/>
      <c r="I795" s="1759"/>
      <c r="J795" s="1759"/>
      <c r="K795" s="1759"/>
      <c r="L795" s="1759"/>
      <c r="M795" s="1759"/>
      <c r="N795" s="1759"/>
      <c r="O795" s="1759"/>
      <c r="P795" s="1759"/>
      <c r="Q795" s="1759"/>
      <c r="R795" s="1759"/>
      <c r="S795" s="1759"/>
      <c r="T795" s="1759"/>
      <c r="U795" s="1759"/>
      <c r="V795" s="1759"/>
      <c r="W795" s="1759"/>
      <c r="X795" s="1759"/>
      <c r="Y795" s="1759"/>
      <c r="Z795" s="1759"/>
      <c r="AA795" s="1759"/>
      <c r="AB795" s="1759"/>
      <c r="AC795" s="1759"/>
      <c r="AD795" s="1759"/>
      <c r="AE795" s="1759"/>
      <c r="AF795" s="1759"/>
      <c r="AG795" s="1759"/>
      <c r="AH795" s="1759"/>
      <c r="AI795" s="1759"/>
      <c r="AJ795" s="1759"/>
      <c r="AK795" s="1759"/>
      <c r="AL795" s="1759"/>
      <c r="AM795" s="1759"/>
      <c r="AN795" s="1759"/>
      <c r="AO795" s="1759"/>
      <c r="AP795" s="1759"/>
      <c r="AQ795" s="1759"/>
      <c r="AR795" s="1759"/>
      <c r="AS795" s="1759"/>
      <c r="AT795" s="1759"/>
      <c r="AU795" s="1759"/>
      <c r="AV795" s="1759"/>
      <c r="AW795" s="1759"/>
      <c r="AX795" s="1759"/>
      <c r="AY795" s="1759"/>
      <c r="AZ795" s="1759"/>
      <c r="BA795" s="1759"/>
      <c r="BB795" s="1759"/>
      <c r="BC795" s="1759"/>
      <c r="BD795" s="1759"/>
      <c r="BE795" s="1759"/>
      <c r="BF795" s="1759"/>
      <c r="BG795" s="1056"/>
    </row>
    <row r="796" spans="1:59" ht="28.5" customHeight="1" x14ac:dyDescent="0.15">
      <c r="A796" s="1050"/>
      <c r="B796" s="1064"/>
      <c r="C796" s="1759" t="str">
        <f>+Nyilatkozatok!CX163</f>
        <v xml:space="preserve">– a finanszírozást nem a finanszírozásról szóló döntés napján fizikailag már lezárt (befejezett) vagy teljes mértékben (fizikailag és pénzügyileg is) végrehajtott beruházás finanszírozására használom fel; </v>
      </c>
      <c r="D796" s="1759"/>
      <c r="E796" s="1759"/>
      <c r="F796" s="1759"/>
      <c r="G796" s="1759"/>
      <c r="H796" s="1759"/>
      <c r="I796" s="1759"/>
      <c r="J796" s="1759"/>
      <c r="K796" s="1759"/>
      <c r="L796" s="1759"/>
      <c r="M796" s="1759"/>
      <c r="N796" s="1759"/>
      <c r="O796" s="1759"/>
      <c r="P796" s="1759"/>
      <c r="Q796" s="1759"/>
      <c r="R796" s="1759"/>
      <c r="S796" s="1759"/>
      <c r="T796" s="1759"/>
      <c r="U796" s="1759"/>
      <c r="V796" s="1759"/>
      <c r="W796" s="1759"/>
      <c r="X796" s="1759"/>
      <c r="Y796" s="1759"/>
      <c r="Z796" s="1759"/>
      <c r="AA796" s="1759"/>
      <c r="AB796" s="1759"/>
      <c r="AC796" s="1759"/>
      <c r="AD796" s="1759"/>
      <c r="AE796" s="1759"/>
      <c r="AF796" s="1759"/>
      <c r="AG796" s="1759"/>
      <c r="AH796" s="1759"/>
      <c r="AI796" s="1759"/>
      <c r="AJ796" s="1759"/>
      <c r="AK796" s="1759"/>
      <c r="AL796" s="1759"/>
      <c r="AM796" s="1759"/>
      <c r="AN796" s="1759"/>
      <c r="AO796" s="1759"/>
      <c r="AP796" s="1759"/>
      <c r="AQ796" s="1759"/>
      <c r="AR796" s="1759"/>
      <c r="AS796" s="1759"/>
      <c r="AT796" s="1759"/>
      <c r="AU796" s="1759"/>
      <c r="AV796" s="1759"/>
      <c r="AW796" s="1759"/>
      <c r="AX796" s="1759"/>
      <c r="AY796" s="1759"/>
      <c r="AZ796" s="1759"/>
      <c r="BA796" s="1759"/>
      <c r="BB796" s="1759"/>
      <c r="BC796" s="1759"/>
      <c r="BD796" s="1759"/>
      <c r="BE796" s="1759"/>
      <c r="BF796" s="1759"/>
      <c r="BG796" s="1056"/>
    </row>
    <row r="797" spans="1:59" ht="18.75" customHeight="1" x14ac:dyDescent="0.15">
      <c r="A797" s="1050"/>
      <c r="B797" s="1064"/>
      <c r="C797" s="1759" t="str">
        <f>+Nyilatkozatok!CX164</f>
        <v>– a finanszírozást nem forgóeszköz finanszírozáshoz használom fel</v>
      </c>
      <c r="D797" s="1759"/>
      <c r="E797" s="1759"/>
      <c r="F797" s="1759"/>
      <c r="G797" s="1759"/>
      <c r="H797" s="1759"/>
      <c r="I797" s="1759"/>
      <c r="J797" s="1759"/>
      <c r="K797" s="1759"/>
      <c r="L797" s="1759"/>
      <c r="M797" s="1759"/>
      <c r="N797" s="1759"/>
      <c r="O797" s="1759"/>
      <c r="P797" s="1759"/>
      <c r="Q797" s="1759"/>
      <c r="R797" s="1759"/>
      <c r="S797" s="1759"/>
      <c r="T797" s="1759"/>
      <c r="U797" s="1759"/>
      <c r="V797" s="1759"/>
      <c r="W797" s="1759"/>
      <c r="X797" s="1759"/>
      <c r="Y797" s="1759"/>
      <c r="Z797" s="1759"/>
      <c r="AA797" s="1759"/>
      <c r="AB797" s="1759"/>
      <c r="AC797" s="1759"/>
      <c r="AD797" s="1759"/>
      <c r="AE797" s="1759"/>
      <c r="AF797" s="1759"/>
      <c r="AG797" s="1759"/>
      <c r="AH797" s="1759"/>
      <c r="AI797" s="1759"/>
      <c r="AJ797" s="1759"/>
      <c r="AK797" s="1759"/>
      <c r="AL797" s="1759"/>
      <c r="AM797" s="1759"/>
      <c r="AN797" s="1759"/>
      <c r="AO797" s="1759"/>
      <c r="AP797" s="1759"/>
      <c r="AQ797" s="1759"/>
      <c r="AR797" s="1759"/>
      <c r="AS797" s="1759"/>
      <c r="AT797" s="1759"/>
      <c r="AU797" s="1759"/>
      <c r="AV797" s="1759"/>
      <c r="AW797" s="1759"/>
      <c r="AX797" s="1759"/>
      <c r="AY797" s="1759"/>
      <c r="AZ797" s="1759"/>
      <c r="BA797" s="1759"/>
      <c r="BB797" s="1759"/>
      <c r="BC797" s="1759"/>
      <c r="BD797" s="1759"/>
      <c r="BE797" s="1759"/>
      <c r="BF797" s="1759"/>
      <c r="BG797" s="1056"/>
    </row>
    <row r="798" spans="1:59" ht="30" customHeight="1" x14ac:dyDescent="0.15">
      <c r="A798" s="1050"/>
      <c r="B798" s="1064"/>
      <c r="C798" s="1759" t="str">
        <f>+Nyilatkozatok!CX165</f>
        <v>– a finanszírozást nem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v>
      </c>
      <c r="D798" s="1759"/>
      <c r="E798" s="1759"/>
      <c r="F798" s="1759"/>
      <c r="G798" s="1759"/>
      <c r="H798" s="1759"/>
      <c r="I798" s="1759"/>
      <c r="J798" s="1759"/>
      <c r="K798" s="1759"/>
      <c r="L798" s="1759"/>
      <c r="M798" s="1759"/>
      <c r="N798" s="1759"/>
      <c r="O798" s="1759"/>
      <c r="P798" s="1759"/>
      <c r="Q798" s="1759"/>
      <c r="R798" s="1759"/>
      <c r="S798" s="1759"/>
      <c r="T798" s="1759"/>
      <c r="U798" s="1759"/>
      <c r="V798" s="1759"/>
      <c r="W798" s="1759"/>
      <c r="X798" s="1759"/>
      <c r="Y798" s="1759"/>
      <c r="Z798" s="1759"/>
      <c r="AA798" s="1759"/>
      <c r="AB798" s="1759"/>
      <c r="AC798" s="1759"/>
      <c r="AD798" s="1759"/>
      <c r="AE798" s="1759"/>
      <c r="AF798" s="1759"/>
      <c r="AG798" s="1759"/>
      <c r="AH798" s="1759"/>
      <c r="AI798" s="1759"/>
      <c r="AJ798" s="1759"/>
      <c r="AK798" s="1759"/>
      <c r="AL798" s="1759"/>
      <c r="AM798" s="1759"/>
      <c r="AN798" s="1759"/>
      <c r="AO798" s="1759"/>
      <c r="AP798" s="1759"/>
      <c r="AQ798" s="1759"/>
      <c r="AR798" s="1759"/>
      <c r="AS798" s="1759"/>
      <c r="AT798" s="1759"/>
      <c r="AU798" s="1759"/>
      <c r="AV798" s="1759"/>
      <c r="AW798" s="1759"/>
      <c r="AX798" s="1759"/>
      <c r="AY798" s="1759"/>
      <c r="AZ798" s="1759"/>
      <c r="BA798" s="1759"/>
      <c r="BB798" s="1759"/>
      <c r="BC798" s="1759"/>
      <c r="BD798" s="1759"/>
      <c r="BE798" s="1759"/>
      <c r="BF798" s="1759"/>
      <c r="BG798" s="1056"/>
    </row>
    <row r="799" spans="1:59" x14ac:dyDescent="0.15">
      <c r="A799" s="1050"/>
      <c r="B799" s="1064"/>
      <c r="C799" s="1759" t="str">
        <f>+Nyilatkozatok!CX166</f>
        <v>– a finanszírozást nem olyan feltétellel használom fel, amely az európai uniós jog megsértését eredményezi,</v>
      </c>
      <c r="D799" s="1759"/>
      <c r="E799" s="1759"/>
      <c r="F799" s="1759"/>
      <c r="G799" s="1759"/>
      <c r="H799" s="1759"/>
      <c r="I799" s="1759"/>
      <c r="J799" s="1759"/>
      <c r="K799" s="1759"/>
      <c r="L799" s="1759"/>
      <c r="M799" s="1759"/>
      <c r="N799" s="1759"/>
      <c r="O799" s="1759"/>
      <c r="P799" s="1759"/>
      <c r="Q799" s="1759"/>
      <c r="R799" s="1759"/>
      <c r="S799" s="1759"/>
      <c r="T799" s="1759"/>
      <c r="U799" s="1759"/>
      <c r="V799" s="1759"/>
      <c r="W799" s="1759"/>
      <c r="X799" s="1759"/>
      <c r="Y799" s="1759"/>
      <c r="Z799" s="1759"/>
      <c r="AA799" s="1759"/>
      <c r="AB799" s="1759"/>
      <c r="AC799" s="1759"/>
      <c r="AD799" s="1759"/>
      <c r="AE799" s="1759"/>
      <c r="AF799" s="1759"/>
      <c r="AG799" s="1759"/>
      <c r="AH799" s="1759"/>
      <c r="AI799" s="1759"/>
      <c r="AJ799" s="1759"/>
      <c r="AK799" s="1759"/>
      <c r="AL799" s="1759"/>
      <c r="AM799" s="1759"/>
      <c r="AN799" s="1759"/>
      <c r="AO799" s="1759"/>
      <c r="AP799" s="1759"/>
      <c r="AQ799" s="1759"/>
      <c r="AR799" s="1759"/>
      <c r="AS799" s="1759"/>
      <c r="AT799" s="1759"/>
      <c r="AU799" s="1759"/>
      <c r="AV799" s="1759"/>
      <c r="AW799" s="1759"/>
      <c r="AX799" s="1759"/>
      <c r="AY799" s="1759"/>
      <c r="AZ799" s="1759"/>
      <c r="BA799" s="1759"/>
      <c r="BB799" s="1759"/>
      <c r="BC799" s="1759"/>
      <c r="BD799" s="1759"/>
      <c r="BE799" s="1759"/>
      <c r="BF799" s="1759"/>
      <c r="BG799" s="1056"/>
    </row>
    <row r="800" spans="1:59" x14ac:dyDescent="0.15">
      <c r="A800" s="1050"/>
      <c r="B800" s="1064"/>
      <c r="C800" s="1759" t="str">
        <f>+Nyilatkozatok!CX167</f>
        <v>– a finanszírozást nem a hatályos uniós szabványoknak való megfelelést szolgáló beruházás finanszírozásához használom fel,</v>
      </c>
      <c r="D800" s="1759"/>
      <c r="E800" s="1759"/>
      <c r="F800" s="1759"/>
      <c r="G800" s="1759"/>
      <c r="H800" s="1759"/>
      <c r="I800" s="1759"/>
      <c r="J800" s="1759"/>
      <c r="K800" s="1759"/>
      <c r="L800" s="1759"/>
      <c r="M800" s="1759"/>
      <c r="N800" s="1759"/>
      <c r="O800" s="1759"/>
      <c r="P800" s="1759"/>
      <c r="Q800" s="1759"/>
      <c r="R800" s="1759"/>
      <c r="S800" s="1759"/>
      <c r="T800" s="1759"/>
      <c r="U800" s="1759"/>
      <c r="V800" s="1759"/>
      <c r="W800" s="1759"/>
      <c r="X800" s="1759"/>
      <c r="Y800" s="1759"/>
      <c r="Z800" s="1759"/>
      <c r="AA800" s="1759"/>
      <c r="AB800" s="1759"/>
      <c r="AC800" s="1759"/>
      <c r="AD800" s="1759"/>
      <c r="AE800" s="1759"/>
      <c r="AF800" s="1759"/>
      <c r="AG800" s="1759"/>
      <c r="AH800" s="1759"/>
      <c r="AI800" s="1759"/>
      <c r="AJ800" s="1759"/>
      <c r="AK800" s="1759"/>
      <c r="AL800" s="1759"/>
      <c r="AM800" s="1759"/>
      <c r="AN800" s="1759"/>
      <c r="AO800" s="1759"/>
      <c r="AP800" s="1759"/>
      <c r="AQ800" s="1759"/>
      <c r="AR800" s="1759"/>
      <c r="AS800" s="1759"/>
      <c r="AT800" s="1759"/>
      <c r="AU800" s="1759"/>
      <c r="AV800" s="1759"/>
      <c r="AW800" s="1759"/>
      <c r="AX800" s="1759"/>
      <c r="AY800" s="1759"/>
      <c r="AZ800" s="1759"/>
      <c r="BA800" s="1759"/>
      <c r="BB800" s="1759"/>
      <c r="BC800" s="1759"/>
      <c r="BD800" s="1759"/>
      <c r="BE800" s="1759"/>
      <c r="BF800" s="1759"/>
      <c r="BG800" s="1056"/>
    </row>
    <row r="801" spans="1:59" ht="14.25" customHeight="1" x14ac:dyDescent="0.15">
      <c r="A801" s="1050"/>
      <c r="B801" s="1064"/>
      <c r="C801" s="1759" t="str">
        <f>+Nyilatkozatok!CX168</f>
        <v>–a finanszírozást nem az élelmiszeralapú bioüzemanyagok előállításával kapcsolatos beruházás finanszírozásához használom fel</v>
      </c>
      <c r="D801" s="1759"/>
      <c r="E801" s="1759"/>
      <c r="F801" s="1759"/>
      <c r="G801" s="1759"/>
      <c r="H801" s="1759"/>
      <c r="I801" s="1759"/>
      <c r="J801" s="1759"/>
      <c r="K801" s="1759"/>
      <c r="L801" s="1759"/>
      <c r="M801" s="1759"/>
      <c r="N801" s="1759"/>
      <c r="O801" s="1759"/>
      <c r="P801" s="1759"/>
      <c r="Q801" s="1759"/>
      <c r="R801" s="1759"/>
      <c r="S801" s="1759"/>
      <c r="T801" s="1759"/>
      <c r="U801" s="1759"/>
      <c r="V801" s="1759"/>
      <c r="W801" s="1759"/>
      <c r="X801" s="1759"/>
      <c r="Y801" s="1759"/>
      <c r="Z801" s="1759"/>
      <c r="AA801" s="1759"/>
      <c r="AB801" s="1759"/>
      <c r="AC801" s="1759"/>
      <c r="AD801" s="1759"/>
      <c r="AE801" s="1759"/>
      <c r="AF801" s="1759"/>
      <c r="AG801" s="1759"/>
      <c r="AH801" s="1759"/>
      <c r="AI801" s="1759"/>
      <c r="AJ801" s="1759"/>
      <c r="AK801" s="1759"/>
      <c r="AL801" s="1759"/>
      <c r="AM801" s="1759"/>
      <c r="AN801" s="1759"/>
      <c r="AO801" s="1759"/>
      <c r="AP801" s="1759"/>
      <c r="AQ801" s="1759"/>
      <c r="AR801" s="1759"/>
      <c r="AS801" s="1759"/>
      <c r="AT801" s="1759"/>
      <c r="AU801" s="1759"/>
      <c r="AV801" s="1759"/>
      <c r="AW801" s="1759"/>
      <c r="AX801" s="1759"/>
      <c r="AY801" s="1759"/>
      <c r="AZ801" s="1759"/>
      <c r="BA801" s="1759"/>
      <c r="BB801" s="1759"/>
      <c r="BC801" s="1759"/>
      <c r="BD801" s="1759"/>
      <c r="BE801" s="1759"/>
      <c r="BF801" s="1759"/>
      <c r="BG801" s="1056"/>
    </row>
    <row r="802" spans="1:59" ht="32.25" customHeight="1" x14ac:dyDescent="0.15">
      <c r="A802" s="1050"/>
      <c r="B802" s="1064"/>
      <c r="C802" s="1759" t="str">
        <f>+Nyilatkozatok!CX169</f>
        <v>– a finanszírozást nem az 1308/2013/EU európai parlamenti és tanácsi rendeletben megállapított valamely tiltás vagy korlátozás - ideértve a kizárólag az 1308/2013/EU európai parlamenti és tanácsi rendeletben szabályozott uniós támogatásra vonatkozó esetet is – megszegésével használom fel.</v>
      </c>
      <c r="D802" s="1759"/>
      <c r="E802" s="1759"/>
      <c r="F802" s="1759"/>
      <c r="G802" s="1759"/>
      <c r="H802" s="1759"/>
      <c r="I802" s="1759"/>
      <c r="J802" s="1759"/>
      <c r="K802" s="1759"/>
      <c r="L802" s="1759"/>
      <c r="M802" s="1759"/>
      <c r="N802" s="1759"/>
      <c r="O802" s="1759"/>
      <c r="P802" s="1759"/>
      <c r="Q802" s="1759"/>
      <c r="R802" s="1759"/>
      <c r="S802" s="1759"/>
      <c r="T802" s="1759"/>
      <c r="U802" s="1759"/>
      <c r="V802" s="1759"/>
      <c r="W802" s="1759"/>
      <c r="X802" s="1759"/>
      <c r="Y802" s="1759"/>
      <c r="Z802" s="1759"/>
      <c r="AA802" s="1759"/>
      <c r="AB802" s="1759"/>
      <c r="AC802" s="1759"/>
      <c r="AD802" s="1759"/>
      <c r="AE802" s="1759"/>
      <c r="AF802" s="1759"/>
      <c r="AG802" s="1759"/>
      <c r="AH802" s="1759"/>
      <c r="AI802" s="1759"/>
      <c r="AJ802" s="1759"/>
      <c r="AK802" s="1759"/>
      <c r="AL802" s="1759"/>
      <c r="AM802" s="1759"/>
      <c r="AN802" s="1759"/>
      <c r="AO802" s="1759"/>
      <c r="AP802" s="1759"/>
      <c r="AQ802" s="1759"/>
      <c r="AR802" s="1759"/>
      <c r="AS802" s="1759"/>
      <c r="AT802" s="1759"/>
      <c r="AU802" s="1759"/>
      <c r="AV802" s="1759"/>
      <c r="AW802" s="1759"/>
      <c r="AX802" s="1759"/>
      <c r="AY802" s="1759"/>
      <c r="AZ802" s="1759"/>
      <c r="BA802" s="1759"/>
      <c r="BB802" s="1759"/>
      <c r="BC802" s="1759"/>
      <c r="BD802" s="1759"/>
      <c r="BE802" s="1759"/>
      <c r="BF802" s="1759"/>
      <c r="BG802" s="1056"/>
    </row>
    <row r="803" spans="1:59" x14ac:dyDescent="0.15">
      <c r="A803" s="1050"/>
      <c r="B803" s="1064"/>
      <c r="C803" s="1759" t="str">
        <f>+Nyilatkozatok!CX170</f>
        <v>– a beruházás mezőgazdasági termékek feldolgozásához vagy mezőgazdasági termékek forgalmazásához kapcsolódik.</v>
      </c>
      <c r="D803" s="1759"/>
      <c r="E803" s="1759"/>
      <c r="F803" s="1759"/>
      <c r="G803" s="1759"/>
      <c r="H803" s="1759"/>
      <c r="I803" s="1759"/>
      <c r="J803" s="1759"/>
      <c r="K803" s="1759"/>
      <c r="L803" s="1759"/>
      <c r="M803" s="1759"/>
      <c r="N803" s="1759"/>
      <c r="O803" s="1759"/>
      <c r="P803" s="1759"/>
      <c r="Q803" s="1759"/>
      <c r="R803" s="1759"/>
      <c r="S803" s="1759"/>
      <c r="T803" s="1759"/>
      <c r="U803" s="1759"/>
      <c r="V803" s="1759"/>
      <c r="W803" s="1759"/>
      <c r="X803" s="1759"/>
      <c r="Y803" s="1759"/>
      <c r="Z803" s="1759"/>
      <c r="AA803" s="1759"/>
      <c r="AB803" s="1759"/>
      <c r="AC803" s="1759"/>
      <c r="AD803" s="1759"/>
      <c r="AE803" s="1759"/>
      <c r="AF803" s="1759"/>
      <c r="AG803" s="1759"/>
      <c r="AH803" s="1759"/>
      <c r="AI803" s="1759"/>
      <c r="AJ803" s="1759"/>
      <c r="AK803" s="1759"/>
      <c r="AL803" s="1759"/>
      <c r="AM803" s="1759"/>
      <c r="AN803" s="1759"/>
      <c r="AO803" s="1759"/>
      <c r="AP803" s="1759"/>
      <c r="AQ803" s="1759"/>
      <c r="AR803" s="1759"/>
      <c r="AS803" s="1759"/>
      <c r="AT803" s="1759"/>
      <c r="AU803" s="1759"/>
      <c r="AV803" s="1759"/>
      <c r="AW803" s="1759"/>
      <c r="AX803" s="1759"/>
      <c r="AY803" s="1759"/>
      <c r="AZ803" s="1759"/>
      <c r="BA803" s="1759"/>
      <c r="BB803" s="1759"/>
      <c r="BC803" s="1759"/>
      <c r="BD803" s="1759"/>
      <c r="BE803" s="1759"/>
      <c r="BF803" s="1759"/>
      <c r="BG803" s="1056"/>
    </row>
    <row r="804" spans="1:59" x14ac:dyDescent="0.15">
      <c r="A804" s="1050"/>
      <c r="B804" s="1064"/>
      <c r="C804" s="1759" t="str">
        <f>+Nyilatkozatok!CX171</f>
        <v>– a környezeti hatásvizsgálati és az egységes környezethasználati engedélyezési eljárásról szóló 314/2005. (XII. 25.) Korm. rendelet szerinti eljárás lefolytatásra került.</v>
      </c>
      <c r="D804" s="1759"/>
      <c r="E804" s="1759"/>
      <c r="F804" s="1759"/>
      <c r="G804" s="1759"/>
      <c r="H804" s="1759"/>
      <c r="I804" s="1759"/>
      <c r="J804" s="1759"/>
      <c r="K804" s="1759"/>
      <c r="L804" s="1759"/>
      <c r="M804" s="1759"/>
      <c r="N804" s="1759"/>
      <c r="O804" s="1759"/>
      <c r="P804" s="1759"/>
      <c r="Q804" s="1759"/>
      <c r="R804" s="1759"/>
      <c r="S804" s="1759"/>
      <c r="T804" s="1759"/>
      <c r="U804" s="1759"/>
      <c r="V804" s="1759"/>
      <c r="W804" s="1759"/>
      <c r="X804" s="1759"/>
      <c r="Y804" s="1759"/>
      <c r="Z804" s="1759"/>
      <c r="AA804" s="1759"/>
      <c r="AB804" s="1759"/>
      <c r="AC804" s="1759"/>
      <c r="AD804" s="1759"/>
      <c r="AE804" s="1759"/>
      <c r="AF804" s="1759"/>
      <c r="AG804" s="1759"/>
      <c r="AH804" s="1759"/>
      <c r="AI804" s="1759"/>
      <c r="AJ804" s="1759"/>
      <c r="AK804" s="1759"/>
      <c r="AL804" s="1759"/>
      <c r="AM804" s="1759"/>
      <c r="AN804" s="1759"/>
      <c r="AO804" s="1759"/>
      <c r="AP804" s="1759"/>
      <c r="AQ804" s="1759"/>
      <c r="AR804" s="1759"/>
      <c r="AS804" s="1759"/>
      <c r="AT804" s="1759"/>
      <c r="AU804" s="1759"/>
      <c r="AV804" s="1759"/>
      <c r="AW804" s="1759"/>
      <c r="AX804" s="1759"/>
      <c r="AY804" s="1759"/>
      <c r="AZ804" s="1759"/>
      <c r="BA804" s="1759"/>
      <c r="BB804" s="1759"/>
      <c r="BC804" s="1759"/>
      <c r="BD804" s="1759"/>
      <c r="BE804" s="1759"/>
      <c r="BF804" s="1759"/>
      <c r="BG804" s="1056"/>
    </row>
    <row r="805" spans="1:59" x14ac:dyDescent="0.15">
      <c r="A805" s="1050"/>
      <c r="B805" s="1064"/>
      <c r="C805" s="1759" t="str">
        <f>+Nyilatkozatok!CX172</f>
        <v>Nyilatkozom, hogy:</v>
      </c>
      <c r="D805" s="1759"/>
      <c r="E805" s="1759"/>
      <c r="F805" s="1759"/>
      <c r="G805" s="1759"/>
      <c r="H805" s="1759"/>
      <c r="I805" s="1759"/>
      <c r="J805" s="1759"/>
      <c r="K805" s="1759"/>
      <c r="L805" s="1759"/>
      <c r="M805" s="1759"/>
      <c r="N805" s="1759"/>
      <c r="O805" s="1759"/>
      <c r="P805" s="1759"/>
      <c r="Q805" s="1759"/>
      <c r="R805" s="1759"/>
      <c r="S805" s="1759"/>
      <c r="T805" s="1759"/>
      <c r="U805" s="1759"/>
      <c r="V805" s="1759"/>
      <c r="W805" s="1759"/>
      <c r="X805" s="1759"/>
      <c r="Y805" s="1759"/>
      <c r="Z805" s="1759"/>
      <c r="AA805" s="1759"/>
      <c r="AB805" s="1759"/>
      <c r="AC805" s="1759"/>
      <c r="AD805" s="1759"/>
      <c r="AE805" s="1759"/>
      <c r="AF805" s="1759"/>
      <c r="AG805" s="1759"/>
      <c r="AH805" s="1759"/>
      <c r="AI805" s="1759"/>
      <c r="AJ805" s="1759"/>
      <c r="AK805" s="1759"/>
      <c r="AL805" s="1759"/>
      <c r="AM805" s="1759"/>
      <c r="AN805" s="1759"/>
      <c r="AO805" s="1759"/>
      <c r="AP805" s="1759"/>
      <c r="AQ805" s="1759"/>
      <c r="AR805" s="1759"/>
      <c r="AS805" s="1759"/>
      <c r="AT805" s="1759"/>
      <c r="AU805" s="1759"/>
      <c r="AV805" s="1759"/>
      <c r="AW805" s="1759"/>
      <c r="AX805" s="1759"/>
      <c r="AY805" s="1759"/>
      <c r="AZ805" s="1759"/>
      <c r="BA805" s="1759"/>
      <c r="BB805" s="1759"/>
      <c r="BC805" s="1759"/>
      <c r="BD805" s="1759"/>
      <c r="BE805" s="1759"/>
      <c r="BF805" s="1759"/>
      <c r="BG805" s="1056"/>
    </row>
    <row r="806" spans="1:59" x14ac:dyDescent="0.15">
      <c r="A806" s="1050"/>
      <c r="B806" s="1075"/>
      <c r="C806" s="1759" t="str">
        <f>+Nyilatkozatok!CX173</f>
        <v>a beruházást termelői szervezetek egyesülése hajtja végre;</v>
      </c>
      <c r="D806" s="1759"/>
      <c r="E806" s="1759"/>
      <c r="F806" s="1759"/>
      <c r="G806" s="1759"/>
      <c r="H806" s="1759"/>
      <c r="I806" s="1759"/>
      <c r="J806" s="1759"/>
      <c r="K806" s="1759"/>
      <c r="L806" s="1759"/>
      <c r="M806" s="1759"/>
      <c r="N806" s="1759"/>
      <c r="O806" s="1759"/>
      <c r="P806" s="1759"/>
      <c r="Q806" s="1759"/>
      <c r="R806" s="1759"/>
      <c r="S806" s="1759"/>
      <c r="T806" s="1759"/>
      <c r="U806" s="1759"/>
      <c r="V806" s="1759"/>
      <c r="W806" s="1759"/>
      <c r="X806" s="1759"/>
      <c r="Y806" s="1759"/>
      <c r="Z806" s="1759"/>
      <c r="AA806" s="1759"/>
      <c r="AB806" s="1759"/>
      <c r="AC806" s="1759"/>
      <c r="AD806" s="1759"/>
      <c r="AE806" s="1759"/>
      <c r="AF806" s="1759"/>
      <c r="AG806" s="1759"/>
      <c r="AH806" s="1759"/>
      <c r="AI806" s="1759"/>
      <c r="AJ806" s="1759"/>
      <c r="AK806" s="1759"/>
      <c r="AL806" s="1759"/>
      <c r="AM806" s="1759"/>
      <c r="AN806" s="1759"/>
      <c r="AO806" s="1759"/>
      <c r="AP806" s="1759"/>
      <c r="AQ806" s="1759"/>
      <c r="AR806" s="1759"/>
      <c r="AS806" s="1759"/>
      <c r="AT806" s="1759"/>
      <c r="AU806" s="1759"/>
      <c r="AV806" s="1759"/>
      <c r="AW806" s="1759"/>
      <c r="AX806" s="1759"/>
      <c r="AY806" s="1759"/>
      <c r="AZ806" s="1759"/>
      <c r="BA806" s="1759"/>
      <c r="BB806" s="1759"/>
      <c r="BC806" s="1759"/>
      <c r="BD806" s="1759"/>
      <c r="BE806" s="1759"/>
      <c r="BF806" s="1759"/>
      <c r="BG806" s="1056"/>
    </row>
    <row r="807" spans="1:59" x14ac:dyDescent="0.15">
      <c r="A807" s="1050"/>
      <c r="B807" s="1075"/>
      <c r="C807" s="1759" t="str">
        <f>+Nyilatkozatok!CX174</f>
        <v>a beruházás az európai innovációs partnerség keretében valósul meg.</v>
      </c>
      <c r="D807" s="1759"/>
      <c r="E807" s="1759"/>
      <c r="F807" s="1759"/>
      <c r="G807" s="1759"/>
      <c r="H807" s="1759"/>
      <c r="I807" s="1759"/>
      <c r="J807" s="1759"/>
      <c r="K807" s="1759"/>
      <c r="L807" s="1759"/>
      <c r="M807" s="1759"/>
      <c r="N807" s="1759"/>
      <c r="O807" s="1759"/>
      <c r="P807" s="1759"/>
      <c r="Q807" s="1759"/>
      <c r="R807" s="1759"/>
      <c r="S807" s="1759"/>
      <c r="T807" s="1759"/>
      <c r="U807" s="1759"/>
      <c r="V807" s="1759"/>
      <c r="W807" s="1759"/>
      <c r="X807" s="1759"/>
      <c r="Y807" s="1759"/>
      <c r="Z807" s="1759"/>
      <c r="AA807" s="1759"/>
      <c r="AB807" s="1759"/>
      <c r="AC807" s="1759"/>
      <c r="AD807" s="1759"/>
      <c r="AE807" s="1759"/>
      <c r="AF807" s="1759"/>
      <c r="AG807" s="1759"/>
      <c r="AH807" s="1759"/>
      <c r="AI807" s="1759"/>
      <c r="AJ807" s="1759"/>
      <c r="AK807" s="1759"/>
      <c r="AL807" s="1759"/>
      <c r="AM807" s="1759"/>
      <c r="AN807" s="1759"/>
      <c r="AO807" s="1759"/>
      <c r="AP807" s="1759"/>
      <c r="AQ807" s="1759"/>
      <c r="AR807" s="1759"/>
      <c r="AS807" s="1759"/>
      <c r="AT807" s="1759"/>
      <c r="AU807" s="1759"/>
      <c r="AV807" s="1759"/>
      <c r="AW807" s="1759"/>
      <c r="AX807" s="1759"/>
      <c r="AY807" s="1759"/>
      <c r="AZ807" s="1759"/>
      <c r="BA807" s="1759"/>
      <c r="BB807" s="1759"/>
      <c r="BC807" s="1759"/>
      <c r="BD807" s="1759"/>
      <c r="BE807" s="1759"/>
      <c r="BF807" s="1759"/>
      <c r="BG807" s="1056"/>
    </row>
    <row r="808" spans="1:59" x14ac:dyDescent="0.15">
      <c r="A808" s="1050"/>
      <c r="B808" s="1074"/>
      <c r="C808" s="1759" t="str">
        <f>+Nyilatkozatok!CX175</f>
        <v/>
      </c>
      <c r="D808" s="1759"/>
      <c r="E808" s="1759"/>
      <c r="F808" s="1759"/>
      <c r="G808" s="1759"/>
      <c r="H808" s="1759"/>
      <c r="I808" s="1759"/>
      <c r="J808" s="1759"/>
      <c r="K808" s="1759"/>
      <c r="L808" s="1759"/>
      <c r="M808" s="1759"/>
      <c r="N808" s="1759"/>
      <c r="O808" s="1759"/>
      <c r="P808" s="1759"/>
      <c r="Q808" s="1759"/>
      <c r="R808" s="1759"/>
      <c r="S808" s="1759"/>
      <c r="T808" s="1759"/>
      <c r="U808" s="1759"/>
      <c r="V808" s="1759"/>
      <c r="W808" s="1759"/>
      <c r="X808" s="1759"/>
      <c r="Y808" s="1759"/>
      <c r="Z808" s="1759"/>
      <c r="AA808" s="1759"/>
      <c r="AB808" s="1759"/>
      <c r="AC808" s="1759"/>
      <c r="AD808" s="1759"/>
      <c r="AE808" s="1759"/>
      <c r="AF808" s="1759"/>
      <c r="AG808" s="1759"/>
      <c r="AH808" s="1759"/>
      <c r="AI808" s="1759"/>
      <c r="AJ808" s="1759"/>
      <c r="AK808" s="1759"/>
      <c r="AL808" s="1759"/>
      <c r="AM808" s="1759"/>
      <c r="AN808" s="1759"/>
      <c r="AO808" s="1759"/>
      <c r="AP808" s="1759"/>
      <c r="AQ808" s="1759"/>
      <c r="AR808" s="1759"/>
      <c r="AS808" s="1759"/>
      <c r="AT808" s="1759"/>
      <c r="AU808" s="1759"/>
      <c r="AV808" s="1759"/>
      <c r="AW808" s="1759"/>
      <c r="AX808" s="1759"/>
      <c r="AY808" s="1759"/>
      <c r="AZ808" s="1759"/>
      <c r="BA808" s="1759"/>
      <c r="BB808" s="1759"/>
      <c r="BC808" s="1759"/>
      <c r="BD808" s="1759"/>
      <c r="BE808" s="1759"/>
      <c r="BF808" s="1759"/>
      <c r="BG808" s="1056"/>
    </row>
    <row r="809" spans="1:59" x14ac:dyDescent="0.15">
      <c r="A809" s="1050"/>
      <c r="B809" s="1064"/>
      <c r="C809" s="1759" t="str">
        <f>+Nyilatkozatok!CX176</f>
        <v/>
      </c>
      <c r="D809" s="1759"/>
      <c r="E809" s="1759"/>
      <c r="F809" s="1759"/>
      <c r="G809" s="1759"/>
      <c r="H809" s="1759"/>
      <c r="I809" s="1759"/>
      <c r="J809" s="1759"/>
      <c r="K809" s="1759"/>
      <c r="L809" s="1759"/>
      <c r="M809" s="1759"/>
      <c r="N809" s="1759"/>
      <c r="O809" s="1759"/>
      <c r="P809" s="1759"/>
      <c r="Q809" s="1759"/>
      <c r="R809" s="1759"/>
      <c r="S809" s="1759"/>
      <c r="T809" s="1759"/>
      <c r="U809" s="1759"/>
      <c r="V809" s="1759"/>
      <c r="W809" s="1759"/>
      <c r="X809" s="1759"/>
      <c r="Y809" s="1759"/>
      <c r="Z809" s="1759"/>
      <c r="AA809" s="1759"/>
      <c r="AB809" s="1759"/>
      <c r="AC809" s="1759"/>
      <c r="AD809" s="1759"/>
      <c r="AE809" s="1759"/>
      <c r="AF809" s="1759"/>
      <c r="AG809" s="1759"/>
      <c r="AH809" s="1759"/>
      <c r="AI809" s="1759"/>
      <c r="AJ809" s="1759"/>
      <c r="AK809" s="1759"/>
      <c r="AL809" s="1759"/>
      <c r="AM809" s="1759"/>
      <c r="AN809" s="1759"/>
      <c r="AO809" s="1759"/>
      <c r="AP809" s="1759"/>
      <c r="AQ809" s="1759"/>
      <c r="AR809" s="1759"/>
      <c r="AS809" s="1759"/>
      <c r="AT809" s="1759"/>
      <c r="AU809" s="1759"/>
      <c r="AV809" s="1759"/>
      <c r="AW809" s="1759"/>
      <c r="AX809" s="1759"/>
      <c r="AY809" s="1759"/>
      <c r="AZ809" s="1759"/>
      <c r="BA809" s="1759"/>
      <c r="BB809" s="1759"/>
      <c r="BC809" s="1759"/>
      <c r="BD809" s="1759"/>
      <c r="BE809" s="1759"/>
      <c r="BF809" s="1759"/>
      <c r="BG809" s="1056"/>
    </row>
    <row r="810" spans="1:59" x14ac:dyDescent="0.15">
      <c r="A810" s="1050"/>
      <c r="B810" s="1064"/>
      <c r="C810" s="1759" t="str">
        <f>+Nyilatkozatok!CX177</f>
        <v/>
      </c>
      <c r="D810" s="1759"/>
      <c r="E810" s="1759"/>
      <c r="F810" s="1759"/>
      <c r="G810" s="1759"/>
      <c r="H810" s="1759"/>
      <c r="I810" s="1759"/>
      <c r="J810" s="1759"/>
      <c r="K810" s="1759"/>
      <c r="L810" s="1759"/>
      <c r="M810" s="1759"/>
      <c r="N810" s="1759"/>
      <c r="O810" s="1759"/>
      <c r="P810" s="1759"/>
      <c r="Q810" s="1759"/>
      <c r="R810" s="1759"/>
      <c r="S810" s="1759"/>
      <c r="T810" s="1759"/>
      <c r="U810" s="1759"/>
      <c r="V810" s="1759"/>
      <c r="W810" s="1759"/>
      <c r="X810" s="1759"/>
      <c r="Y810" s="1759"/>
      <c r="Z810" s="1759"/>
      <c r="AA810" s="1759"/>
      <c r="AB810" s="1759"/>
      <c r="AC810" s="1759"/>
      <c r="AD810" s="1759"/>
      <c r="AE810" s="1759"/>
      <c r="AF810" s="1759"/>
      <c r="AG810" s="1759"/>
      <c r="AH810" s="1759"/>
      <c r="AI810" s="1759"/>
      <c r="AJ810" s="1759"/>
      <c r="AK810" s="1759"/>
      <c r="AL810" s="1759"/>
      <c r="AM810" s="1759"/>
      <c r="AN810" s="1759"/>
      <c r="AO810" s="1759"/>
      <c r="AP810" s="1759"/>
      <c r="AQ810" s="1759"/>
      <c r="AR810" s="1759"/>
      <c r="AS810" s="1759"/>
      <c r="AT810" s="1759"/>
      <c r="AU810" s="1759"/>
      <c r="AV810" s="1759"/>
      <c r="AW810" s="1759"/>
      <c r="AX810" s="1759"/>
      <c r="AY810" s="1759"/>
      <c r="AZ810" s="1759"/>
      <c r="BA810" s="1759"/>
      <c r="BB810" s="1759"/>
      <c r="BC810" s="1759"/>
      <c r="BD810" s="1759"/>
      <c r="BE810" s="1759"/>
      <c r="BF810" s="1759"/>
      <c r="BG810" s="1056"/>
    </row>
    <row r="811" spans="1:59" x14ac:dyDescent="0.15">
      <c r="A811" s="1050"/>
      <c r="B811" s="1064"/>
      <c r="C811" s="1759" t="str">
        <f>+Nyilatkozatok!CX178</f>
        <v/>
      </c>
      <c r="D811" s="1759"/>
      <c r="E811" s="1759"/>
      <c r="F811" s="1759"/>
      <c r="G811" s="1759"/>
      <c r="H811" s="1759"/>
      <c r="I811" s="1759"/>
      <c r="J811" s="1759"/>
      <c r="K811" s="1759"/>
      <c r="L811" s="1759"/>
      <c r="M811" s="1759"/>
      <c r="N811" s="1759"/>
      <c r="O811" s="1759"/>
      <c r="P811" s="1759"/>
      <c r="Q811" s="1759"/>
      <c r="R811" s="1759"/>
      <c r="S811" s="1759"/>
      <c r="T811" s="1759"/>
      <c r="U811" s="1759"/>
      <c r="V811" s="1759"/>
      <c r="W811" s="1759"/>
      <c r="X811" s="1759"/>
      <c r="Y811" s="1759"/>
      <c r="Z811" s="1759"/>
      <c r="AA811" s="1759"/>
      <c r="AB811" s="1759"/>
      <c r="AC811" s="1759"/>
      <c r="AD811" s="1759"/>
      <c r="AE811" s="1759"/>
      <c r="AF811" s="1759"/>
      <c r="AG811" s="1759"/>
      <c r="AH811" s="1759"/>
      <c r="AI811" s="1759"/>
      <c r="AJ811" s="1759"/>
      <c r="AK811" s="1759"/>
      <c r="AL811" s="1759"/>
      <c r="AM811" s="1759"/>
      <c r="AN811" s="1759"/>
      <c r="AO811" s="1759"/>
      <c r="AP811" s="1759"/>
      <c r="AQ811" s="1759"/>
      <c r="AR811" s="1759"/>
      <c r="AS811" s="1759"/>
      <c r="AT811" s="1759"/>
      <c r="AU811" s="1759"/>
      <c r="AV811" s="1759"/>
      <c r="AW811" s="1759"/>
      <c r="AX811" s="1759"/>
      <c r="AY811" s="1759"/>
      <c r="AZ811" s="1759"/>
      <c r="BA811" s="1759"/>
      <c r="BB811" s="1759"/>
      <c r="BC811" s="1759"/>
      <c r="BD811" s="1759"/>
      <c r="BE811" s="1759"/>
      <c r="BF811" s="1759"/>
      <c r="BG811" s="1056"/>
    </row>
    <row r="812" spans="1:59" x14ac:dyDescent="0.15">
      <c r="A812" s="1050"/>
      <c r="B812" s="1064"/>
      <c r="C812" s="1759" t="str">
        <f>+Nyilatkozatok!CX179</f>
        <v/>
      </c>
      <c r="D812" s="1759"/>
      <c r="E812" s="1759"/>
      <c r="F812" s="1759"/>
      <c r="G812" s="1759"/>
      <c r="H812" s="1759"/>
      <c r="I812" s="1759"/>
      <c r="J812" s="1759"/>
      <c r="K812" s="1759"/>
      <c r="L812" s="1759"/>
      <c r="M812" s="1759"/>
      <c r="N812" s="1759"/>
      <c r="O812" s="1759"/>
      <c r="P812" s="1759"/>
      <c r="Q812" s="1759"/>
      <c r="R812" s="1759"/>
      <c r="S812" s="1759"/>
      <c r="T812" s="1759"/>
      <c r="U812" s="1759"/>
      <c r="V812" s="1759"/>
      <c r="W812" s="1759"/>
      <c r="X812" s="1759"/>
      <c r="Y812" s="1759"/>
      <c r="Z812" s="1759"/>
      <c r="AA812" s="1759"/>
      <c r="AB812" s="1759"/>
      <c r="AC812" s="1759"/>
      <c r="AD812" s="1759"/>
      <c r="AE812" s="1759"/>
      <c r="AF812" s="1759"/>
      <c r="AG812" s="1759"/>
      <c r="AH812" s="1759"/>
      <c r="AI812" s="1759"/>
      <c r="AJ812" s="1759"/>
      <c r="AK812" s="1759"/>
      <c r="AL812" s="1759"/>
      <c r="AM812" s="1759"/>
      <c r="AN812" s="1759"/>
      <c r="AO812" s="1759"/>
      <c r="AP812" s="1759"/>
      <c r="AQ812" s="1759"/>
      <c r="AR812" s="1759"/>
      <c r="AS812" s="1759"/>
      <c r="AT812" s="1759"/>
      <c r="AU812" s="1759"/>
      <c r="AV812" s="1759"/>
      <c r="AW812" s="1759"/>
      <c r="AX812" s="1759"/>
      <c r="AY812" s="1759"/>
      <c r="AZ812" s="1759"/>
      <c r="BA812" s="1759"/>
      <c r="BB812" s="1759"/>
      <c r="BC812" s="1759"/>
      <c r="BD812" s="1759"/>
      <c r="BE812" s="1759"/>
      <c r="BF812" s="1759"/>
      <c r="BG812" s="1056"/>
    </row>
    <row r="813" spans="1:59" x14ac:dyDescent="0.15">
      <c r="A813" s="1050"/>
      <c r="B813" s="1064"/>
      <c r="C813" s="1759" t="str">
        <f>+Nyilatkozatok!CX180</f>
        <v/>
      </c>
      <c r="D813" s="1759"/>
      <c r="E813" s="1759"/>
      <c r="F813" s="1759"/>
      <c r="G813" s="1759"/>
      <c r="H813" s="1759"/>
      <c r="I813" s="1759"/>
      <c r="J813" s="1759"/>
      <c r="K813" s="1759"/>
      <c r="L813" s="1759"/>
      <c r="M813" s="1759"/>
      <c r="N813" s="1759"/>
      <c r="O813" s="1759"/>
      <c r="P813" s="1759"/>
      <c r="Q813" s="1759"/>
      <c r="R813" s="1759"/>
      <c r="S813" s="1759"/>
      <c r="T813" s="1759"/>
      <c r="U813" s="1759"/>
      <c r="V813" s="1759"/>
      <c r="W813" s="1759"/>
      <c r="X813" s="1759"/>
      <c r="Y813" s="1759"/>
      <c r="Z813" s="1759"/>
      <c r="AA813" s="1759"/>
      <c r="AB813" s="1759"/>
      <c r="AC813" s="1759"/>
      <c r="AD813" s="1759"/>
      <c r="AE813" s="1759"/>
      <c r="AF813" s="1759"/>
      <c r="AG813" s="1759"/>
      <c r="AH813" s="1759"/>
      <c r="AI813" s="1759"/>
      <c r="AJ813" s="1759"/>
      <c r="AK813" s="1759"/>
      <c r="AL813" s="1759"/>
      <c r="AM813" s="1759"/>
      <c r="AN813" s="1759"/>
      <c r="AO813" s="1759"/>
      <c r="AP813" s="1759"/>
      <c r="AQ813" s="1759"/>
      <c r="AR813" s="1759"/>
      <c r="AS813" s="1759"/>
      <c r="AT813" s="1759"/>
      <c r="AU813" s="1759"/>
      <c r="AV813" s="1759"/>
      <c r="AW813" s="1759"/>
      <c r="AX813" s="1759"/>
      <c r="AY813" s="1759"/>
      <c r="AZ813" s="1759"/>
      <c r="BA813" s="1759"/>
      <c r="BB813" s="1759"/>
      <c r="BC813" s="1759"/>
      <c r="BD813" s="1759"/>
      <c r="BE813" s="1759"/>
      <c r="BF813" s="1759"/>
      <c r="BG813" s="1056"/>
    </row>
    <row r="814" spans="1:59" x14ac:dyDescent="0.15">
      <c r="A814" s="1050"/>
      <c r="B814" s="1064"/>
      <c r="C814" s="1759" t="str">
        <f>+Nyilatkozatok!CX181</f>
        <v/>
      </c>
      <c r="D814" s="1759"/>
      <c r="E814" s="1759"/>
      <c r="F814" s="1759"/>
      <c r="G814" s="1759"/>
      <c r="H814" s="1759"/>
      <c r="I814" s="1759"/>
      <c r="J814" s="1759"/>
      <c r="K814" s="1759"/>
      <c r="L814" s="1759"/>
      <c r="M814" s="1759"/>
      <c r="N814" s="1759"/>
      <c r="O814" s="1759"/>
      <c r="P814" s="1759"/>
      <c r="Q814" s="1759"/>
      <c r="R814" s="1759"/>
      <c r="S814" s="1759"/>
      <c r="T814" s="1759"/>
      <c r="U814" s="1759"/>
      <c r="V814" s="1759"/>
      <c r="W814" s="1759"/>
      <c r="X814" s="1759"/>
      <c r="Y814" s="1759"/>
      <c r="Z814" s="1759"/>
      <c r="AA814" s="1759"/>
      <c r="AB814" s="1759"/>
      <c r="AC814" s="1759"/>
      <c r="AD814" s="1759"/>
      <c r="AE814" s="1759"/>
      <c r="AF814" s="1759"/>
      <c r="AG814" s="1759"/>
      <c r="AH814" s="1759"/>
      <c r="AI814" s="1759"/>
      <c r="AJ814" s="1759"/>
      <c r="AK814" s="1759"/>
      <c r="AL814" s="1759"/>
      <c r="AM814" s="1759"/>
      <c r="AN814" s="1759"/>
      <c r="AO814" s="1759"/>
      <c r="AP814" s="1759"/>
      <c r="AQ814" s="1759"/>
      <c r="AR814" s="1759"/>
      <c r="AS814" s="1759"/>
      <c r="AT814" s="1759"/>
      <c r="AU814" s="1759"/>
      <c r="AV814" s="1759"/>
      <c r="AW814" s="1759"/>
      <c r="AX814" s="1759"/>
      <c r="AY814" s="1759"/>
      <c r="AZ814" s="1759"/>
      <c r="BA814" s="1759"/>
      <c r="BB814" s="1759"/>
      <c r="BC814" s="1759"/>
      <c r="BD814" s="1759"/>
      <c r="BE814" s="1759"/>
      <c r="BF814" s="1759"/>
      <c r="BG814" s="1056"/>
    </row>
    <row r="815" spans="1:59" x14ac:dyDescent="0.15">
      <c r="A815" s="1050"/>
      <c r="B815" s="1064"/>
      <c r="C815" s="1759" t="str">
        <f>+Nyilatkozatok!CX182</f>
        <v/>
      </c>
      <c r="D815" s="1759"/>
      <c r="E815" s="1759"/>
      <c r="F815" s="1759"/>
      <c r="G815" s="1759"/>
      <c r="H815" s="1759"/>
      <c r="I815" s="1759"/>
      <c r="J815" s="1759"/>
      <c r="K815" s="1759"/>
      <c r="L815" s="1759"/>
      <c r="M815" s="1759"/>
      <c r="N815" s="1759"/>
      <c r="O815" s="1759"/>
      <c r="P815" s="1759"/>
      <c r="Q815" s="1759"/>
      <c r="R815" s="1759"/>
      <c r="S815" s="1759"/>
      <c r="T815" s="1759"/>
      <c r="U815" s="1759"/>
      <c r="V815" s="1759"/>
      <c r="W815" s="1759"/>
      <c r="X815" s="1759"/>
      <c r="Y815" s="1759"/>
      <c r="Z815" s="1759"/>
      <c r="AA815" s="1759"/>
      <c r="AB815" s="1759"/>
      <c r="AC815" s="1759"/>
      <c r="AD815" s="1759"/>
      <c r="AE815" s="1759"/>
      <c r="AF815" s="1759"/>
      <c r="AG815" s="1759"/>
      <c r="AH815" s="1759"/>
      <c r="AI815" s="1759"/>
      <c r="AJ815" s="1759"/>
      <c r="AK815" s="1759"/>
      <c r="AL815" s="1759"/>
      <c r="AM815" s="1759"/>
      <c r="AN815" s="1759"/>
      <c r="AO815" s="1759"/>
      <c r="AP815" s="1759"/>
      <c r="AQ815" s="1759"/>
      <c r="AR815" s="1759"/>
      <c r="AS815" s="1759"/>
      <c r="AT815" s="1759"/>
      <c r="AU815" s="1759"/>
      <c r="AV815" s="1759"/>
      <c r="AW815" s="1759"/>
      <c r="AX815" s="1759"/>
      <c r="AY815" s="1759"/>
      <c r="AZ815" s="1759"/>
      <c r="BA815" s="1759"/>
      <c r="BB815" s="1759"/>
      <c r="BC815" s="1759"/>
      <c r="BD815" s="1759"/>
      <c r="BE815" s="1759"/>
      <c r="BF815" s="1759"/>
      <c r="BG815" s="1056"/>
    </row>
    <row r="816" spans="1:59" x14ac:dyDescent="0.15">
      <c r="A816" s="1050"/>
      <c r="B816" s="1064"/>
      <c r="C816" s="1759" t="str">
        <f>+Nyilatkozatok!CX183</f>
        <v/>
      </c>
      <c r="D816" s="1759"/>
      <c r="E816" s="1759"/>
      <c r="F816" s="1759"/>
      <c r="G816" s="1759"/>
      <c r="H816" s="1759"/>
      <c r="I816" s="1759"/>
      <c r="J816" s="1759"/>
      <c r="K816" s="1759"/>
      <c r="L816" s="1759"/>
      <c r="M816" s="1759"/>
      <c r="N816" s="1759"/>
      <c r="O816" s="1759"/>
      <c r="P816" s="1759"/>
      <c r="Q816" s="1759"/>
      <c r="R816" s="1759"/>
      <c r="S816" s="1759"/>
      <c r="T816" s="1759"/>
      <c r="U816" s="1759"/>
      <c r="V816" s="1759"/>
      <c r="W816" s="1759"/>
      <c r="X816" s="1759"/>
      <c r="Y816" s="1759"/>
      <c r="Z816" s="1759"/>
      <c r="AA816" s="1759"/>
      <c r="AB816" s="1759"/>
      <c r="AC816" s="1759"/>
      <c r="AD816" s="1759"/>
      <c r="AE816" s="1759"/>
      <c r="AF816" s="1759"/>
      <c r="AG816" s="1759"/>
      <c r="AH816" s="1759"/>
      <c r="AI816" s="1759"/>
      <c r="AJ816" s="1759"/>
      <c r="AK816" s="1759"/>
      <c r="AL816" s="1759"/>
      <c r="AM816" s="1759"/>
      <c r="AN816" s="1759"/>
      <c r="AO816" s="1759"/>
      <c r="AP816" s="1759"/>
      <c r="AQ816" s="1759"/>
      <c r="AR816" s="1759"/>
      <c r="AS816" s="1759"/>
      <c r="AT816" s="1759"/>
      <c r="AU816" s="1759"/>
      <c r="AV816" s="1759"/>
      <c r="AW816" s="1759"/>
      <c r="AX816" s="1759"/>
      <c r="AY816" s="1759"/>
      <c r="AZ816" s="1759"/>
      <c r="BA816" s="1759"/>
      <c r="BB816" s="1759"/>
      <c r="BC816" s="1759"/>
      <c r="BD816" s="1759"/>
      <c r="BE816" s="1759"/>
      <c r="BF816" s="1759"/>
      <c r="BG816" s="1056"/>
    </row>
    <row r="817" spans="1:59" x14ac:dyDescent="0.15">
      <c r="A817" s="1050"/>
      <c r="B817" s="1064"/>
      <c r="C817" s="1779" t="s">
        <v>787</v>
      </c>
      <c r="D817" s="1761"/>
      <c r="E817" s="1761"/>
      <c r="F817" s="1761"/>
      <c r="G817" s="1761"/>
      <c r="H817" s="1761"/>
      <c r="I817" s="1761"/>
      <c r="J817" s="1761"/>
      <c r="K817" s="1761"/>
      <c r="L817" s="1761"/>
      <c r="M817" s="1761"/>
      <c r="N817" s="1761"/>
      <c r="O817" s="1761"/>
      <c r="P817" s="1761"/>
      <c r="Q817" s="1761"/>
      <c r="R817" s="1761"/>
      <c r="S817" s="1761"/>
      <c r="T817" s="1761"/>
      <c r="U817" s="1761"/>
      <c r="V817" s="1761"/>
      <c r="W817" s="1761"/>
      <c r="X817" s="1761"/>
      <c r="Y817" s="1761"/>
      <c r="Z817" s="1761"/>
      <c r="AA817" s="1761"/>
      <c r="AB817" s="1761"/>
      <c r="AC817" s="1761"/>
      <c r="AD817" s="1761"/>
      <c r="AE817" s="1761"/>
      <c r="AF817" s="1761"/>
      <c r="AG817" s="1761"/>
      <c r="AH817" s="1761"/>
      <c r="AI817" s="1761"/>
      <c r="AJ817" s="1761"/>
      <c r="AK817" s="1761"/>
      <c r="AL817" s="1761"/>
      <c r="AM817" s="1761"/>
      <c r="AN817" s="1761"/>
      <c r="AO817" s="1761"/>
      <c r="AP817" s="1761"/>
      <c r="AQ817" s="1761"/>
      <c r="AR817" s="1761"/>
      <c r="AS817" s="1761"/>
      <c r="AT817" s="1761"/>
      <c r="AU817" s="1761"/>
      <c r="AV817" s="1761"/>
      <c r="AW817" s="1761"/>
      <c r="AX817" s="1761"/>
      <c r="AY817" s="1761"/>
      <c r="AZ817" s="1761"/>
      <c r="BA817" s="1761"/>
      <c r="BB817" s="1761"/>
      <c r="BC817" s="1761"/>
      <c r="BD817" s="1761"/>
      <c r="BE817" s="1761"/>
      <c r="BF817" s="1761"/>
      <c r="BG817" s="1056"/>
    </row>
    <row r="818" spans="1:59" x14ac:dyDescent="0.15">
      <c r="A818" s="1050"/>
      <c r="B818" s="1053"/>
      <c r="C818" s="1760"/>
      <c r="D818" s="1760"/>
      <c r="E818" s="1760"/>
      <c r="F818" s="1760"/>
      <c r="G818" s="1760"/>
      <c r="H818" s="1760"/>
      <c r="I818" s="1760"/>
      <c r="J818" s="1760"/>
      <c r="K818" s="1760"/>
      <c r="L818" s="1760"/>
      <c r="M818" s="1760"/>
      <c r="N818" s="1760"/>
      <c r="O818" s="1760"/>
      <c r="P818" s="1760"/>
      <c r="Q818" s="1760"/>
      <c r="R818" s="1760"/>
      <c r="S818" s="1760"/>
      <c r="T818" s="1760"/>
      <c r="U818" s="1760"/>
      <c r="V818" s="1760"/>
      <c r="W818" s="1760"/>
      <c r="X818" s="1760"/>
      <c r="Y818" s="1760"/>
      <c r="Z818" s="1760"/>
      <c r="AA818" s="1760"/>
      <c r="AB818" s="1760"/>
      <c r="AC818" s="1760"/>
      <c r="AD818" s="1760"/>
      <c r="AE818" s="1760"/>
      <c r="AF818" s="1760"/>
      <c r="AG818" s="1760"/>
      <c r="AH818" s="1760"/>
      <c r="AI818" s="1760"/>
      <c r="AJ818" s="1760"/>
      <c r="AK818" s="1760"/>
      <c r="AL818" s="1760"/>
      <c r="AM818" s="1760"/>
      <c r="AN818" s="1760"/>
      <c r="AO818" s="1760"/>
      <c r="AP818" s="1760"/>
      <c r="AQ818" s="1760"/>
      <c r="AR818" s="1760"/>
      <c r="AS818" s="1760"/>
      <c r="AT818" s="1760"/>
      <c r="AU818" s="1760"/>
      <c r="AV818" s="1760"/>
      <c r="AW818" s="1760"/>
      <c r="AX818" s="1760"/>
      <c r="AY818" s="1760"/>
      <c r="AZ818" s="1760"/>
      <c r="BA818" s="1760"/>
      <c r="BB818" s="1760"/>
      <c r="BC818" s="1760"/>
      <c r="BD818" s="1760"/>
      <c r="BE818" s="1760"/>
      <c r="BF818" s="1760"/>
      <c r="BG818" s="1071"/>
    </row>
    <row r="819" spans="1:59" x14ac:dyDescent="0.15">
      <c r="A819" s="1050"/>
      <c r="B819" s="1064"/>
      <c r="C819" s="1760"/>
      <c r="D819" s="1760"/>
      <c r="E819" s="1760"/>
      <c r="F819" s="1760"/>
      <c r="G819" s="1760"/>
      <c r="H819" s="1760"/>
      <c r="I819" s="1760"/>
      <c r="J819" s="1760"/>
      <c r="K819" s="1760"/>
      <c r="L819" s="1760"/>
      <c r="M819" s="1760"/>
      <c r="N819" s="1760"/>
      <c r="O819" s="1760"/>
      <c r="P819" s="1760"/>
      <c r="Q819" s="1760"/>
      <c r="R819" s="1760"/>
      <c r="S819" s="1760"/>
      <c r="T819" s="1760"/>
      <c r="U819" s="1760"/>
      <c r="V819" s="1760"/>
      <c r="W819" s="1760"/>
      <c r="X819" s="1760"/>
      <c r="Y819" s="1760"/>
      <c r="Z819" s="1760"/>
      <c r="AA819" s="1760"/>
      <c r="AB819" s="1760"/>
      <c r="AC819" s="1760"/>
      <c r="AD819" s="1760"/>
      <c r="AE819" s="1760"/>
      <c r="AF819" s="1760"/>
      <c r="AG819" s="1760"/>
      <c r="AH819" s="1760"/>
      <c r="AI819" s="1760"/>
      <c r="AJ819" s="1760"/>
      <c r="AK819" s="1760"/>
      <c r="AL819" s="1760"/>
      <c r="AM819" s="1760"/>
      <c r="AN819" s="1760"/>
      <c r="AO819" s="1760"/>
      <c r="AP819" s="1760"/>
      <c r="AQ819" s="1760"/>
      <c r="AR819" s="1760"/>
      <c r="AS819" s="1760"/>
      <c r="AT819" s="1760"/>
      <c r="AU819" s="1760"/>
      <c r="AV819" s="1760"/>
      <c r="AW819" s="1760"/>
      <c r="AX819" s="1760"/>
      <c r="AY819" s="1760"/>
      <c r="AZ819" s="1760"/>
      <c r="BA819" s="1760"/>
      <c r="BB819" s="1760"/>
      <c r="BC819" s="1760"/>
      <c r="BD819" s="1760"/>
      <c r="BE819" s="1760"/>
      <c r="BF819" s="1760"/>
      <c r="BG819" s="1056"/>
    </row>
    <row r="820" spans="1:59" x14ac:dyDescent="0.15">
      <c r="A820" s="1050"/>
      <c r="B820" s="1064"/>
      <c r="C820" s="1054"/>
      <c r="D820" s="1054"/>
      <c r="E820" s="1054"/>
      <c r="F820" s="1054" t="s">
        <v>796</v>
      </c>
      <c r="G820" s="1054"/>
      <c r="H820" s="1780" t="str">
        <f>+IF(keltezes="","",keltezes)</f>
        <v/>
      </c>
      <c r="I820" s="1760"/>
      <c r="J820" s="1760"/>
      <c r="K820" s="1760"/>
      <c r="L820" s="1760"/>
      <c r="M820" s="1760"/>
      <c r="N820" s="1760"/>
      <c r="O820" s="1760"/>
      <c r="P820" s="1760"/>
      <c r="Q820" s="1760"/>
      <c r="R820" s="1760"/>
      <c r="S820" s="1760"/>
      <c r="T820" s="1760"/>
      <c r="U820" s="1054"/>
      <c r="V820" s="1054"/>
      <c r="W820" s="1054"/>
      <c r="X820" s="1054"/>
      <c r="Y820" s="1054"/>
      <c r="Z820" s="1054"/>
      <c r="AA820" s="1054"/>
      <c r="AB820" s="1054"/>
      <c r="AC820" s="1054"/>
      <c r="AD820" s="1054"/>
      <c r="AE820" s="1054"/>
      <c r="AF820" s="1054"/>
      <c r="AG820" s="1054"/>
      <c r="AH820" s="1054"/>
      <c r="AI820" s="1054"/>
      <c r="AJ820" s="1054"/>
      <c r="AK820" s="1054"/>
      <c r="AL820" s="1054"/>
      <c r="AM820" s="1054"/>
      <c r="AN820" s="1054"/>
      <c r="AO820" s="1054"/>
      <c r="AP820" s="1054"/>
      <c r="AQ820" s="1054"/>
      <c r="AR820" s="1054"/>
      <c r="AS820" s="1054"/>
      <c r="AT820" s="1054"/>
      <c r="AU820" s="1054"/>
      <c r="AV820" s="1054"/>
      <c r="AW820" s="1054"/>
      <c r="AX820" s="1054"/>
      <c r="AY820" s="1054"/>
      <c r="AZ820" s="1054"/>
      <c r="BA820" s="1054"/>
      <c r="BB820" s="1054"/>
      <c r="BC820" s="1054"/>
      <c r="BD820" s="1054"/>
      <c r="BE820" s="1054"/>
      <c r="BF820" s="1054"/>
      <c r="BG820" s="1056"/>
    </row>
    <row r="821" spans="1:59" x14ac:dyDescent="0.15">
      <c r="A821" s="1050"/>
      <c r="B821" s="1064"/>
      <c r="C821" s="1054"/>
      <c r="D821" s="1054"/>
      <c r="E821" s="1054"/>
      <c r="F821" s="1054"/>
      <c r="G821" s="1054"/>
      <c r="H821" s="1054"/>
      <c r="I821" s="1054"/>
      <c r="J821" s="1054"/>
      <c r="K821" s="1054"/>
      <c r="L821" s="1054"/>
      <c r="M821" s="1054"/>
      <c r="N821" s="1054"/>
      <c r="O821" s="1054"/>
      <c r="P821" s="1054"/>
      <c r="Q821" s="1054"/>
      <c r="R821" s="1054"/>
      <c r="S821" s="1054"/>
      <c r="T821" s="1054"/>
      <c r="U821" s="1054"/>
      <c r="V821" s="1054"/>
      <c r="W821" s="1054"/>
      <c r="X821" s="1054"/>
      <c r="Y821" s="1054"/>
      <c r="Z821" s="1054"/>
      <c r="AA821" s="1054"/>
      <c r="AB821" s="1054"/>
      <c r="AC821" s="1054"/>
      <c r="AD821" s="1054"/>
      <c r="AE821" s="1054"/>
      <c r="AF821" s="1054"/>
      <c r="AG821" s="1054"/>
      <c r="AH821" s="1054"/>
      <c r="AI821" s="1054"/>
      <c r="AJ821" s="1054"/>
      <c r="AK821" s="1054"/>
      <c r="AL821" s="1054"/>
      <c r="AM821" s="1054"/>
      <c r="AN821" s="1054"/>
      <c r="AO821" s="1054"/>
      <c r="AP821" s="1054"/>
      <c r="AQ821" s="1054"/>
      <c r="AR821" s="1054"/>
      <c r="AS821" s="1054"/>
      <c r="AT821" s="1054"/>
      <c r="AU821" s="1054"/>
      <c r="AV821" s="1054"/>
      <c r="AW821" s="1054"/>
      <c r="AX821" s="1054"/>
      <c r="AY821" s="1054"/>
      <c r="AZ821" s="1054"/>
      <c r="BA821" s="1054"/>
      <c r="BB821" s="1054"/>
      <c r="BC821" s="1054"/>
      <c r="BD821" s="1054"/>
      <c r="BE821" s="1054"/>
      <c r="BF821" s="1054"/>
      <c r="BG821" s="1056"/>
    </row>
    <row r="822" spans="1:59" x14ac:dyDescent="0.15">
      <c r="A822" s="1050"/>
      <c r="B822" s="1064"/>
      <c r="C822" s="1054"/>
      <c r="D822" s="1054"/>
      <c r="E822" s="1054"/>
      <c r="F822" s="1054"/>
      <c r="G822" s="1054"/>
      <c r="H822" s="1054"/>
      <c r="I822" s="1054"/>
      <c r="J822" s="1054"/>
      <c r="K822" s="1054"/>
      <c r="L822" s="1054"/>
      <c r="M822" s="1054"/>
      <c r="N822" s="1054"/>
      <c r="O822" s="1054"/>
      <c r="P822" s="1054"/>
      <c r="Q822" s="1054"/>
      <c r="R822" s="1054"/>
      <c r="S822" s="1054"/>
      <c r="T822" s="1054"/>
      <c r="U822" s="1054"/>
      <c r="V822" s="1054"/>
      <c r="W822" s="1054"/>
      <c r="X822" s="1054"/>
      <c r="Y822" s="1054"/>
      <c r="Z822" s="1054"/>
      <c r="AA822" s="1054"/>
      <c r="AB822" s="1054"/>
      <c r="AC822" s="1054"/>
      <c r="AD822" s="1054"/>
      <c r="AE822" s="1054"/>
      <c r="AF822" s="1054"/>
      <c r="AG822" s="1747"/>
      <c r="AH822" s="1747"/>
      <c r="AI822" s="1747"/>
      <c r="AJ822" s="1747"/>
      <c r="AK822" s="1747"/>
      <c r="AL822" s="1747"/>
      <c r="AM822" s="1747"/>
      <c r="AN822" s="1747"/>
      <c r="AO822" s="1747"/>
      <c r="AP822" s="1747"/>
      <c r="AQ822" s="1747"/>
      <c r="AR822" s="1747"/>
      <c r="AS822" s="1747"/>
      <c r="AT822" s="1747"/>
      <c r="AU822" s="1747"/>
      <c r="AV822" s="1747"/>
      <c r="AW822" s="1747"/>
      <c r="AX822" s="1747"/>
      <c r="AY822" s="1747"/>
      <c r="AZ822" s="1747"/>
      <c r="BA822" s="1747"/>
      <c r="BB822" s="1747"/>
      <c r="BC822" s="1747"/>
      <c r="BD822" s="1747"/>
      <c r="BE822" s="1054"/>
      <c r="BF822" s="1054"/>
      <c r="BG822" s="1056"/>
    </row>
    <row r="823" spans="1:59" ht="15" customHeight="1" x14ac:dyDescent="0.15">
      <c r="A823" s="1050"/>
      <c r="B823" s="1064"/>
      <c r="C823" s="1054"/>
      <c r="D823" s="1054"/>
      <c r="E823" s="1054"/>
      <c r="F823" s="1054"/>
      <c r="G823" s="1054"/>
      <c r="H823" s="1054"/>
      <c r="I823" s="1054"/>
      <c r="J823" s="1054"/>
      <c r="K823" s="1054"/>
      <c r="L823" s="1054"/>
      <c r="M823" s="1054"/>
      <c r="N823" s="1054"/>
      <c r="O823" s="1054"/>
      <c r="P823" s="1054"/>
      <c r="Q823" s="1054"/>
      <c r="R823" s="1054"/>
      <c r="S823" s="1054"/>
      <c r="T823" s="1054"/>
      <c r="U823" s="1054"/>
      <c r="V823" s="1054"/>
      <c r="W823" s="1054"/>
      <c r="X823" s="1054"/>
      <c r="Y823" s="1054"/>
      <c r="Z823" s="1054"/>
      <c r="AA823" s="1054"/>
      <c r="AB823" s="1054"/>
      <c r="AC823" s="1054"/>
      <c r="AD823" s="1054"/>
      <c r="AE823" s="1054"/>
      <c r="AF823" s="1054"/>
      <c r="AG823" s="1072" t="str">
        <f>+IF('Támogatási Nyilatkozatok_all'!C762="","",'Támogatási Nyilatkozatok_all'!C762)</f>
        <v/>
      </c>
      <c r="AH823" s="1072"/>
      <c r="AI823" s="1072"/>
      <c r="AJ823" s="1072"/>
      <c r="AK823" s="1072"/>
      <c r="AL823" s="1072"/>
      <c r="AM823" s="1072"/>
      <c r="AN823" s="1072"/>
      <c r="AO823" s="1072"/>
      <c r="AP823" s="1072"/>
      <c r="AQ823" s="1072"/>
      <c r="AR823" s="1072"/>
      <c r="AS823" s="1072"/>
      <c r="AT823" s="1072"/>
      <c r="AU823" s="1072"/>
      <c r="AV823" s="1072"/>
      <c r="AW823" s="1072"/>
      <c r="AX823" s="1072"/>
      <c r="AY823" s="1072"/>
      <c r="AZ823" s="1072"/>
      <c r="BA823" s="1072"/>
      <c r="BB823" s="1072"/>
      <c r="BC823" s="1072"/>
      <c r="BD823" s="1072"/>
      <c r="BE823" s="1054"/>
      <c r="BF823" s="1054"/>
      <c r="BG823" s="1056"/>
    </row>
    <row r="824" spans="1:59" x14ac:dyDescent="0.15">
      <c r="A824" s="1050"/>
      <c r="B824" s="1064"/>
      <c r="C824" s="1054"/>
      <c r="D824" s="1054"/>
      <c r="E824" s="1054"/>
      <c r="F824" s="1054"/>
      <c r="G824" s="1054"/>
      <c r="H824" s="1054"/>
      <c r="I824" s="1054"/>
      <c r="J824" s="1054"/>
      <c r="K824" s="1054"/>
      <c r="L824" s="1054"/>
      <c r="M824" s="1054"/>
      <c r="N824" s="1054"/>
      <c r="O824" s="1054"/>
      <c r="P824" s="1054"/>
      <c r="Q824" s="1054"/>
      <c r="R824" s="1054"/>
      <c r="S824" s="1054"/>
      <c r="T824" s="1054"/>
      <c r="U824" s="1054"/>
      <c r="V824" s="1054"/>
      <c r="W824" s="1054"/>
      <c r="X824" s="1054"/>
      <c r="Y824" s="1054"/>
      <c r="Z824" s="1054"/>
      <c r="AA824" s="1054"/>
      <c r="AB824" s="1054"/>
      <c r="AC824" s="1054"/>
      <c r="AD824" s="1054"/>
      <c r="AE824" s="1054"/>
      <c r="AF824" s="1054"/>
      <c r="AG824" s="1054"/>
      <c r="AH824" s="1054"/>
      <c r="AI824" s="1054"/>
      <c r="AJ824" s="1054"/>
      <c r="AK824" s="1054"/>
      <c r="AL824" s="1054"/>
      <c r="AM824" s="1054"/>
      <c r="AN824" s="1054"/>
      <c r="AO824" s="1054"/>
      <c r="AP824" s="1054"/>
      <c r="AQ824" s="1054"/>
      <c r="AR824" s="1054"/>
      <c r="AS824" s="1054"/>
      <c r="AT824" s="1054"/>
      <c r="AU824" s="1054"/>
      <c r="AV824" s="1054"/>
      <c r="AW824" s="1054"/>
      <c r="AX824" s="1054"/>
      <c r="AY824" s="1054"/>
      <c r="AZ824" s="1054"/>
      <c r="BA824" s="1054"/>
      <c r="BB824" s="1054"/>
      <c r="BC824" s="1054"/>
      <c r="BD824" s="1054"/>
      <c r="BE824" s="1054"/>
      <c r="BF824" s="1054"/>
      <c r="BG824" s="1056"/>
    </row>
    <row r="825" spans="1:59" x14ac:dyDescent="0.15">
      <c r="A825" s="1050"/>
      <c r="B825" s="1064"/>
      <c r="C825" s="1054"/>
      <c r="D825" s="1054"/>
      <c r="E825" s="1054"/>
      <c r="F825" s="1054"/>
      <c r="G825" s="1054"/>
      <c r="H825" s="1054"/>
      <c r="I825" s="1054"/>
      <c r="J825" s="1054"/>
      <c r="K825" s="1054"/>
      <c r="L825" s="1054"/>
      <c r="M825" s="1054"/>
      <c r="N825" s="1054"/>
      <c r="O825" s="1054"/>
      <c r="P825" s="1054"/>
      <c r="Q825" s="1054"/>
      <c r="R825" s="1054"/>
      <c r="S825" s="1054"/>
      <c r="T825" s="1054"/>
      <c r="U825" s="1054"/>
      <c r="V825" s="1054"/>
      <c r="W825" s="1054"/>
      <c r="X825" s="1054"/>
      <c r="Y825" s="1054"/>
      <c r="Z825" s="1054"/>
      <c r="AA825" s="1054"/>
      <c r="AB825" s="1054"/>
      <c r="AC825" s="1054"/>
      <c r="AD825" s="1054"/>
      <c r="AE825" s="1054"/>
      <c r="AF825" s="1054"/>
      <c r="AG825" s="1054"/>
      <c r="AH825" s="1054"/>
      <c r="AI825" s="1054"/>
      <c r="AJ825" s="1054"/>
      <c r="AK825" s="1054"/>
      <c r="AL825" s="1054"/>
      <c r="AM825" s="1054"/>
      <c r="AN825" s="1054"/>
      <c r="AO825" s="1054"/>
      <c r="AP825" s="1054"/>
      <c r="AQ825" s="1054"/>
      <c r="AR825" s="1054"/>
      <c r="AS825" s="1054"/>
      <c r="AT825" s="1054"/>
      <c r="AU825" s="1054"/>
      <c r="AV825" s="1054"/>
      <c r="AW825" s="1054"/>
      <c r="AX825" s="1054"/>
      <c r="AY825" s="1054"/>
      <c r="AZ825" s="1054"/>
      <c r="BA825" s="1054"/>
      <c r="BB825" s="1054"/>
      <c r="BC825" s="1054"/>
      <c r="BD825" s="1054"/>
      <c r="BE825" s="1054"/>
      <c r="BF825" s="1054"/>
      <c r="BG825" s="1056"/>
    </row>
    <row r="826" spans="1:59" x14ac:dyDescent="0.15">
      <c r="A826" s="1050"/>
      <c r="B826" s="1064"/>
      <c r="C826" s="1054"/>
      <c r="D826" s="1054"/>
      <c r="E826" s="1054" t="s">
        <v>797</v>
      </c>
      <c r="F826" s="1054"/>
      <c r="G826" s="1054"/>
      <c r="H826" s="1054"/>
      <c r="I826" s="1054"/>
      <c r="J826" s="1054"/>
      <c r="K826" s="1054"/>
      <c r="L826" s="1054"/>
      <c r="M826" s="1054"/>
      <c r="N826" s="1054"/>
      <c r="O826" s="1054"/>
      <c r="P826" s="1054"/>
      <c r="Q826" s="1054"/>
      <c r="R826" s="1054"/>
      <c r="S826" s="1054"/>
      <c r="T826" s="1054"/>
      <c r="U826" s="1054"/>
      <c r="V826" s="1054"/>
      <c r="W826" s="1054"/>
      <c r="X826" s="1054"/>
      <c r="Y826" s="1054"/>
      <c r="Z826" s="1054"/>
      <c r="AA826" s="1054"/>
      <c r="AB826" s="1054"/>
      <c r="AC826" s="1054"/>
      <c r="AD826" s="1054"/>
      <c r="AE826" s="1054"/>
      <c r="AF826" s="1054"/>
      <c r="AG826" s="1054"/>
      <c r="AH826" s="1054"/>
      <c r="AI826" s="1054"/>
      <c r="AJ826" s="1054"/>
      <c r="AK826" s="1054"/>
      <c r="AL826" s="1054"/>
      <c r="AM826" s="1054"/>
      <c r="AN826" s="1054"/>
      <c r="AO826" s="1054"/>
      <c r="AP826" s="1054"/>
      <c r="AQ826" s="1054"/>
      <c r="AR826" s="1054"/>
      <c r="AS826" s="1054"/>
      <c r="AT826" s="1054"/>
      <c r="AU826" s="1054"/>
      <c r="AV826" s="1054"/>
      <c r="AW826" s="1054"/>
      <c r="AX826" s="1054"/>
      <c r="AY826" s="1054"/>
      <c r="AZ826" s="1054"/>
      <c r="BA826" s="1054"/>
      <c r="BB826" s="1054"/>
      <c r="BC826" s="1054"/>
      <c r="BD826" s="1054"/>
      <c r="BE826" s="1054"/>
      <c r="BF826" s="1054"/>
      <c r="BG826" s="1056"/>
    </row>
    <row r="827" spans="1:59" x14ac:dyDescent="0.15">
      <c r="A827" s="1050"/>
      <c r="B827" s="1064"/>
      <c r="C827" s="1054"/>
      <c r="D827" s="1054"/>
      <c r="E827" s="1054" t="s">
        <v>798</v>
      </c>
      <c r="F827" s="1054"/>
      <c r="G827" s="1054"/>
      <c r="H827" s="1054"/>
      <c r="I827" s="1054"/>
      <c r="J827" s="1054"/>
      <c r="K827" s="1054"/>
      <c r="L827" s="1054"/>
      <c r="M827" s="1054"/>
      <c r="N827" s="1054"/>
      <c r="O827" s="1054"/>
      <c r="P827" s="1054"/>
      <c r="Q827" s="1054"/>
      <c r="R827" s="1054"/>
      <c r="S827" s="1054"/>
      <c r="T827" s="1054"/>
      <c r="U827" s="1054"/>
      <c r="V827" s="1054"/>
      <c r="W827" s="1054"/>
      <c r="X827" s="1054"/>
      <c r="Y827" s="1054"/>
      <c r="Z827" s="1054"/>
      <c r="AA827" s="1054"/>
      <c r="AB827" s="1054"/>
      <c r="AC827" s="1054"/>
      <c r="AD827" s="1054"/>
      <c r="AE827" s="1054"/>
      <c r="AF827" s="1054"/>
      <c r="AG827" s="1054"/>
      <c r="AH827" s="1054"/>
      <c r="AI827" s="1054"/>
      <c r="AJ827" s="1054"/>
      <c r="AK827" s="1054"/>
      <c r="AL827" s="1054"/>
      <c r="AM827" s="1054"/>
      <c r="AN827" s="1054"/>
      <c r="AO827" s="1054"/>
      <c r="AP827" s="1054"/>
      <c r="AQ827" s="1054"/>
      <c r="AR827" s="1054"/>
      <c r="AS827" s="1054"/>
      <c r="AT827" s="1054"/>
      <c r="AU827" s="1054"/>
      <c r="AV827" s="1054"/>
      <c r="AW827" s="1054"/>
      <c r="AX827" s="1054"/>
      <c r="AY827" s="1054"/>
      <c r="AZ827" s="1054"/>
      <c r="BA827" s="1054"/>
      <c r="BB827" s="1054"/>
      <c r="BC827" s="1054"/>
      <c r="BD827" s="1054"/>
      <c r="BE827" s="1054"/>
      <c r="BF827" s="1054"/>
      <c r="BG827" s="1056"/>
    </row>
    <row r="828" spans="1:59" x14ac:dyDescent="0.15">
      <c r="A828" s="1050"/>
      <c r="B828" s="1064"/>
      <c r="C828" s="1054"/>
      <c r="D828" s="1054"/>
      <c r="E828" s="1054"/>
      <c r="F828" s="1054"/>
      <c r="G828" s="1054"/>
      <c r="H828" s="1054"/>
      <c r="I828" s="1054"/>
      <c r="J828" s="1054"/>
      <c r="K828" s="1054"/>
      <c r="L828" s="1054"/>
      <c r="M828" s="1054"/>
      <c r="N828" s="1054"/>
      <c r="O828" s="1054"/>
      <c r="P828" s="1054"/>
      <c r="Q828" s="1054"/>
      <c r="R828" s="1054"/>
      <c r="S828" s="1054"/>
      <c r="T828" s="1054"/>
      <c r="U828" s="1054"/>
      <c r="V828" s="1054"/>
      <c r="W828" s="1054"/>
      <c r="X828" s="1054"/>
      <c r="Y828" s="1054"/>
      <c r="Z828" s="1054"/>
      <c r="AA828" s="1054"/>
      <c r="AB828" s="1054"/>
      <c r="AC828" s="1054"/>
      <c r="AD828" s="1054"/>
      <c r="AE828" s="1054"/>
      <c r="AF828" s="1054"/>
      <c r="AG828" s="1054"/>
      <c r="AH828" s="1054"/>
      <c r="AI828" s="1054"/>
      <c r="AJ828" s="1054"/>
      <c r="AK828" s="1054"/>
      <c r="AL828" s="1054"/>
      <c r="AM828" s="1054"/>
      <c r="AN828" s="1054"/>
      <c r="AO828" s="1054"/>
      <c r="AP828" s="1054"/>
      <c r="AQ828" s="1054"/>
      <c r="AR828" s="1054"/>
      <c r="AS828" s="1054"/>
      <c r="AT828" s="1054"/>
      <c r="AU828" s="1054"/>
      <c r="AV828" s="1054"/>
      <c r="AW828" s="1054"/>
      <c r="AX828" s="1054"/>
      <c r="AY828" s="1054"/>
      <c r="AZ828" s="1054"/>
      <c r="BA828" s="1054"/>
      <c r="BB828" s="1054"/>
      <c r="BC828" s="1054"/>
      <c r="BD828" s="1054"/>
      <c r="BE828" s="1054"/>
      <c r="BF828" s="1054"/>
      <c r="BG828" s="1056"/>
    </row>
    <row r="829" spans="1:59" x14ac:dyDescent="0.15">
      <c r="A829" s="1050"/>
      <c r="B829" s="1064"/>
      <c r="C829" s="1055"/>
      <c r="D829" s="1055"/>
      <c r="E829" s="1055" t="s">
        <v>799</v>
      </c>
      <c r="F829" s="1055"/>
      <c r="G829" s="1055"/>
      <c r="H829" s="1055"/>
      <c r="I829" s="1055"/>
      <c r="J829" s="1747"/>
      <c r="K829" s="1747"/>
      <c r="L829" s="1747"/>
      <c r="M829" s="1747"/>
      <c r="N829" s="1747"/>
      <c r="O829" s="1747"/>
      <c r="P829" s="1747"/>
      <c r="Q829" s="1747"/>
      <c r="R829" s="1747"/>
      <c r="S829" s="1747"/>
      <c r="T829" s="1747"/>
      <c r="U829" s="1747"/>
      <c r="V829" s="1747"/>
      <c r="W829" s="1747"/>
      <c r="X829" s="1747"/>
      <c r="Y829" s="1747"/>
      <c r="Z829" s="1747"/>
      <c r="AA829" s="1747"/>
      <c r="AB829" s="1747"/>
      <c r="AC829" s="1055"/>
      <c r="AD829" s="1055"/>
      <c r="AE829" s="1055"/>
      <c r="AF829" s="1055" t="s">
        <v>800</v>
      </c>
      <c r="AG829" s="1055"/>
      <c r="AH829" s="1055"/>
      <c r="AI829" s="1055"/>
      <c r="AJ829" s="1747"/>
      <c r="AK829" s="1747"/>
      <c r="AL829" s="1747"/>
      <c r="AM829" s="1747"/>
      <c r="AN829" s="1747"/>
      <c r="AO829" s="1747"/>
      <c r="AP829" s="1747"/>
      <c r="AQ829" s="1747"/>
      <c r="AR829" s="1747"/>
      <c r="AS829" s="1747"/>
      <c r="AT829" s="1747"/>
      <c r="AU829" s="1747"/>
      <c r="AV829" s="1747"/>
      <c r="AW829" s="1747"/>
      <c r="AX829" s="1747"/>
      <c r="AY829" s="1747"/>
      <c r="AZ829" s="1747"/>
      <c r="BA829" s="1747"/>
      <c r="BB829" s="1747"/>
      <c r="BC829" s="1055"/>
      <c r="BD829" s="1055"/>
      <c r="BE829" s="1055"/>
      <c r="BF829" s="1055"/>
      <c r="BG829" s="1056"/>
    </row>
    <row r="830" spans="1:59" x14ac:dyDescent="0.15">
      <c r="A830" s="1050"/>
      <c r="B830" s="1064"/>
      <c r="C830" s="1055"/>
      <c r="D830" s="1055"/>
      <c r="E830" s="1055"/>
      <c r="F830" s="1055"/>
      <c r="G830" s="1055"/>
      <c r="H830" s="1055"/>
      <c r="I830" s="1055"/>
      <c r="J830" s="1055"/>
      <c r="K830" s="1055"/>
      <c r="L830" s="1055"/>
      <c r="M830" s="1055"/>
      <c r="N830" s="1746" t="s">
        <v>315</v>
      </c>
      <c r="O830" s="1746"/>
      <c r="P830" s="1746"/>
      <c r="Q830" s="1746"/>
      <c r="R830" s="1746"/>
      <c r="S830" s="1746"/>
      <c r="T830" s="1746"/>
      <c r="U830" s="1746"/>
      <c r="V830" s="1746"/>
      <c r="W830" s="1746"/>
      <c r="X830" s="1746"/>
      <c r="Y830" s="1055"/>
      <c r="Z830" s="1055"/>
      <c r="AA830" s="1055"/>
      <c r="AB830" s="1055"/>
      <c r="AC830" s="1055"/>
      <c r="AD830" s="1055"/>
      <c r="AE830" s="1055"/>
      <c r="AF830" s="1055"/>
      <c r="AG830" s="1055"/>
      <c r="AH830" s="1055"/>
      <c r="AI830" s="1055"/>
      <c r="AJ830" s="1055"/>
      <c r="AK830" s="1055"/>
      <c r="AL830" s="1055"/>
      <c r="AM830" s="1055"/>
      <c r="AN830" s="1746" t="s">
        <v>315</v>
      </c>
      <c r="AO830" s="1746"/>
      <c r="AP830" s="1746"/>
      <c r="AQ830" s="1746"/>
      <c r="AR830" s="1746"/>
      <c r="AS830" s="1746"/>
      <c r="AT830" s="1746"/>
      <c r="AU830" s="1746"/>
      <c r="AV830" s="1746"/>
      <c r="AW830" s="1746"/>
      <c r="AX830" s="1746"/>
      <c r="AY830" s="1055"/>
      <c r="AZ830" s="1055"/>
      <c r="BA830" s="1055"/>
      <c r="BB830" s="1055"/>
      <c r="BC830" s="1055"/>
      <c r="BD830" s="1055"/>
      <c r="BE830" s="1055"/>
      <c r="BF830" s="1055"/>
      <c r="BG830" s="1056"/>
    </row>
    <row r="831" spans="1:59" x14ac:dyDescent="0.15">
      <c r="A831" s="1050"/>
      <c r="B831" s="1064"/>
      <c r="C831" s="1055"/>
      <c r="D831" s="1055"/>
      <c r="E831" s="1055"/>
      <c r="F831" s="1055"/>
      <c r="G831" s="1055"/>
      <c r="H831" s="1055"/>
      <c r="I831" s="1055"/>
      <c r="J831" s="1055"/>
      <c r="K831" s="1055"/>
      <c r="L831" s="1055"/>
      <c r="M831" s="1055"/>
      <c r="N831" s="1055"/>
      <c r="O831" s="1055"/>
      <c r="P831" s="1055"/>
      <c r="Q831" s="1055"/>
      <c r="R831" s="1055"/>
      <c r="S831" s="1055"/>
      <c r="T831" s="1055"/>
      <c r="U831" s="1055"/>
      <c r="V831" s="1055"/>
      <c r="W831" s="1055"/>
      <c r="X831" s="1055"/>
      <c r="Y831" s="1055"/>
      <c r="Z831" s="1055"/>
      <c r="AA831" s="1055"/>
      <c r="AB831" s="1055"/>
      <c r="AC831" s="1055"/>
      <c r="AD831" s="1055"/>
      <c r="AE831" s="1055"/>
      <c r="AF831" s="1055"/>
      <c r="AG831" s="1055"/>
      <c r="AH831" s="1055"/>
      <c r="AI831" s="1055"/>
      <c r="AJ831" s="1055"/>
      <c r="AK831" s="1055"/>
      <c r="AL831" s="1055"/>
      <c r="AM831" s="1055"/>
      <c r="AN831" s="1055"/>
      <c r="AO831" s="1055"/>
      <c r="AP831" s="1055"/>
      <c r="AQ831" s="1055"/>
      <c r="AR831" s="1055"/>
      <c r="AS831" s="1055"/>
      <c r="AT831" s="1055"/>
      <c r="AU831" s="1055"/>
      <c r="AV831" s="1055"/>
      <c r="AW831" s="1055"/>
      <c r="AX831" s="1055"/>
      <c r="AY831" s="1055"/>
      <c r="AZ831" s="1055"/>
      <c r="BA831" s="1055"/>
      <c r="BB831" s="1055"/>
      <c r="BC831" s="1055"/>
      <c r="BD831" s="1055"/>
      <c r="BE831" s="1055"/>
      <c r="BF831" s="1055"/>
      <c r="BG831" s="1056"/>
    </row>
    <row r="832" spans="1:59" x14ac:dyDescent="0.15">
      <c r="A832" s="1050"/>
      <c r="B832" s="1064"/>
      <c r="C832" s="1055"/>
      <c r="D832" s="1055"/>
      <c r="E832" s="1055"/>
      <c r="F832" s="1055"/>
      <c r="G832" s="1055"/>
      <c r="H832" s="1055"/>
      <c r="I832" s="1055"/>
      <c r="J832" s="1055"/>
      <c r="K832" s="1055"/>
      <c r="L832" s="1055"/>
      <c r="M832" s="1055"/>
      <c r="N832" s="1055"/>
      <c r="O832" s="1055"/>
      <c r="P832" s="1055"/>
      <c r="Q832" s="1055"/>
      <c r="R832" s="1055"/>
      <c r="S832" s="1055"/>
      <c r="T832" s="1055"/>
      <c r="U832" s="1055"/>
      <c r="V832" s="1055"/>
      <c r="W832" s="1055"/>
      <c r="X832" s="1055"/>
      <c r="Y832" s="1055"/>
      <c r="Z832" s="1055"/>
      <c r="AA832" s="1055"/>
      <c r="AB832" s="1055"/>
      <c r="AC832" s="1055"/>
      <c r="AD832" s="1055"/>
      <c r="AE832" s="1055"/>
      <c r="AF832" s="1055"/>
      <c r="AG832" s="1055"/>
      <c r="AH832" s="1055"/>
      <c r="AI832" s="1055"/>
      <c r="AJ832" s="1055"/>
      <c r="AK832" s="1055"/>
      <c r="AL832" s="1055"/>
      <c r="AM832" s="1055"/>
      <c r="AN832" s="1055"/>
      <c r="AO832" s="1055"/>
      <c r="AP832" s="1055"/>
      <c r="AQ832" s="1055"/>
      <c r="AR832" s="1055"/>
      <c r="AS832" s="1055"/>
      <c r="AT832" s="1055"/>
      <c r="AU832" s="1055"/>
      <c r="AV832" s="1055"/>
      <c r="AW832" s="1055"/>
      <c r="AX832" s="1055"/>
      <c r="AY832" s="1055"/>
      <c r="AZ832" s="1055"/>
      <c r="BA832" s="1055"/>
      <c r="BB832" s="1055"/>
      <c r="BC832" s="1055"/>
      <c r="BD832" s="1055"/>
      <c r="BE832" s="1055"/>
      <c r="BF832" s="1055"/>
      <c r="BG832" s="1056"/>
    </row>
    <row r="833" spans="1:60" x14ac:dyDescent="0.15">
      <c r="A833" s="1050"/>
      <c r="B833" s="1064"/>
      <c r="C833" s="1055"/>
      <c r="D833" s="1055"/>
      <c r="E833" s="1055"/>
      <c r="F833" s="1055"/>
      <c r="G833" s="1055"/>
      <c r="H833" s="1055"/>
      <c r="I833" s="1055"/>
      <c r="J833" s="1747"/>
      <c r="K833" s="1747"/>
      <c r="L833" s="1747"/>
      <c r="M833" s="1747"/>
      <c r="N833" s="1747"/>
      <c r="O833" s="1747"/>
      <c r="P833" s="1747"/>
      <c r="Q833" s="1747"/>
      <c r="R833" s="1747"/>
      <c r="S833" s="1747"/>
      <c r="T833" s="1747"/>
      <c r="U833" s="1747"/>
      <c r="V833" s="1747"/>
      <c r="W833" s="1747"/>
      <c r="X833" s="1747"/>
      <c r="Y833" s="1747"/>
      <c r="Z833" s="1747"/>
      <c r="AA833" s="1747"/>
      <c r="AB833" s="1747"/>
      <c r="AC833" s="1055"/>
      <c r="AD833" s="1055"/>
      <c r="AE833" s="1055"/>
      <c r="AF833" s="1055"/>
      <c r="AG833" s="1055"/>
      <c r="AH833" s="1055"/>
      <c r="AI833" s="1055"/>
      <c r="AJ833" s="1747"/>
      <c r="AK833" s="1747"/>
      <c r="AL833" s="1747"/>
      <c r="AM833" s="1747"/>
      <c r="AN833" s="1747"/>
      <c r="AO833" s="1747"/>
      <c r="AP833" s="1747"/>
      <c r="AQ833" s="1747"/>
      <c r="AR833" s="1747"/>
      <c r="AS833" s="1747"/>
      <c r="AT833" s="1747"/>
      <c r="AU833" s="1747"/>
      <c r="AV833" s="1747"/>
      <c r="AW833" s="1747"/>
      <c r="AX833" s="1747"/>
      <c r="AY833" s="1747"/>
      <c r="AZ833" s="1747"/>
      <c r="BA833" s="1747"/>
      <c r="BB833" s="1747"/>
      <c r="BC833" s="1055"/>
      <c r="BD833" s="1055"/>
      <c r="BE833" s="1055"/>
      <c r="BF833" s="1055"/>
      <c r="BG833" s="1056"/>
    </row>
    <row r="834" spans="1:60" x14ac:dyDescent="0.15">
      <c r="A834" s="1050"/>
      <c r="B834" s="1064"/>
      <c r="C834" s="1055"/>
      <c r="D834" s="1055"/>
      <c r="E834" s="1055"/>
      <c r="F834" s="1055"/>
      <c r="G834" s="1055"/>
      <c r="H834" s="1055"/>
      <c r="I834" s="1055"/>
      <c r="J834" s="1055"/>
      <c r="K834" s="1055"/>
      <c r="L834" s="1055"/>
      <c r="M834" s="1055"/>
      <c r="N834" s="1746" t="s">
        <v>316</v>
      </c>
      <c r="O834" s="1746"/>
      <c r="P834" s="1746"/>
      <c r="Q834" s="1746"/>
      <c r="R834" s="1746"/>
      <c r="S834" s="1746"/>
      <c r="T834" s="1746"/>
      <c r="U834" s="1746"/>
      <c r="V834" s="1746"/>
      <c r="W834" s="1746"/>
      <c r="X834" s="1746"/>
      <c r="Y834" s="1055"/>
      <c r="Z834" s="1055"/>
      <c r="AA834" s="1055"/>
      <c r="AB834" s="1055"/>
      <c r="AC834" s="1055"/>
      <c r="AD834" s="1055"/>
      <c r="AE834" s="1055"/>
      <c r="AF834" s="1055"/>
      <c r="AG834" s="1055"/>
      <c r="AH834" s="1055"/>
      <c r="AI834" s="1055"/>
      <c r="AJ834" s="1055"/>
      <c r="AK834" s="1055"/>
      <c r="AL834" s="1055"/>
      <c r="AM834" s="1055"/>
      <c r="AN834" s="1746" t="s">
        <v>316</v>
      </c>
      <c r="AO834" s="1746"/>
      <c r="AP834" s="1746"/>
      <c r="AQ834" s="1746"/>
      <c r="AR834" s="1746"/>
      <c r="AS834" s="1746"/>
      <c r="AT834" s="1746"/>
      <c r="AU834" s="1746"/>
      <c r="AV834" s="1746"/>
      <c r="AW834" s="1746"/>
      <c r="AX834" s="1746"/>
      <c r="AY834" s="1055"/>
      <c r="AZ834" s="1055"/>
      <c r="BA834" s="1055"/>
      <c r="BB834" s="1055"/>
      <c r="BC834" s="1055"/>
      <c r="BD834" s="1055"/>
      <c r="BE834" s="1055"/>
      <c r="BF834" s="1055"/>
      <c r="BG834" s="1056"/>
    </row>
    <row r="835" spans="1:60" x14ac:dyDescent="0.15">
      <c r="A835" s="1050"/>
      <c r="B835" s="1064"/>
      <c r="C835" s="1055"/>
      <c r="D835" s="1055"/>
      <c r="E835" s="1055"/>
      <c r="F835" s="1055"/>
      <c r="G835" s="1055"/>
      <c r="H835" s="1055"/>
      <c r="I835" s="1055"/>
      <c r="J835" s="1055"/>
      <c r="K835" s="1055"/>
      <c r="L835" s="1055"/>
      <c r="M835" s="1055"/>
      <c r="N835" s="1055"/>
      <c r="O835" s="1055"/>
      <c r="P835" s="1055"/>
      <c r="Q835" s="1055"/>
      <c r="R835" s="1055"/>
      <c r="S835" s="1055"/>
      <c r="T835" s="1055"/>
      <c r="U835" s="1055"/>
      <c r="V835" s="1055"/>
      <c r="W835" s="1055"/>
      <c r="X835" s="1055"/>
      <c r="Y835" s="1055"/>
      <c r="Z835" s="1055"/>
      <c r="AA835" s="1055"/>
      <c r="AB835" s="1055"/>
      <c r="AC835" s="1055"/>
      <c r="AD835" s="1055"/>
      <c r="AE835" s="1055"/>
      <c r="AF835" s="1055"/>
      <c r="AG835" s="1055"/>
      <c r="AH835" s="1055"/>
      <c r="AI835" s="1055"/>
      <c r="AJ835" s="1055"/>
      <c r="AK835" s="1055"/>
      <c r="AL835" s="1055"/>
      <c r="AM835" s="1055"/>
      <c r="AN835" s="1055"/>
      <c r="AO835" s="1055"/>
      <c r="AP835" s="1055"/>
      <c r="AQ835" s="1055"/>
      <c r="AR835" s="1055"/>
      <c r="AS835" s="1055"/>
      <c r="AT835" s="1055"/>
      <c r="AU835" s="1055"/>
      <c r="AV835" s="1055"/>
      <c r="AW835" s="1055"/>
      <c r="AX835" s="1055"/>
      <c r="AY835" s="1055"/>
      <c r="AZ835" s="1055"/>
      <c r="BA835" s="1055"/>
      <c r="BB835" s="1055"/>
      <c r="BC835" s="1055"/>
      <c r="BD835" s="1055"/>
      <c r="BE835" s="1055"/>
      <c r="BF835" s="1055"/>
      <c r="BG835" s="1056"/>
    </row>
    <row r="836" spans="1:60" x14ac:dyDescent="0.15">
      <c r="A836" s="1050"/>
      <c r="B836" s="1064"/>
      <c r="C836" s="1055"/>
      <c r="D836" s="1055"/>
      <c r="E836" s="1055"/>
      <c r="F836" s="1055"/>
      <c r="G836" s="1055"/>
      <c r="H836" s="1055"/>
      <c r="I836" s="1055"/>
      <c r="J836" s="1055"/>
      <c r="K836" s="1055"/>
      <c r="L836" s="1055"/>
      <c r="M836" s="1055"/>
      <c r="N836" s="1055"/>
      <c r="O836" s="1055"/>
      <c r="P836" s="1055"/>
      <c r="Q836" s="1055"/>
      <c r="R836" s="1055"/>
      <c r="S836" s="1055"/>
      <c r="T836" s="1055"/>
      <c r="U836" s="1055"/>
      <c r="V836" s="1055"/>
      <c r="W836" s="1055"/>
      <c r="X836" s="1055"/>
      <c r="Y836" s="1055"/>
      <c r="Z836" s="1055"/>
      <c r="AA836" s="1055"/>
      <c r="AB836" s="1055"/>
      <c r="AC836" s="1055"/>
      <c r="AD836" s="1055"/>
      <c r="AE836" s="1055"/>
      <c r="AF836" s="1055"/>
      <c r="AG836" s="1055"/>
      <c r="AH836" s="1055"/>
      <c r="AI836" s="1055"/>
      <c r="AJ836" s="1055"/>
      <c r="AK836" s="1055"/>
      <c r="AL836" s="1055"/>
      <c r="AM836" s="1055"/>
      <c r="AN836" s="1055"/>
      <c r="AO836" s="1055"/>
      <c r="AP836" s="1055"/>
      <c r="AQ836" s="1055"/>
      <c r="AR836" s="1055"/>
      <c r="AS836" s="1055"/>
      <c r="AT836" s="1055"/>
      <c r="AU836" s="1055"/>
      <c r="AV836" s="1055"/>
      <c r="AW836" s="1055"/>
      <c r="AX836" s="1055"/>
      <c r="AY836" s="1055"/>
      <c r="AZ836" s="1055"/>
      <c r="BA836" s="1055"/>
      <c r="BB836" s="1055"/>
      <c r="BC836" s="1055"/>
      <c r="BD836" s="1055"/>
      <c r="BE836" s="1055"/>
      <c r="BF836" s="1055"/>
      <c r="BG836" s="1056"/>
    </row>
    <row r="837" spans="1:60" x14ac:dyDescent="0.15">
      <c r="A837" s="1050"/>
      <c r="B837" s="1064"/>
      <c r="C837" s="1055"/>
      <c r="D837" s="1055"/>
      <c r="E837" s="1055"/>
      <c r="F837" s="1055"/>
      <c r="G837" s="1055"/>
      <c r="H837" s="1055"/>
      <c r="I837" s="1055"/>
      <c r="J837" s="1747"/>
      <c r="K837" s="1747"/>
      <c r="L837" s="1747"/>
      <c r="M837" s="1747"/>
      <c r="N837" s="1747"/>
      <c r="O837" s="1747"/>
      <c r="P837" s="1747"/>
      <c r="Q837" s="1747"/>
      <c r="R837" s="1747"/>
      <c r="S837" s="1747"/>
      <c r="T837" s="1747"/>
      <c r="U837" s="1747"/>
      <c r="V837" s="1747"/>
      <c r="W837" s="1747"/>
      <c r="X837" s="1747"/>
      <c r="Y837" s="1747"/>
      <c r="Z837" s="1747"/>
      <c r="AA837" s="1747"/>
      <c r="AB837" s="1747"/>
      <c r="AC837" s="1055"/>
      <c r="AD837" s="1055"/>
      <c r="AE837" s="1055"/>
      <c r="AF837" s="1055"/>
      <c r="AG837" s="1055"/>
      <c r="AH837" s="1055"/>
      <c r="AI837" s="1055"/>
      <c r="AJ837" s="1747"/>
      <c r="AK837" s="1747"/>
      <c r="AL837" s="1747"/>
      <c r="AM837" s="1747"/>
      <c r="AN837" s="1747"/>
      <c r="AO837" s="1747"/>
      <c r="AP837" s="1747"/>
      <c r="AQ837" s="1747"/>
      <c r="AR837" s="1747"/>
      <c r="AS837" s="1747"/>
      <c r="AT837" s="1747"/>
      <c r="AU837" s="1747"/>
      <c r="AV837" s="1747"/>
      <c r="AW837" s="1747"/>
      <c r="AX837" s="1747"/>
      <c r="AY837" s="1747"/>
      <c r="AZ837" s="1747"/>
      <c r="BA837" s="1747"/>
      <c r="BB837" s="1747"/>
      <c r="BC837" s="1055"/>
      <c r="BD837" s="1055"/>
      <c r="BE837" s="1055"/>
      <c r="BF837" s="1055"/>
      <c r="BG837" s="1056"/>
    </row>
    <row r="838" spans="1:60" x14ac:dyDescent="0.15">
      <c r="A838" s="1050"/>
      <c r="B838" s="1064"/>
      <c r="C838" s="1055"/>
      <c r="D838" s="1055"/>
      <c r="E838" s="1055"/>
      <c r="F838" s="1055"/>
      <c r="G838" s="1055"/>
      <c r="H838" s="1055"/>
      <c r="I838" s="1055"/>
      <c r="J838" s="1055"/>
      <c r="K838" s="1055"/>
      <c r="L838" s="1055"/>
      <c r="M838" s="1055"/>
      <c r="N838" s="1746" t="s">
        <v>801</v>
      </c>
      <c r="O838" s="1746"/>
      <c r="P838" s="1746"/>
      <c r="Q838" s="1746"/>
      <c r="R838" s="1746"/>
      <c r="S838" s="1746"/>
      <c r="T838" s="1746"/>
      <c r="U838" s="1746"/>
      <c r="V838" s="1746"/>
      <c r="W838" s="1746"/>
      <c r="X838" s="1746"/>
      <c r="Y838" s="1055"/>
      <c r="Z838" s="1055"/>
      <c r="AA838" s="1055"/>
      <c r="AB838" s="1055"/>
      <c r="AC838" s="1055"/>
      <c r="AD838" s="1055"/>
      <c r="AE838" s="1055"/>
      <c r="AF838" s="1055"/>
      <c r="AG838" s="1055"/>
      <c r="AH838" s="1055"/>
      <c r="AI838" s="1055"/>
      <c r="AJ838" s="1055"/>
      <c r="AK838" s="1055"/>
      <c r="AL838" s="1055"/>
      <c r="AM838" s="1055"/>
      <c r="AN838" s="1746" t="s">
        <v>801</v>
      </c>
      <c r="AO838" s="1746"/>
      <c r="AP838" s="1746"/>
      <c r="AQ838" s="1746"/>
      <c r="AR838" s="1746"/>
      <c r="AS838" s="1746"/>
      <c r="AT838" s="1746"/>
      <c r="AU838" s="1746"/>
      <c r="AV838" s="1746"/>
      <c r="AW838" s="1746"/>
      <c r="AX838" s="1746"/>
      <c r="AY838" s="1055"/>
      <c r="AZ838" s="1055"/>
      <c r="BA838" s="1055"/>
      <c r="BB838" s="1055"/>
      <c r="BC838" s="1055"/>
      <c r="BD838" s="1055"/>
      <c r="BE838" s="1055"/>
      <c r="BF838" s="1055"/>
      <c r="BG838" s="1056"/>
    </row>
    <row r="839" spans="1:60" x14ac:dyDescent="0.15">
      <c r="A839" s="1050"/>
      <c r="B839" s="1064"/>
      <c r="C839" s="1055"/>
      <c r="D839" s="1055"/>
      <c r="E839" s="1055"/>
      <c r="F839" s="1055"/>
      <c r="G839" s="1055"/>
      <c r="H839" s="1055"/>
      <c r="I839" s="1055"/>
      <c r="J839" s="1055"/>
      <c r="K839" s="1055"/>
      <c r="L839" s="1055"/>
      <c r="M839" s="1055"/>
      <c r="N839" s="1055"/>
      <c r="O839" s="1055"/>
      <c r="P839" s="1055"/>
      <c r="Q839" s="1055"/>
      <c r="R839" s="1055"/>
      <c r="S839" s="1055"/>
      <c r="T839" s="1055"/>
      <c r="U839" s="1055"/>
      <c r="V839" s="1055"/>
      <c r="W839" s="1055"/>
      <c r="X839" s="1055"/>
      <c r="Y839" s="1055"/>
      <c r="Z839" s="1055"/>
      <c r="AA839" s="1055"/>
      <c r="AB839" s="1055"/>
      <c r="AC839" s="1055"/>
      <c r="AD839" s="1055"/>
      <c r="AE839" s="1055"/>
      <c r="AF839" s="1055"/>
      <c r="AG839" s="1055"/>
      <c r="AH839" s="1055"/>
      <c r="AI839" s="1055"/>
      <c r="AJ839" s="1055"/>
      <c r="AK839" s="1055"/>
      <c r="AL839" s="1055"/>
      <c r="AM839" s="1055"/>
      <c r="AN839" s="1055"/>
      <c r="AO839" s="1055"/>
      <c r="AP839" s="1055"/>
      <c r="AQ839" s="1055"/>
      <c r="AR839" s="1055"/>
      <c r="AS839" s="1055"/>
      <c r="AT839" s="1055"/>
      <c r="AU839" s="1055"/>
      <c r="AV839" s="1055"/>
      <c r="AW839" s="1055"/>
      <c r="AX839" s="1055"/>
      <c r="AY839" s="1055"/>
      <c r="AZ839" s="1055"/>
      <c r="BA839" s="1055"/>
      <c r="BB839" s="1055"/>
      <c r="BC839" s="1055"/>
      <c r="BD839" s="1055"/>
      <c r="BE839" s="1055"/>
      <c r="BF839" s="1055"/>
      <c r="BG839" s="1056"/>
    </row>
    <row r="840" spans="1:60" x14ac:dyDescent="0.15">
      <c r="A840" s="1050"/>
      <c r="B840" s="1064"/>
      <c r="C840" s="1055"/>
      <c r="D840" s="1055"/>
      <c r="E840" s="1055"/>
      <c r="F840" s="1055"/>
      <c r="G840" s="1055"/>
      <c r="H840" s="1055"/>
      <c r="I840" s="1055"/>
      <c r="J840" s="1055"/>
      <c r="K840" s="1055"/>
      <c r="L840" s="1055"/>
      <c r="M840" s="1055"/>
      <c r="N840" s="1055"/>
      <c r="O840" s="1055"/>
      <c r="P840" s="1055"/>
      <c r="Q840" s="1055"/>
      <c r="R840" s="1055"/>
      <c r="S840" s="1055"/>
      <c r="T840" s="1055"/>
      <c r="U840" s="1055"/>
      <c r="V840" s="1055"/>
      <c r="W840" s="1055"/>
      <c r="X840" s="1055"/>
      <c r="Y840" s="1055"/>
      <c r="Z840" s="1055"/>
      <c r="AA840" s="1055"/>
      <c r="AB840" s="1055"/>
      <c r="AC840" s="1055"/>
      <c r="AD840" s="1055"/>
      <c r="AE840" s="1055"/>
      <c r="AF840" s="1055"/>
      <c r="AG840" s="1055"/>
      <c r="AH840" s="1055"/>
      <c r="AI840" s="1055"/>
      <c r="AJ840" s="1055"/>
      <c r="AK840" s="1055"/>
      <c r="AL840" s="1055"/>
      <c r="AM840" s="1055"/>
      <c r="AN840" s="1055"/>
      <c r="AO840" s="1055"/>
      <c r="AP840" s="1055"/>
      <c r="AQ840" s="1055"/>
      <c r="AR840" s="1055"/>
      <c r="AS840" s="1055"/>
      <c r="AT840" s="1055"/>
      <c r="AU840" s="1055"/>
      <c r="AV840" s="1055"/>
      <c r="AW840" s="1055"/>
      <c r="AX840" s="1055"/>
      <c r="AY840" s="1055"/>
      <c r="AZ840" s="1055"/>
      <c r="BA840" s="1055"/>
      <c r="BB840" s="1055"/>
      <c r="BC840" s="1055"/>
      <c r="BD840" s="1055"/>
      <c r="BE840" s="1055"/>
      <c r="BF840" s="1055"/>
      <c r="BG840" s="1056"/>
    </row>
    <row r="841" spans="1:60" x14ac:dyDescent="0.15">
      <c r="A841" s="1050"/>
      <c r="B841" s="1064"/>
      <c r="C841" s="1055"/>
      <c r="D841" s="1055"/>
      <c r="E841" s="1055"/>
      <c r="F841" s="1055"/>
      <c r="G841" s="1055"/>
      <c r="H841" s="1055"/>
      <c r="I841" s="1055"/>
      <c r="J841" s="1747"/>
      <c r="K841" s="1747"/>
      <c r="L841" s="1747"/>
      <c r="M841" s="1747"/>
      <c r="N841" s="1747"/>
      <c r="O841" s="1747"/>
      <c r="P841" s="1747"/>
      <c r="Q841" s="1747"/>
      <c r="R841" s="1747"/>
      <c r="S841" s="1747"/>
      <c r="T841" s="1747"/>
      <c r="U841" s="1747"/>
      <c r="V841" s="1747"/>
      <c r="W841" s="1747"/>
      <c r="X841" s="1747"/>
      <c r="Y841" s="1747"/>
      <c r="Z841" s="1747"/>
      <c r="AA841" s="1747"/>
      <c r="AB841" s="1747"/>
      <c r="AC841" s="1055"/>
      <c r="AD841" s="1055"/>
      <c r="AE841" s="1055"/>
      <c r="AF841" s="1055"/>
      <c r="AG841" s="1055"/>
      <c r="AH841" s="1055"/>
      <c r="AI841" s="1055"/>
      <c r="AJ841" s="1747"/>
      <c r="AK841" s="1747"/>
      <c r="AL841" s="1747"/>
      <c r="AM841" s="1747"/>
      <c r="AN841" s="1747"/>
      <c r="AO841" s="1747"/>
      <c r="AP841" s="1747"/>
      <c r="AQ841" s="1747"/>
      <c r="AR841" s="1747"/>
      <c r="AS841" s="1747"/>
      <c r="AT841" s="1747"/>
      <c r="AU841" s="1747"/>
      <c r="AV841" s="1747"/>
      <c r="AW841" s="1747"/>
      <c r="AX841" s="1747"/>
      <c r="AY841" s="1747"/>
      <c r="AZ841" s="1747"/>
      <c r="BA841" s="1747"/>
      <c r="BB841" s="1747"/>
      <c r="BC841" s="1055"/>
      <c r="BD841" s="1055"/>
      <c r="BE841" s="1055"/>
      <c r="BF841" s="1055"/>
      <c r="BG841" s="1056"/>
    </row>
    <row r="842" spans="1:60" x14ac:dyDescent="0.15">
      <c r="A842" s="1050"/>
      <c r="B842" s="1064"/>
      <c r="C842" s="1055"/>
      <c r="D842" s="1055"/>
      <c r="E842" s="1055"/>
      <c r="F842" s="1055"/>
      <c r="G842" s="1055"/>
      <c r="H842" s="1055"/>
      <c r="I842" s="1055"/>
      <c r="J842" s="1055"/>
      <c r="K842" s="1055"/>
      <c r="L842" s="1055"/>
      <c r="M842" s="1055"/>
      <c r="N842" s="1746" t="s">
        <v>802</v>
      </c>
      <c r="O842" s="1746"/>
      <c r="P842" s="1746"/>
      <c r="Q842" s="1746"/>
      <c r="R842" s="1746"/>
      <c r="S842" s="1746"/>
      <c r="T842" s="1746"/>
      <c r="U842" s="1746"/>
      <c r="V842" s="1746"/>
      <c r="W842" s="1746"/>
      <c r="X842" s="1746"/>
      <c r="Y842" s="1055"/>
      <c r="Z842" s="1055"/>
      <c r="AA842" s="1055"/>
      <c r="AB842" s="1055"/>
      <c r="AC842" s="1055"/>
      <c r="AD842" s="1055"/>
      <c r="AE842" s="1055"/>
      <c r="AF842" s="1055"/>
      <c r="AG842" s="1055"/>
      <c r="AH842" s="1055"/>
      <c r="AI842" s="1055"/>
      <c r="AJ842" s="1055"/>
      <c r="AK842" s="1055"/>
      <c r="AL842" s="1055"/>
      <c r="AM842" s="1055"/>
      <c r="AN842" s="1746" t="s">
        <v>802</v>
      </c>
      <c r="AO842" s="1746"/>
      <c r="AP842" s="1746"/>
      <c r="AQ842" s="1746"/>
      <c r="AR842" s="1746"/>
      <c r="AS842" s="1746"/>
      <c r="AT842" s="1746"/>
      <c r="AU842" s="1746"/>
      <c r="AV842" s="1746"/>
      <c r="AW842" s="1746"/>
      <c r="AX842" s="1746"/>
      <c r="AY842" s="1055"/>
      <c r="AZ842" s="1055"/>
      <c r="BA842" s="1055"/>
      <c r="BB842" s="1055"/>
      <c r="BC842" s="1055"/>
      <c r="BD842" s="1055"/>
      <c r="BE842" s="1055"/>
      <c r="BF842" s="1055"/>
      <c r="BG842" s="1056"/>
    </row>
    <row r="843" spans="1:60" x14ac:dyDescent="0.15">
      <c r="A843" s="1050"/>
      <c r="B843" s="1064"/>
      <c r="C843" s="1760"/>
      <c r="D843" s="1760"/>
      <c r="E843" s="1760"/>
      <c r="F843" s="1760"/>
      <c r="G843" s="1760"/>
      <c r="H843" s="1760"/>
      <c r="I843" s="1760"/>
      <c r="J843" s="1760"/>
      <c r="K843" s="1760"/>
      <c r="L843" s="1760"/>
      <c r="M843" s="1760"/>
      <c r="N843" s="1760"/>
      <c r="O843" s="1760"/>
      <c r="P843" s="1760"/>
      <c r="Q843" s="1760"/>
      <c r="R843" s="1760"/>
      <c r="S843" s="1760"/>
      <c r="T843" s="1760"/>
      <c r="U843" s="1760"/>
      <c r="V843" s="1760"/>
      <c r="W843" s="1760"/>
      <c r="X843" s="1760"/>
      <c r="Y843" s="1760"/>
      <c r="Z843" s="1760"/>
      <c r="AA843" s="1760"/>
      <c r="AB843" s="1760"/>
      <c r="AC843" s="1760"/>
      <c r="AD843" s="1760"/>
      <c r="AE843" s="1760"/>
      <c r="AF843" s="1760"/>
      <c r="AG843" s="1760"/>
      <c r="AH843" s="1760"/>
      <c r="AI843" s="1760"/>
      <c r="AJ843" s="1760"/>
      <c r="AK843" s="1760"/>
      <c r="AL843" s="1760"/>
      <c r="AM843" s="1760"/>
      <c r="AN843" s="1760"/>
      <c r="AO843" s="1760"/>
      <c r="AP843" s="1760"/>
      <c r="AQ843" s="1760"/>
      <c r="AR843" s="1760"/>
      <c r="AS843" s="1760"/>
      <c r="AT843" s="1760"/>
      <c r="AU843" s="1760"/>
      <c r="AV843" s="1760"/>
      <c r="AW843" s="1760"/>
      <c r="AX843" s="1760"/>
      <c r="AY843" s="1760"/>
      <c r="AZ843" s="1760"/>
      <c r="BA843" s="1760"/>
      <c r="BB843" s="1760"/>
      <c r="BC843" s="1760"/>
      <c r="BD843" s="1760"/>
      <c r="BE843" s="1760"/>
      <c r="BF843" s="1760"/>
      <c r="BG843" s="1056"/>
    </row>
    <row r="844" spans="1:60" x14ac:dyDescent="0.15">
      <c r="A844" s="1050"/>
      <c r="B844" s="1065"/>
      <c r="C844" s="1747"/>
      <c r="D844" s="1747"/>
      <c r="E844" s="1747"/>
      <c r="F844" s="1747"/>
      <c r="G844" s="1747"/>
      <c r="H844" s="1747"/>
      <c r="I844" s="1747"/>
      <c r="J844" s="1747"/>
      <c r="K844" s="1747"/>
      <c r="L844" s="1747"/>
      <c r="M844" s="1747"/>
      <c r="N844" s="1747"/>
      <c r="O844" s="1747"/>
      <c r="P844" s="1747"/>
      <c r="Q844" s="1747"/>
      <c r="R844" s="1747"/>
      <c r="S844" s="1747"/>
      <c r="T844" s="1747"/>
      <c r="U844" s="1747"/>
      <c r="V844" s="1747"/>
      <c r="W844" s="1747"/>
      <c r="X844" s="1747"/>
      <c r="Y844" s="1747"/>
      <c r="Z844" s="1747"/>
      <c r="AA844" s="1747"/>
      <c r="AB844" s="1747"/>
      <c r="AC844" s="1747"/>
      <c r="AD844" s="1747"/>
      <c r="AE844" s="1747"/>
      <c r="AF844" s="1747"/>
      <c r="AG844" s="1747"/>
      <c r="AH844" s="1747"/>
      <c r="AI844" s="1747"/>
      <c r="AJ844" s="1747"/>
      <c r="AK844" s="1747"/>
      <c r="AL844" s="1747"/>
      <c r="AM844" s="1747"/>
      <c r="AN844" s="1747"/>
      <c r="AO844" s="1747"/>
      <c r="AP844" s="1747"/>
      <c r="AQ844" s="1747"/>
      <c r="AR844" s="1747"/>
      <c r="AS844" s="1747"/>
      <c r="AT844" s="1747"/>
      <c r="AU844" s="1747"/>
      <c r="AV844" s="1747"/>
      <c r="AW844" s="1747"/>
      <c r="AX844" s="1747"/>
      <c r="AY844" s="1747"/>
      <c r="AZ844" s="1747"/>
      <c r="BA844" s="1747"/>
      <c r="BB844" s="1747"/>
      <c r="BC844" s="1747"/>
      <c r="BD844" s="1747"/>
      <c r="BE844" s="1747"/>
      <c r="BF844" s="1747"/>
      <c r="BG844" s="1067"/>
    </row>
    <row r="845" spans="1:60" x14ac:dyDescent="0.15">
      <c r="A845" s="1050"/>
      <c r="B845" s="1050"/>
      <c r="C845" s="1050"/>
      <c r="D845" s="1050"/>
      <c r="E845" s="1050"/>
      <c r="F845" s="1050"/>
      <c r="G845" s="1050"/>
      <c r="H845" s="1050"/>
      <c r="I845" s="1050"/>
      <c r="J845" s="1050"/>
      <c r="K845" s="1050"/>
      <c r="L845" s="1050"/>
      <c r="M845" s="1050"/>
      <c r="N845" s="1050"/>
      <c r="O845" s="1050"/>
      <c r="P845" s="1050"/>
      <c r="Q845" s="1050"/>
      <c r="R845" s="1050"/>
      <c r="S845" s="1050"/>
      <c r="T845" s="1050"/>
      <c r="U845" s="1050"/>
      <c r="V845" s="1050"/>
      <c r="W845" s="1050"/>
      <c r="X845" s="1050"/>
      <c r="Y845" s="1050"/>
      <c r="Z845" s="1050"/>
      <c r="AA845" s="1050"/>
      <c r="AB845" s="1050"/>
      <c r="AC845" s="1050"/>
      <c r="AD845" s="1050"/>
      <c r="AE845" s="1050"/>
      <c r="AF845" s="1050"/>
      <c r="AG845" s="1050"/>
      <c r="AH845" s="1050"/>
      <c r="AI845" s="1050"/>
      <c r="AJ845" s="1050"/>
      <c r="AK845" s="1050"/>
      <c r="AL845" s="1050"/>
      <c r="AM845" s="1050"/>
      <c r="AN845" s="1050"/>
      <c r="AO845" s="1050"/>
      <c r="AP845" s="1050"/>
      <c r="AQ845" s="1050"/>
      <c r="AR845" s="1050"/>
      <c r="AS845" s="1050"/>
      <c r="AT845" s="1050"/>
      <c r="AU845" s="1050"/>
      <c r="AV845" s="1050"/>
      <c r="AW845" s="1050"/>
      <c r="AX845" s="1050"/>
      <c r="AY845" s="1050"/>
      <c r="AZ845" s="1050"/>
      <c r="BA845" s="1050"/>
      <c r="BB845" s="1050"/>
      <c r="BC845" s="1050"/>
      <c r="BD845" s="1050"/>
      <c r="BE845" s="1050"/>
      <c r="BF845" s="1050"/>
      <c r="BG845" s="1050"/>
    </row>
    <row r="846" spans="1:60" x14ac:dyDescent="0.15">
      <c r="A846" s="1050"/>
      <c r="B846" s="1762" t="str">
        <f>+IF(Hitelprog_Rovid="","",Hitelprog_Rovid)</f>
        <v/>
      </c>
      <c r="C846" s="1762"/>
      <c r="D846" s="1762"/>
      <c r="E846" s="1762"/>
      <c r="F846" s="1762"/>
      <c r="G846" s="1762"/>
      <c r="H846" s="1762"/>
      <c r="I846" s="1762"/>
      <c r="J846" s="1762"/>
      <c r="K846" s="1762"/>
      <c r="L846" s="1762"/>
      <c r="M846" s="1762"/>
      <c r="N846" s="1762"/>
      <c r="O846" s="1762"/>
      <c r="P846" s="1762"/>
      <c r="Q846" s="1762"/>
      <c r="R846" s="1762"/>
      <c r="S846" s="1762"/>
      <c r="T846" s="1762"/>
      <c r="U846" s="1762"/>
      <c r="V846" s="1762"/>
      <c r="W846" s="1762"/>
      <c r="X846" s="1762"/>
      <c r="Y846" s="1762"/>
      <c r="Z846" s="1762"/>
      <c r="AA846" s="1762"/>
      <c r="AB846" s="1762"/>
      <c r="AC846" s="1762"/>
      <c r="AD846" s="1762"/>
      <c r="AE846" s="1762"/>
      <c r="AF846" s="1762"/>
      <c r="AG846" s="1762"/>
      <c r="AH846" s="1762"/>
      <c r="AI846" s="1762"/>
      <c r="AJ846" s="1762"/>
      <c r="AK846" s="1762"/>
      <c r="AL846" s="1762"/>
      <c r="AM846" s="1762"/>
      <c r="AN846" s="1762"/>
      <c r="AO846" s="1762"/>
      <c r="AP846" s="1762"/>
      <c r="AQ846" s="1762"/>
      <c r="AR846" s="1762"/>
      <c r="AS846" s="1762"/>
      <c r="AT846" s="1762"/>
      <c r="AU846" s="1762"/>
      <c r="AV846" s="1762"/>
      <c r="AW846" s="1762"/>
      <c r="AX846" s="1762"/>
      <c r="AY846" s="1762"/>
      <c r="AZ846" s="1762"/>
      <c r="BA846" s="1762"/>
      <c r="BB846" s="1762"/>
      <c r="BC846" s="1762"/>
      <c r="BD846" s="1762"/>
      <c r="BE846" s="1762"/>
      <c r="BF846" s="1762"/>
      <c r="BG846" s="1762"/>
      <c r="BH846" s="540"/>
    </row>
    <row r="847" spans="1:60" x14ac:dyDescent="0.15">
      <c r="A847" s="1050"/>
      <c r="B847" s="1762"/>
      <c r="C847" s="1762"/>
      <c r="D847" s="1762"/>
      <c r="E847" s="1762"/>
      <c r="F847" s="1762"/>
      <c r="G847" s="1762"/>
      <c r="H847" s="1762"/>
      <c r="I847" s="1762"/>
      <c r="J847" s="1762"/>
      <c r="K847" s="1762"/>
      <c r="L847" s="1762"/>
      <c r="M847" s="1762"/>
      <c r="N847" s="1762"/>
      <c r="O847" s="1762"/>
      <c r="P847" s="1762"/>
      <c r="Q847" s="1762"/>
      <c r="R847" s="1762"/>
      <c r="S847" s="1762"/>
      <c r="T847" s="1762"/>
      <c r="U847" s="1762"/>
      <c r="V847" s="1762"/>
      <c r="W847" s="1762"/>
      <c r="X847" s="1762"/>
      <c r="Y847" s="1762"/>
      <c r="Z847" s="1762"/>
      <c r="AA847" s="1762"/>
      <c r="AB847" s="1762"/>
      <c r="AC847" s="1762"/>
      <c r="AD847" s="1762"/>
      <c r="AE847" s="1762"/>
      <c r="AF847" s="1762"/>
      <c r="AG847" s="1762"/>
      <c r="AH847" s="1762"/>
      <c r="AI847" s="1762"/>
      <c r="AJ847" s="1762"/>
      <c r="AK847" s="1762"/>
      <c r="AL847" s="1762"/>
      <c r="AM847" s="1762"/>
      <c r="AN847" s="1762"/>
      <c r="AO847" s="1762"/>
      <c r="AP847" s="1762"/>
      <c r="AQ847" s="1762"/>
      <c r="AR847" s="1762"/>
      <c r="AS847" s="1762"/>
      <c r="AT847" s="1762"/>
      <c r="AU847" s="1762"/>
      <c r="AV847" s="1762"/>
      <c r="AW847" s="1762"/>
      <c r="AX847" s="1762"/>
      <c r="AY847" s="1762"/>
      <c r="AZ847" s="1762"/>
      <c r="BA847" s="1762"/>
      <c r="BB847" s="1762"/>
      <c r="BC847" s="1762"/>
      <c r="BD847" s="1762"/>
      <c r="BE847" s="1762"/>
      <c r="BF847" s="1762"/>
      <c r="BG847" s="1762"/>
      <c r="BH847" s="540"/>
    </row>
    <row r="848" spans="1:60" x14ac:dyDescent="0.15">
      <c r="A848" s="1752"/>
      <c r="B848" s="1752"/>
      <c r="C848" s="1752"/>
      <c r="D848" s="1752"/>
      <c r="E848" s="1050"/>
      <c r="F848" s="1050"/>
      <c r="G848" s="1050"/>
      <c r="H848" s="1050"/>
      <c r="I848" s="1050"/>
      <c r="J848" s="1050"/>
      <c r="K848" s="1050"/>
      <c r="L848" s="1050"/>
      <c r="M848" s="1050"/>
      <c r="N848" s="1050"/>
      <c r="O848" s="1050"/>
      <c r="P848" s="1050"/>
      <c r="Q848" s="1050"/>
      <c r="R848" s="1050"/>
      <c r="S848" s="1050"/>
      <c r="T848" s="1050"/>
      <c r="U848" s="1050"/>
      <c r="V848" s="1050"/>
      <c r="W848" s="1050"/>
      <c r="X848" s="1050"/>
      <c r="Y848" s="1050"/>
      <c r="Z848" s="1050"/>
      <c r="AA848" s="1050"/>
      <c r="AB848" s="1050"/>
      <c r="AC848" s="1050"/>
      <c r="AD848" s="1050"/>
      <c r="AE848" s="1050"/>
      <c r="AF848" s="1050"/>
      <c r="AG848" s="1050"/>
      <c r="AH848" s="1050"/>
      <c r="AI848" s="1050"/>
      <c r="AJ848" s="1050"/>
      <c r="AK848" s="1050"/>
      <c r="AL848" s="1050"/>
      <c r="AM848" s="1050"/>
      <c r="AN848" s="1050"/>
      <c r="AO848" s="1050"/>
      <c r="AP848" s="1050"/>
      <c r="AQ848" s="1050"/>
      <c r="AR848" s="1050"/>
      <c r="AS848" s="1050"/>
      <c r="AT848" s="1050"/>
      <c r="AU848" s="1050"/>
      <c r="AV848" s="1050"/>
      <c r="AW848" s="1050"/>
      <c r="AX848" s="1050"/>
      <c r="AY848" s="1050"/>
      <c r="AZ848" s="1050"/>
      <c r="BA848" s="1050"/>
      <c r="BB848" s="1050"/>
      <c r="BC848" s="1050"/>
      <c r="BD848" s="1050"/>
      <c r="BE848" s="1050"/>
      <c r="BF848" s="1050"/>
      <c r="BG848" s="1050"/>
      <c r="BH848" s="540"/>
    </row>
    <row r="849" spans="1:60" ht="15" thickBot="1" x14ac:dyDescent="0.2">
      <c r="A849" s="1752"/>
      <c r="B849" s="1752"/>
      <c r="C849" s="1752"/>
      <c r="D849" s="1752"/>
      <c r="E849" s="1050"/>
      <c r="F849" s="1050"/>
      <c r="G849" s="1050"/>
      <c r="H849" s="1050"/>
      <c r="I849" s="1050"/>
      <c r="J849" s="1050"/>
      <c r="K849" s="1050"/>
      <c r="L849" s="1050"/>
      <c r="M849" s="1050"/>
      <c r="N849" s="1050"/>
      <c r="O849" s="1050"/>
      <c r="P849" s="1050"/>
      <c r="Q849" s="1050"/>
      <c r="R849" s="1050"/>
      <c r="S849" s="1050"/>
      <c r="T849" s="1050"/>
      <c r="U849" s="1050"/>
      <c r="V849" s="1050"/>
      <c r="W849" s="1050"/>
      <c r="X849" s="1050"/>
      <c r="Y849" s="1050"/>
      <c r="Z849" s="1050"/>
      <c r="AA849" s="1050"/>
      <c r="AB849" s="1050"/>
      <c r="AC849" s="1050"/>
      <c r="AD849" s="1050"/>
      <c r="AE849" s="1050"/>
      <c r="AF849" s="1050"/>
      <c r="AG849" s="1050"/>
      <c r="AH849" s="1050"/>
      <c r="AI849" s="1050"/>
      <c r="AJ849" s="1050"/>
      <c r="AK849" s="1050"/>
      <c r="AL849" s="1050"/>
      <c r="AM849" s="1050"/>
      <c r="AN849" s="1050"/>
      <c r="AO849" s="1050"/>
      <c r="AP849" s="1050"/>
      <c r="AQ849" s="1050"/>
      <c r="AR849" s="1050"/>
      <c r="AS849" s="1050"/>
      <c r="AT849" s="1050"/>
      <c r="AU849" s="1050"/>
      <c r="AV849" s="1050"/>
      <c r="AW849" s="1050"/>
      <c r="AX849" s="1050"/>
      <c r="AY849" s="1050"/>
      <c r="AZ849" s="1050"/>
      <c r="BA849" s="1050"/>
      <c r="BB849" s="1050"/>
      <c r="BC849" s="1050"/>
      <c r="BD849" s="1050"/>
      <c r="BE849" s="1050"/>
      <c r="BF849" s="1050"/>
      <c r="BG849" s="1050"/>
      <c r="BH849" s="540"/>
    </row>
    <row r="850" spans="1:60" ht="26.25" customHeight="1" thickBot="1" x14ac:dyDescent="0.2">
      <c r="A850" s="1752"/>
      <c r="B850" s="1752"/>
      <c r="C850" s="1752"/>
      <c r="D850" s="1752"/>
      <c r="E850" s="1050"/>
      <c r="F850" s="1050"/>
      <c r="G850" s="1050"/>
      <c r="H850" s="1050"/>
      <c r="I850" s="1050"/>
      <c r="J850" s="1050"/>
      <c r="K850" s="1050"/>
      <c r="L850" s="1050"/>
      <c r="M850" s="1050"/>
      <c r="N850" s="1050"/>
      <c r="O850" s="1050"/>
      <c r="P850" s="1050"/>
      <c r="Q850" s="1766" t="str">
        <f>+IF(B846="MFB NHP Fix Lízing Refinanszírozási Program","FINANSZÍROZÁSI KATEGÓRIA NYILATKOZAT","TÁMOGATÁSI KATEGÓRIA NYILATKOZAT")</f>
        <v>TÁMOGATÁSI KATEGÓRIA NYILATKOZAT</v>
      </c>
      <c r="R850" s="1767"/>
      <c r="S850" s="1767"/>
      <c r="T850" s="1767"/>
      <c r="U850" s="1767"/>
      <c r="V850" s="1767"/>
      <c r="W850" s="1767"/>
      <c r="X850" s="1767"/>
      <c r="Y850" s="1767"/>
      <c r="Z850" s="1767"/>
      <c r="AA850" s="1767"/>
      <c r="AB850" s="1767"/>
      <c r="AC850" s="1767"/>
      <c r="AD850" s="1767"/>
      <c r="AE850" s="1767"/>
      <c r="AF850" s="1767"/>
      <c r="AG850" s="1767"/>
      <c r="AH850" s="1767"/>
      <c r="AI850" s="1767"/>
      <c r="AJ850" s="1767"/>
      <c r="AK850" s="1767"/>
      <c r="AL850" s="1767"/>
      <c r="AM850" s="1767"/>
      <c r="AN850" s="1767"/>
      <c r="AO850" s="1767"/>
      <c r="AP850" s="1767"/>
      <c r="AQ850" s="1767"/>
      <c r="AR850" s="1767"/>
      <c r="AS850" s="1768"/>
      <c r="AT850" s="1050"/>
      <c r="AU850" s="1050"/>
      <c r="AV850" s="1050"/>
      <c r="AW850" s="1050"/>
      <c r="AX850" s="1050"/>
      <c r="AY850" s="1050"/>
      <c r="AZ850" s="1050"/>
      <c r="BA850" s="1050"/>
      <c r="BB850" s="1050"/>
      <c r="BC850" s="1050"/>
      <c r="BD850" s="1050"/>
      <c r="BE850" s="1050"/>
      <c r="BF850" s="1050"/>
      <c r="BG850" s="1050"/>
      <c r="BH850" s="540"/>
    </row>
    <row r="851" spans="1:60" x14ac:dyDescent="0.15">
      <c r="A851" s="1752"/>
      <c r="B851" s="1752"/>
      <c r="C851" s="1752"/>
      <c r="D851" s="1752"/>
      <c r="E851" s="1050"/>
      <c r="F851" s="1050"/>
      <c r="G851" s="1050"/>
      <c r="H851" s="1050"/>
      <c r="I851" s="1050"/>
      <c r="J851" s="1050"/>
      <c r="K851" s="1050"/>
      <c r="L851" s="1050"/>
      <c r="M851" s="1050"/>
      <c r="N851" s="1050"/>
      <c r="O851" s="1050"/>
      <c r="P851" s="1050"/>
      <c r="Q851" s="1050"/>
      <c r="R851" s="1050"/>
      <c r="S851" s="1050"/>
      <c r="T851" s="1050"/>
      <c r="U851" s="1050"/>
      <c r="V851" s="1050"/>
      <c r="W851" s="1050"/>
      <c r="X851" s="1050"/>
      <c r="Y851" s="1050"/>
      <c r="Z851" s="1050"/>
      <c r="AA851" s="1050"/>
      <c r="AB851" s="1050"/>
      <c r="AC851" s="1050"/>
      <c r="AD851" s="1050"/>
      <c r="AE851" s="1050"/>
      <c r="AF851" s="1050"/>
      <c r="AG851" s="1050"/>
      <c r="AH851" s="1050"/>
      <c r="AI851" s="1050"/>
      <c r="AJ851" s="1050"/>
      <c r="AK851" s="1050"/>
      <c r="AL851" s="1050"/>
      <c r="AM851" s="1050"/>
      <c r="AN851" s="1050"/>
      <c r="AO851" s="1050"/>
      <c r="AP851" s="1050"/>
      <c r="AQ851" s="1050"/>
      <c r="AR851" s="1050"/>
      <c r="AS851" s="1050"/>
      <c r="AT851" s="1050"/>
      <c r="AU851" s="1050"/>
      <c r="AV851" s="1050"/>
      <c r="AW851" s="1050"/>
      <c r="AX851" s="1050"/>
      <c r="AY851" s="1050"/>
      <c r="AZ851" s="1050"/>
      <c r="BA851" s="1050"/>
      <c r="BB851" s="1050"/>
      <c r="BC851" s="1050"/>
      <c r="BD851" s="1050"/>
      <c r="BE851" s="1050"/>
      <c r="BF851" s="1050"/>
      <c r="BG851" s="1050"/>
      <c r="BH851" s="540"/>
    </row>
    <row r="852" spans="1:60" x14ac:dyDescent="0.15">
      <c r="A852" s="1052"/>
      <c r="B852" s="1753" t="s">
        <v>841</v>
      </c>
      <c r="C852" s="1754"/>
      <c r="D852" s="1754"/>
      <c r="E852" s="1754"/>
      <c r="F852" s="1754"/>
      <c r="G852" s="1754"/>
      <c r="H852" s="1754"/>
      <c r="I852" s="1754"/>
      <c r="J852" s="1754"/>
      <c r="K852" s="1754"/>
      <c r="L852" s="1754"/>
      <c r="M852" s="1754"/>
      <c r="N852" s="1754"/>
      <c r="O852" s="1754"/>
      <c r="P852" s="1754"/>
      <c r="Q852" s="1754"/>
      <c r="R852" s="1754"/>
      <c r="S852" s="1754"/>
      <c r="T852" s="1754"/>
      <c r="U852" s="1754"/>
      <c r="V852" s="1754"/>
      <c r="W852" s="1754"/>
      <c r="X852" s="1754"/>
      <c r="Y852" s="1754"/>
      <c r="Z852" s="1754"/>
      <c r="AA852" s="1754"/>
      <c r="AB852" s="1754"/>
      <c r="AC852" s="1754"/>
      <c r="AD852" s="1754"/>
      <c r="AE852" s="1754"/>
      <c r="AF852" s="1754"/>
      <c r="AG852" s="1754"/>
      <c r="AH852" s="1754"/>
      <c r="AI852" s="1754"/>
      <c r="AJ852" s="1754"/>
      <c r="AK852" s="1754"/>
      <c r="AL852" s="1754"/>
      <c r="AM852" s="1754"/>
      <c r="AN852" s="1754"/>
      <c r="AO852" s="1754"/>
      <c r="AP852" s="1754"/>
      <c r="AQ852" s="1754"/>
      <c r="AR852" s="1754"/>
      <c r="AS852" s="1754"/>
      <c r="AT852" s="1754"/>
      <c r="AU852" s="1754"/>
      <c r="AV852" s="1754"/>
      <c r="AW852" s="1754"/>
      <c r="AX852" s="1754"/>
      <c r="AY852" s="1754"/>
      <c r="AZ852" s="1754"/>
      <c r="BA852" s="1754"/>
      <c r="BB852" s="1754"/>
      <c r="BC852" s="1754"/>
      <c r="BD852" s="1754"/>
      <c r="BE852" s="1754"/>
      <c r="BF852" s="1754"/>
      <c r="BG852" s="1755"/>
      <c r="BH852" s="540"/>
    </row>
    <row r="853" spans="1:60" ht="15" thickBot="1" x14ac:dyDescent="0.2">
      <c r="A853" s="1052"/>
      <c r="B853" s="1053"/>
      <c r="C853" s="1054"/>
      <c r="D853" s="1054"/>
      <c r="E853" s="1055"/>
      <c r="F853" s="1055"/>
      <c r="G853" s="1055"/>
      <c r="H853" s="1055"/>
      <c r="I853" s="1055"/>
      <c r="J853" s="1055"/>
      <c r="K853" s="1055"/>
      <c r="L853" s="1055"/>
      <c r="M853" s="1055"/>
      <c r="N853" s="1055"/>
      <c r="O853" s="1055"/>
      <c r="P853" s="1055"/>
      <c r="Q853" s="1055"/>
      <c r="R853" s="1055"/>
      <c r="S853" s="1055"/>
      <c r="T853" s="1055"/>
      <c r="U853" s="1055"/>
      <c r="V853" s="1055"/>
      <c r="W853" s="1055"/>
      <c r="X853" s="1055"/>
      <c r="Y853" s="1055"/>
      <c r="Z853" s="1055"/>
      <c r="AA853" s="1055"/>
      <c r="AB853" s="1055"/>
      <c r="AC853" s="1055"/>
      <c r="AD853" s="1055"/>
      <c r="AE853" s="1055"/>
      <c r="AF853" s="1055"/>
      <c r="AG853" s="1055"/>
      <c r="AH853" s="1055"/>
      <c r="AI853" s="1055"/>
      <c r="AJ853" s="1055"/>
      <c r="AK853" s="1055"/>
      <c r="AL853" s="1055"/>
      <c r="AM853" s="1055"/>
      <c r="AN853" s="1055"/>
      <c r="AO853" s="1055"/>
      <c r="AP853" s="1055"/>
      <c r="AQ853" s="1055"/>
      <c r="AR853" s="1055"/>
      <c r="AS853" s="1055"/>
      <c r="AT853" s="1055"/>
      <c r="AU853" s="1055"/>
      <c r="AV853" s="1055"/>
      <c r="AW853" s="1055"/>
      <c r="AX853" s="1055"/>
      <c r="AY853" s="1055"/>
      <c r="AZ853" s="1055"/>
      <c r="BA853" s="1055"/>
      <c r="BB853" s="1055"/>
      <c r="BC853" s="1055"/>
      <c r="BD853" s="1055"/>
      <c r="BE853" s="1055"/>
      <c r="BF853" s="1055"/>
      <c r="BG853" s="1056"/>
      <c r="BH853" s="540"/>
    </row>
    <row r="854" spans="1:60" ht="15" thickBot="1" x14ac:dyDescent="0.2">
      <c r="A854" s="1052"/>
      <c r="B854" s="1053"/>
      <c r="C854" s="1756" t="str">
        <f>+IF(Ugyfelnyil="","",Ugyfelnyil)</f>
        <v/>
      </c>
      <c r="D854" s="1757"/>
      <c r="E854" s="1757"/>
      <c r="F854" s="1757"/>
      <c r="G854" s="1757"/>
      <c r="H854" s="1757"/>
      <c r="I854" s="1757"/>
      <c r="J854" s="1757"/>
      <c r="K854" s="1757"/>
      <c r="L854" s="1757"/>
      <c r="M854" s="1757"/>
      <c r="N854" s="1757"/>
      <c r="O854" s="1757"/>
      <c r="P854" s="1757"/>
      <c r="Q854" s="1757"/>
      <c r="R854" s="1757"/>
      <c r="S854" s="1757"/>
      <c r="T854" s="1757"/>
      <c r="U854" s="1757"/>
      <c r="V854" s="1757"/>
      <c r="W854" s="1757"/>
      <c r="X854" s="1757"/>
      <c r="Y854" s="1757"/>
      <c r="Z854" s="1757"/>
      <c r="AA854" s="1757"/>
      <c r="AB854" s="1757"/>
      <c r="AC854" s="1757"/>
      <c r="AD854" s="1757"/>
      <c r="AE854" s="1757"/>
      <c r="AF854" s="1757"/>
      <c r="AG854" s="1757"/>
      <c r="AH854" s="1757"/>
      <c r="AI854" s="1757"/>
      <c r="AJ854" s="1757"/>
      <c r="AK854" s="1757"/>
      <c r="AL854" s="1757"/>
      <c r="AM854" s="1757"/>
      <c r="AN854" s="1757"/>
      <c r="AO854" s="1757"/>
      <c r="AP854" s="1757"/>
      <c r="AQ854" s="1757"/>
      <c r="AR854" s="1757"/>
      <c r="AS854" s="1757"/>
      <c r="AT854" s="1757"/>
      <c r="AU854" s="1757"/>
      <c r="AV854" s="1757"/>
      <c r="AW854" s="1757"/>
      <c r="AX854" s="1757"/>
      <c r="AY854" s="1757"/>
      <c r="AZ854" s="1757"/>
      <c r="BA854" s="1757"/>
      <c r="BB854" s="1757"/>
      <c r="BC854" s="1757"/>
      <c r="BD854" s="1757"/>
      <c r="BE854" s="1757"/>
      <c r="BF854" s="1758"/>
      <c r="BG854" s="1056"/>
      <c r="BH854" s="540"/>
    </row>
    <row r="855" spans="1:60" x14ac:dyDescent="0.15">
      <c r="A855" s="1052"/>
      <c r="B855" s="1053"/>
      <c r="C855" s="1054"/>
      <c r="D855" s="1057" t="s">
        <v>370</v>
      </c>
      <c r="E855" s="1055"/>
      <c r="F855" s="1055"/>
      <c r="G855" s="1055"/>
      <c r="H855" s="1055"/>
      <c r="I855" s="1055"/>
      <c r="J855" s="1055"/>
      <c r="K855" s="1055"/>
      <c r="L855" s="1055"/>
      <c r="M855" s="1055"/>
      <c r="N855" s="1055"/>
      <c r="O855" s="1055"/>
      <c r="P855" s="1055"/>
      <c r="Q855" s="1055"/>
      <c r="R855" s="1055"/>
      <c r="S855" s="1055"/>
      <c r="T855" s="1055"/>
      <c r="U855" s="1055"/>
      <c r="V855" s="1055"/>
      <c r="W855" s="1055"/>
      <c r="X855" s="1055"/>
      <c r="Y855" s="1055"/>
      <c r="Z855" s="1055"/>
      <c r="AA855" s="1055"/>
      <c r="AB855" s="1055"/>
      <c r="AC855" s="1055"/>
      <c r="AD855" s="1055"/>
      <c r="AE855" s="1055"/>
      <c r="AF855" s="1055"/>
      <c r="AG855" s="1055"/>
      <c r="AH855" s="1055"/>
      <c r="AI855" s="1055"/>
      <c r="AJ855" s="1055"/>
      <c r="AK855" s="1055"/>
      <c r="AL855" s="1055"/>
      <c r="AM855" s="1055"/>
      <c r="AN855" s="1055"/>
      <c r="AO855" s="1055"/>
      <c r="AP855" s="1055"/>
      <c r="AQ855" s="1055"/>
      <c r="AR855" s="1055"/>
      <c r="AS855" s="1055"/>
      <c r="AT855" s="1055"/>
      <c r="AU855" s="1055"/>
      <c r="AV855" s="1055"/>
      <c r="AW855" s="1055"/>
      <c r="AX855" s="1055"/>
      <c r="AY855" s="1055"/>
      <c r="AZ855" s="1055"/>
      <c r="BA855" s="1055"/>
      <c r="BB855" s="1055"/>
      <c r="BC855" s="1055"/>
      <c r="BD855" s="1055"/>
      <c r="BE855" s="1055"/>
      <c r="BF855" s="1055"/>
      <c r="BG855" s="1056"/>
      <c r="BH855" s="540"/>
    </row>
    <row r="856" spans="1:60" ht="15" thickBot="1" x14ac:dyDescent="0.2">
      <c r="A856" s="1052"/>
      <c r="B856" s="1053"/>
      <c r="C856" s="1054"/>
      <c r="D856" s="1054"/>
      <c r="E856" s="1055"/>
      <c r="F856" s="1055"/>
      <c r="G856" s="1055"/>
      <c r="H856" s="1055"/>
      <c r="I856" s="1055"/>
      <c r="J856" s="1055"/>
      <c r="K856" s="1055"/>
      <c r="L856" s="1055"/>
      <c r="M856" s="1055"/>
      <c r="N856" s="1055"/>
      <c r="O856" s="1055"/>
      <c r="P856" s="1055"/>
      <c r="Q856" s="1055"/>
      <c r="R856" s="1055"/>
      <c r="S856" s="1055"/>
      <c r="T856" s="1055"/>
      <c r="U856" s="1055"/>
      <c r="V856" s="1055"/>
      <c r="W856" s="1055"/>
      <c r="X856" s="1055"/>
      <c r="Y856" s="1055"/>
      <c r="Z856" s="1055"/>
      <c r="AA856" s="1055"/>
      <c r="AB856" s="1055"/>
      <c r="AC856" s="1055"/>
      <c r="AD856" s="1055"/>
      <c r="AE856" s="1055"/>
      <c r="AF856" s="1055"/>
      <c r="AG856" s="1055"/>
      <c r="AH856" s="1055"/>
      <c r="AI856" s="1055"/>
      <c r="AJ856" s="1055"/>
      <c r="AK856" s="1055"/>
      <c r="AL856" s="1055"/>
      <c r="AM856" s="1055"/>
      <c r="AN856" s="1055"/>
      <c r="AO856" s="1055"/>
      <c r="AP856" s="1055"/>
      <c r="AQ856" s="1055"/>
      <c r="AR856" s="1055"/>
      <c r="AS856" s="1055"/>
      <c r="AT856" s="1055"/>
      <c r="AU856" s="1055"/>
      <c r="AV856" s="1055"/>
      <c r="AW856" s="1055"/>
      <c r="AX856" s="1055"/>
      <c r="AY856" s="1055"/>
      <c r="AZ856" s="1055"/>
      <c r="BA856" s="1055"/>
      <c r="BB856" s="1055"/>
      <c r="BC856" s="1055"/>
      <c r="BD856" s="1055"/>
      <c r="BE856" s="1055"/>
      <c r="BF856" s="1055"/>
      <c r="BG856" s="1056"/>
      <c r="BH856" s="540"/>
    </row>
    <row r="857" spans="1:60" ht="15" thickBot="1" x14ac:dyDescent="0.2">
      <c r="A857" s="1052"/>
      <c r="B857" s="1053"/>
      <c r="C857" s="1763" t="str">
        <f>+IF(anyanyil="","",anyanyil)</f>
        <v/>
      </c>
      <c r="D857" s="1764"/>
      <c r="E857" s="1764"/>
      <c r="F857" s="1764"/>
      <c r="G857" s="1764"/>
      <c r="H857" s="1764"/>
      <c r="I857" s="1764"/>
      <c r="J857" s="1764"/>
      <c r="K857" s="1764"/>
      <c r="L857" s="1764"/>
      <c r="M857" s="1764"/>
      <c r="N857" s="1764"/>
      <c r="O857" s="1764"/>
      <c r="P857" s="1764"/>
      <c r="Q857" s="1764"/>
      <c r="R857" s="1764"/>
      <c r="S857" s="1764"/>
      <c r="T857" s="1765"/>
      <c r="U857" s="1055"/>
      <c r="V857" s="1055"/>
      <c r="W857" s="1055"/>
      <c r="X857" s="1763" t="str">
        <f>+IF(szülnyil="","",szülnyil)</f>
        <v/>
      </c>
      <c r="Y857" s="1764"/>
      <c r="Z857" s="1764"/>
      <c r="AA857" s="1764"/>
      <c r="AB857" s="1764"/>
      <c r="AC857" s="1764"/>
      <c r="AD857" s="1764"/>
      <c r="AE857" s="1764"/>
      <c r="AF857" s="1764"/>
      <c r="AG857" s="1764"/>
      <c r="AH857" s="1764"/>
      <c r="AI857" s="1764"/>
      <c r="AJ857" s="1764"/>
      <c r="AK857" s="1764"/>
      <c r="AL857" s="1764"/>
      <c r="AM857" s="1764"/>
      <c r="AN857" s="1765"/>
      <c r="AO857" s="1054"/>
      <c r="AP857" s="1054"/>
      <c r="AQ857" s="1055"/>
      <c r="AR857" s="1763" t="str">
        <f>+IF(szülidonyil="","",szülidonyil)</f>
        <v/>
      </c>
      <c r="AS857" s="1764"/>
      <c r="AT857" s="1764"/>
      <c r="AU857" s="1764"/>
      <c r="AV857" s="1764"/>
      <c r="AW857" s="1764"/>
      <c r="AX857" s="1764"/>
      <c r="AY857" s="1764"/>
      <c r="AZ857" s="1764"/>
      <c r="BA857" s="1764"/>
      <c r="BB857" s="1764"/>
      <c r="BC857" s="1764"/>
      <c r="BD857" s="1765"/>
      <c r="BE857" s="1055"/>
      <c r="BF857" s="1055"/>
      <c r="BG857" s="1056"/>
      <c r="BH857" s="540"/>
    </row>
    <row r="858" spans="1:60" x14ac:dyDescent="0.15">
      <c r="A858" s="1052"/>
      <c r="B858" s="1053"/>
      <c r="C858" s="1054" t="s">
        <v>581</v>
      </c>
      <c r="D858" s="1054"/>
      <c r="E858" s="1055"/>
      <c r="F858" s="1055"/>
      <c r="G858" s="1055"/>
      <c r="H858" s="1055"/>
      <c r="I858" s="1055"/>
      <c r="J858" s="1055"/>
      <c r="K858" s="1055"/>
      <c r="L858" s="1055"/>
      <c r="M858" s="1055"/>
      <c r="N858" s="1055"/>
      <c r="O858" s="1055"/>
      <c r="P858" s="1055"/>
      <c r="Q858" s="1055"/>
      <c r="R858" s="1055"/>
      <c r="S858" s="1055"/>
      <c r="T858" s="1055"/>
      <c r="U858" s="1055"/>
      <c r="V858" s="1055"/>
      <c r="W858" s="1055"/>
      <c r="X858" s="1055" t="s">
        <v>582</v>
      </c>
      <c r="Y858" s="1055"/>
      <c r="Z858" s="1055"/>
      <c r="AA858" s="1055"/>
      <c r="AB858" s="1055"/>
      <c r="AC858" s="1055"/>
      <c r="AD858" s="1055"/>
      <c r="AE858" s="1055"/>
      <c r="AF858" s="1055"/>
      <c r="AG858" s="1055"/>
      <c r="AH858" s="1055"/>
      <c r="AI858" s="1055"/>
      <c r="AJ858" s="1055"/>
      <c r="AK858" s="1055"/>
      <c r="AL858" s="1055"/>
      <c r="AM858" s="1055"/>
      <c r="AN858" s="1055"/>
      <c r="AO858" s="1055"/>
      <c r="AP858" s="1055"/>
      <c r="AQ858" s="1055"/>
      <c r="AR858" s="1055" t="s">
        <v>583</v>
      </c>
      <c r="AS858" s="1055"/>
      <c r="AT858" s="1055"/>
      <c r="AU858" s="1055"/>
      <c r="AV858" s="1055"/>
      <c r="AW858" s="1055"/>
      <c r="AX858" s="1055"/>
      <c r="AY858" s="1055"/>
      <c r="AZ858" s="1055"/>
      <c r="BA858" s="1055"/>
      <c r="BB858" s="1055"/>
      <c r="BC858" s="1055"/>
      <c r="BD858" s="1055"/>
      <c r="BE858" s="1055"/>
      <c r="BF858" s="1055"/>
      <c r="BG858" s="1056"/>
      <c r="BH858" s="540"/>
    </row>
    <row r="859" spans="1:60" ht="15" thickBot="1" x14ac:dyDescent="0.2">
      <c r="A859" s="1052"/>
      <c r="B859" s="1053"/>
      <c r="C859" s="1054"/>
      <c r="D859" s="1054"/>
      <c r="E859" s="1055"/>
      <c r="F859" s="1055"/>
      <c r="G859" s="1055"/>
      <c r="H859" s="1055"/>
      <c r="I859" s="1055"/>
      <c r="J859" s="1055"/>
      <c r="K859" s="1055"/>
      <c r="L859" s="1055"/>
      <c r="M859" s="1055"/>
      <c r="N859" s="1055"/>
      <c r="O859" s="1055"/>
      <c r="P859" s="1055"/>
      <c r="Q859" s="1055"/>
      <c r="R859" s="1055"/>
      <c r="S859" s="1055"/>
      <c r="T859" s="1055"/>
      <c r="U859" s="1055"/>
      <c r="V859" s="1055"/>
      <c r="W859" s="1055"/>
      <c r="X859" s="1055"/>
      <c r="Y859" s="1055"/>
      <c r="Z859" s="1055"/>
      <c r="AA859" s="1055"/>
      <c r="AB859" s="1055"/>
      <c r="AC859" s="1055"/>
      <c r="AD859" s="1055"/>
      <c r="AE859" s="1055"/>
      <c r="AF859" s="1055"/>
      <c r="AG859" s="1055"/>
      <c r="AH859" s="1055"/>
      <c r="AI859" s="1055"/>
      <c r="AJ859" s="1055"/>
      <c r="AK859" s="1055"/>
      <c r="AL859" s="1055"/>
      <c r="AM859" s="1055"/>
      <c r="AN859" s="1055"/>
      <c r="AO859" s="1055"/>
      <c r="AP859" s="1055"/>
      <c r="AQ859" s="1055"/>
      <c r="AR859" s="1055"/>
      <c r="AS859" s="1055"/>
      <c r="AT859" s="1055"/>
      <c r="AU859" s="1055"/>
      <c r="AV859" s="1055"/>
      <c r="AW859" s="1055"/>
      <c r="AX859" s="1055"/>
      <c r="AY859" s="1055"/>
      <c r="AZ859" s="1055"/>
      <c r="BA859" s="1055"/>
      <c r="BB859" s="1055"/>
      <c r="BC859" s="1055"/>
      <c r="BD859" s="1055"/>
      <c r="BE859" s="1055"/>
      <c r="BF859" s="1055"/>
      <c r="BG859" s="1056"/>
      <c r="BH859" s="540"/>
    </row>
    <row r="860" spans="1:60" ht="15" thickBot="1" x14ac:dyDescent="0.2">
      <c r="A860" s="1052"/>
      <c r="B860" s="1053"/>
      <c r="C860" s="1054"/>
      <c r="D860" s="1054"/>
      <c r="E860" s="1055"/>
      <c r="F860" s="1055"/>
      <c r="G860" s="1055"/>
      <c r="H860" s="1055"/>
      <c r="I860" s="1055"/>
      <c r="J860" s="1055"/>
      <c r="K860" s="1055"/>
      <c r="L860" s="1055"/>
      <c r="M860" s="1055"/>
      <c r="N860" s="1055"/>
      <c r="O860" s="1055"/>
      <c r="P860" s="1763" t="str">
        <f>+IF(orszagnyil="","",orszagnyil)</f>
        <v>HU</v>
      </c>
      <c r="Q860" s="1764"/>
      <c r="R860" s="1764"/>
      <c r="S860" s="1765"/>
      <c r="T860" s="1055"/>
      <c r="U860" s="1055"/>
      <c r="V860" s="1055"/>
      <c r="W860" s="1055"/>
      <c r="X860" s="1055"/>
      <c r="Y860" s="1055"/>
      <c r="Z860" s="1055"/>
      <c r="AA860" s="1055"/>
      <c r="AB860" s="1055"/>
      <c r="AC860" s="1055"/>
      <c r="AD860" s="1055"/>
      <c r="AE860" s="1055"/>
      <c r="AF860" s="1055"/>
      <c r="AG860" s="1055"/>
      <c r="AH860" s="1055"/>
      <c r="AI860" s="1055"/>
      <c r="AJ860" s="1055"/>
      <c r="AK860" s="1055"/>
      <c r="AL860" s="1055"/>
      <c r="AM860" s="1055"/>
      <c r="AN860" s="1055"/>
      <c r="AO860" s="1055"/>
      <c r="AP860" s="1055"/>
      <c r="AQ860" s="1055"/>
      <c r="AR860" s="1055"/>
      <c r="AS860" s="1055"/>
      <c r="AT860" s="1055"/>
      <c r="AU860" s="1055"/>
      <c r="AV860" s="1055"/>
      <c r="AW860" s="1055"/>
      <c r="AX860" s="1055"/>
      <c r="AY860" s="1055"/>
      <c r="AZ860" s="1055"/>
      <c r="BA860" s="1055"/>
      <c r="BB860" s="1055"/>
      <c r="BC860" s="1055"/>
      <c r="BD860" s="1055"/>
      <c r="BE860" s="1055"/>
      <c r="BF860" s="1055"/>
      <c r="BG860" s="1056"/>
      <c r="BH860" s="540"/>
    </row>
    <row r="861" spans="1:60" ht="15" thickBot="1" x14ac:dyDescent="0.2">
      <c r="A861" s="1052"/>
      <c r="B861" s="1053"/>
      <c r="C861" s="1054"/>
      <c r="D861" s="1769" t="s">
        <v>584</v>
      </c>
      <c r="E861" s="1769"/>
      <c r="F861" s="1769"/>
      <c r="G861" s="1769"/>
      <c r="H861" s="1769"/>
      <c r="I861" s="1769"/>
      <c r="J861" s="1769"/>
      <c r="K861" s="1769"/>
      <c r="L861" s="1769"/>
      <c r="M861" s="1769"/>
      <c r="N861" s="1769"/>
      <c r="O861" s="1058"/>
      <c r="P861" s="1058" t="s">
        <v>297</v>
      </c>
      <c r="Q861" s="1058"/>
      <c r="R861" s="1058"/>
      <c r="S861" s="1057"/>
      <c r="T861" s="1058"/>
      <c r="U861" s="1058"/>
      <c r="V861" s="1057"/>
      <c r="W861" s="1057"/>
      <c r="X861" s="1057"/>
      <c r="Y861" s="1057"/>
      <c r="Z861" s="1057"/>
      <c r="AA861" s="1057"/>
      <c r="AB861" s="1057"/>
      <c r="AC861" s="1057"/>
      <c r="AD861" s="1057"/>
      <c r="AE861" s="1057"/>
      <c r="AF861" s="1057"/>
      <c r="AG861" s="1057"/>
      <c r="AH861" s="1057"/>
      <c r="AI861" s="1057"/>
      <c r="AJ861" s="1057"/>
      <c r="AK861" s="1057"/>
      <c r="AL861" s="1057"/>
      <c r="AM861" s="1057"/>
      <c r="AN861" s="1057"/>
      <c r="AO861" s="1057"/>
      <c r="AP861" s="1057"/>
      <c r="AQ861" s="1057"/>
      <c r="AR861" s="1057"/>
      <c r="AS861" s="1057"/>
      <c r="AT861" s="1057"/>
      <c r="AU861" s="1057"/>
      <c r="AV861" s="1057"/>
      <c r="AW861" s="1057"/>
      <c r="AX861" s="1057"/>
      <c r="AY861" s="1057"/>
      <c r="AZ861" s="1057"/>
      <c r="BA861" s="1057"/>
      <c r="BB861" s="1057"/>
      <c r="BC861" s="1057"/>
      <c r="BD861" s="1057"/>
      <c r="BE861" s="1057"/>
      <c r="BF861" s="1057"/>
      <c r="BG861" s="1056"/>
      <c r="BH861" s="540"/>
    </row>
    <row r="862" spans="1:60" ht="15" thickBot="1" x14ac:dyDescent="0.2">
      <c r="A862" s="1052"/>
      <c r="B862" s="1053"/>
      <c r="C862" s="1054"/>
      <c r="D862" s="1769"/>
      <c r="E862" s="1769"/>
      <c r="F862" s="1769"/>
      <c r="G862" s="1769"/>
      <c r="H862" s="1769"/>
      <c r="I862" s="1769"/>
      <c r="J862" s="1769"/>
      <c r="K862" s="1769"/>
      <c r="L862" s="1769"/>
      <c r="M862" s="1769"/>
      <c r="N862" s="1769"/>
      <c r="O862" s="1059"/>
      <c r="P862" s="1770" t="str">
        <f>+IF(irszamnyil="","",irszamnyil)</f>
        <v/>
      </c>
      <c r="Q862" s="1771"/>
      <c r="R862" s="1771"/>
      <c r="S862" s="1772"/>
      <c r="T862" s="1057"/>
      <c r="U862" s="1773" t="str">
        <f>+IF(helysegnyil="","",helysegnyil)</f>
        <v/>
      </c>
      <c r="V862" s="1774"/>
      <c r="W862" s="1774"/>
      <c r="X862" s="1774"/>
      <c r="Y862" s="1774"/>
      <c r="Z862" s="1774"/>
      <c r="AA862" s="1774"/>
      <c r="AB862" s="1774"/>
      <c r="AC862" s="1774"/>
      <c r="AD862" s="1774"/>
      <c r="AE862" s="1774"/>
      <c r="AF862" s="1774"/>
      <c r="AG862" s="1774"/>
      <c r="AH862" s="1774"/>
      <c r="AI862" s="1774"/>
      <c r="AJ862" s="1774"/>
      <c r="AK862" s="1774"/>
      <c r="AL862" s="1774"/>
      <c r="AM862" s="1774"/>
      <c r="AN862" s="1774"/>
      <c r="AO862" s="1774"/>
      <c r="AP862" s="1774"/>
      <c r="AQ862" s="1774"/>
      <c r="AR862" s="1774"/>
      <c r="AS862" s="1774"/>
      <c r="AT862" s="1774"/>
      <c r="AU862" s="1774"/>
      <c r="AV862" s="1774"/>
      <c r="AW862" s="1774"/>
      <c r="AX862" s="1774"/>
      <c r="AY862" s="1775"/>
      <c r="AZ862" s="1057"/>
      <c r="BA862" s="1770" t="str">
        <f>+IF(postafioknyil="","",postafioknyil)</f>
        <v/>
      </c>
      <c r="BB862" s="1771"/>
      <c r="BC862" s="1771"/>
      <c r="BD862" s="1771"/>
      <c r="BE862" s="1771"/>
      <c r="BF862" s="1772"/>
      <c r="BG862" s="1056"/>
      <c r="BH862" s="540"/>
    </row>
    <row r="863" spans="1:60" x14ac:dyDescent="0.15">
      <c r="A863" s="1052"/>
      <c r="B863" s="1053"/>
      <c r="C863" s="1054"/>
      <c r="D863" s="1769"/>
      <c r="E863" s="1769"/>
      <c r="F863" s="1769"/>
      <c r="G863" s="1769"/>
      <c r="H863" s="1769"/>
      <c r="I863" s="1769"/>
      <c r="J863" s="1769"/>
      <c r="K863" s="1769"/>
      <c r="L863" s="1769"/>
      <c r="M863" s="1769"/>
      <c r="N863" s="1769"/>
      <c r="O863" s="1057"/>
      <c r="P863" s="1057" t="s">
        <v>146</v>
      </c>
      <c r="Q863" s="1057"/>
      <c r="R863" s="1057"/>
      <c r="S863" s="1057"/>
      <c r="T863" s="1057"/>
      <c r="U863" s="1057" t="s">
        <v>147</v>
      </c>
      <c r="V863" s="1057"/>
      <c r="W863" s="1057"/>
      <c r="X863" s="1057"/>
      <c r="Y863" s="1057"/>
      <c r="Z863" s="1057"/>
      <c r="AA863" s="1057"/>
      <c r="AB863" s="1057"/>
      <c r="AC863" s="1057"/>
      <c r="AD863" s="1057"/>
      <c r="AE863" s="1057"/>
      <c r="AF863" s="1057"/>
      <c r="AG863" s="1057"/>
      <c r="AH863" s="1057"/>
      <c r="AI863" s="1057"/>
      <c r="AJ863" s="1057"/>
      <c r="AK863" s="1057"/>
      <c r="AL863" s="1057"/>
      <c r="AM863" s="1057"/>
      <c r="AN863" s="1057"/>
      <c r="AO863" s="1057"/>
      <c r="AP863" s="1057"/>
      <c r="AQ863" s="1057"/>
      <c r="AR863" s="1057"/>
      <c r="AS863" s="1057"/>
      <c r="AT863" s="1057"/>
      <c r="AU863" s="1057"/>
      <c r="AV863" s="1057"/>
      <c r="AW863" s="1057"/>
      <c r="AX863" s="1057"/>
      <c r="AY863" s="1057"/>
      <c r="AZ863" s="1057"/>
      <c r="BA863" s="1057" t="s">
        <v>148</v>
      </c>
      <c r="BB863" s="1057"/>
      <c r="BC863" s="1057"/>
      <c r="BD863" s="1057"/>
      <c r="BE863" s="1057"/>
      <c r="BF863" s="1057"/>
      <c r="BG863" s="1056"/>
      <c r="BH863" s="540"/>
    </row>
    <row r="864" spans="1:60" ht="15" thickBot="1" x14ac:dyDescent="0.2">
      <c r="A864" s="1052"/>
      <c r="B864" s="1053"/>
      <c r="C864" s="1054"/>
      <c r="D864" s="1060"/>
      <c r="E864" s="1060"/>
      <c r="F864" s="1060"/>
      <c r="G864" s="1060"/>
      <c r="H864" s="1060"/>
      <c r="I864" s="1060"/>
      <c r="J864" s="1060"/>
      <c r="K864" s="1060"/>
      <c r="L864" s="1060"/>
      <c r="M864" s="1060"/>
      <c r="N864" s="1060"/>
      <c r="O864" s="1061"/>
      <c r="P864" s="1057"/>
      <c r="Q864" s="1057"/>
      <c r="R864" s="1057"/>
      <c r="S864" s="1057"/>
      <c r="T864" s="1057"/>
      <c r="U864" s="1057"/>
      <c r="V864" s="1057"/>
      <c r="W864" s="1057"/>
      <c r="X864" s="1057"/>
      <c r="Y864" s="1057"/>
      <c r="Z864" s="1057"/>
      <c r="AA864" s="1057"/>
      <c r="AB864" s="1057"/>
      <c r="AC864" s="1057"/>
      <c r="AD864" s="1057"/>
      <c r="AE864" s="1057"/>
      <c r="AF864" s="1057"/>
      <c r="AG864" s="1057"/>
      <c r="AH864" s="1057"/>
      <c r="AI864" s="1057"/>
      <c r="AJ864" s="1057"/>
      <c r="AK864" s="1057"/>
      <c r="AL864" s="1057"/>
      <c r="AM864" s="1057"/>
      <c r="AN864" s="1057"/>
      <c r="AO864" s="1057"/>
      <c r="AP864" s="1057"/>
      <c r="AQ864" s="1057"/>
      <c r="AR864" s="1057"/>
      <c r="AS864" s="1057"/>
      <c r="AT864" s="1057"/>
      <c r="AU864" s="1057"/>
      <c r="AV864" s="1057"/>
      <c r="AW864" s="1057"/>
      <c r="AX864" s="1057"/>
      <c r="AY864" s="1057"/>
      <c r="AZ864" s="1057"/>
      <c r="BA864" s="1057"/>
      <c r="BB864" s="1057"/>
      <c r="BC864" s="1057"/>
      <c r="BD864" s="1057"/>
      <c r="BE864" s="1057"/>
      <c r="BF864" s="1057"/>
      <c r="BG864" s="1056"/>
      <c r="BH864" s="540"/>
    </row>
    <row r="865" spans="1:60" ht="15" thickBot="1" x14ac:dyDescent="0.2">
      <c r="A865" s="1052"/>
      <c r="B865" s="1053"/>
      <c r="C865" s="1054"/>
      <c r="D865" s="1770" t="str">
        <f>+IF(kozternevenyil="","",kozternevenyil)</f>
        <v/>
      </c>
      <c r="E865" s="1771"/>
      <c r="F865" s="1771"/>
      <c r="G865" s="1771"/>
      <c r="H865" s="1771"/>
      <c r="I865" s="1771"/>
      <c r="J865" s="1771"/>
      <c r="K865" s="1771"/>
      <c r="L865" s="1771"/>
      <c r="M865" s="1771"/>
      <c r="N865" s="1771"/>
      <c r="O865" s="1771"/>
      <c r="P865" s="1771"/>
      <c r="Q865" s="1771"/>
      <c r="R865" s="1771"/>
      <c r="S865" s="1771"/>
      <c r="T865" s="1771"/>
      <c r="U865" s="1771"/>
      <c r="V865" s="1771"/>
      <c r="W865" s="1771"/>
      <c r="X865" s="1771"/>
      <c r="Y865" s="1771"/>
      <c r="Z865" s="1771"/>
      <c r="AA865" s="1771"/>
      <c r="AB865" s="1771"/>
      <c r="AC865" s="1772"/>
      <c r="AD865" s="1062"/>
      <c r="AE865" s="1063"/>
      <c r="AF865" s="1770" t="str">
        <f>+IF(jellegnyil="","",jellegnyil)</f>
        <v>legördülő cella</v>
      </c>
      <c r="AG865" s="1771"/>
      <c r="AH865" s="1771"/>
      <c r="AI865" s="1771"/>
      <c r="AJ865" s="1771"/>
      <c r="AK865" s="1771"/>
      <c r="AL865" s="1771"/>
      <c r="AM865" s="1771"/>
      <c r="AN865" s="1771"/>
      <c r="AO865" s="1771"/>
      <c r="AP865" s="1772"/>
      <c r="AQ865" s="1062"/>
      <c r="AR865" s="1059"/>
      <c r="AS865" s="1059"/>
      <c r="AT865" s="1059"/>
      <c r="AU865" s="1059"/>
      <c r="AV865" s="1059"/>
      <c r="AW865" s="1059"/>
      <c r="AX865" s="1776" t="str">
        <f>+IF(ajtonyil="","",ajtonyil)</f>
        <v/>
      </c>
      <c r="AY865" s="1777"/>
      <c r="AZ865" s="1777"/>
      <c r="BA865" s="1777"/>
      <c r="BB865" s="1777"/>
      <c r="BC865" s="1777"/>
      <c r="BD865" s="1777"/>
      <c r="BE865" s="1777"/>
      <c r="BF865" s="1778"/>
      <c r="BG865" s="1056"/>
      <c r="BH865" s="540"/>
    </row>
    <row r="866" spans="1:60" x14ac:dyDescent="0.15">
      <c r="A866" s="1052"/>
      <c r="B866" s="1053"/>
      <c r="C866" s="1054"/>
      <c r="D866" s="1057" t="s">
        <v>149</v>
      </c>
      <c r="E866" s="1057"/>
      <c r="F866" s="1057"/>
      <c r="G866" s="1057"/>
      <c r="H866" s="1057"/>
      <c r="I866" s="1057"/>
      <c r="J866" s="1057"/>
      <c r="K866" s="1057"/>
      <c r="L866" s="1057"/>
      <c r="M866" s="1057"/>
      <c r="N866" s="1057"/>
      <c r="O866" s="1057"/>
      <c r="P866" s="1057"/>
      <c r="Q866" s="1057"/>
      <c r="R866" s="1057"/>
      <c r="S866" s="1057"/>
      <c r="T866" s="1057"/>
      <c r="U866" s="1057"/>
      <c r="V866" s="1057"/>
      <c r="W866" s="1057"/>
      <c r="X866" s="1057"/>
      <c r="Y866" s="1057"/>
      <c r="Z866" s="1057"/>
      <c r="AA866" s="1057"/>
      <c r="AB866" s="1057"/>
      <c r="AC866" s="1057"/>
      <c r="AD866" s="1057"/>
      <c r="AE866" s="1057"/>
      <c r="AF866" s="1057" t="s">
        <v>150</v>
      </c>
      <c r="AG866" s="1057"/>
      <c r="AH866" s="1057"/>
      <c r="AI866" s="1057"/>
      <c r="AJ866" s="1063"/>
      <c r="AK866" s="1057"/>
      <c r="AL866" s="1057"/>
      <c r="AM866" s="1057"/>
      <c r="AN866" s="1057"/>
      <c r="AO866" s="1057"/>
      <c r="AP866" s="1057"/>
      <c r="AQ866" s="1063"/>
      <c r="AR866" s="1057"/>
      <c r="AS866" s="1057"/>
      <c r="AT866" s="1057"/>
      <c r="AU866" s="1057"/>
      <c r="AV866" s="1057"/>
      <c r="AW866" s="1057"/>
      <c r="AX866" s="1058" t="s">
        <v>151</v>
      </c>
      <c r="AY866" s="1058"/>
      <c r="AZ866" s="1058"/>
      <c r="BA866" s="1058"/>
      <c r="BB866" s="1058"/>
      <c r="BC866" s="1058"/>
      <c r="BD866" s="1058"/>
      <c r="BE866" s="1058"/>
      <c r="BF866" s="1058"/>
      <c r="BG866" s="1056"/>
      <c r="BH866" s="540"/>
    </row>
    <row r="867" spans="1:60" x14ac:dyDescent="0.15">
      <c r="A867" s="1050"/>
      <c r="B867" s="1064"/>
      <c r="C867" s="1055"/>
      <c r="D867" s="1060"/>
      <c r="E867" s="1060"/>
      <c r="F867" s="1060"/>
      <c r="G867" s="1060"/>
      <c r="H867" s="1060"/>
      <c r="I867" s="1060"/>
      <c r="J867" s="1060"/>
      <c r="K867" s="1060"/>
      <c r="L867" s="1060"/>
      <c r="M867" s="1060"/>
      <c r="N867" s="1060"/>
      <c r="O867" s="1061"/>
      <c r="P867" s="1057"/>
      <c r="Q867" s="1057"/>
      <c r="R867" s="1057"/>
      <c r="S867" s="1057"/>
      <c r="T867" s="1057"/>
      <c r="U867" s="1057"/>
      <c r="V867" s="1057"/>
      <c r="W867" s="1057"/>
      <c r="X867" s="1057"/>
      <c r="Y867" s="1057"/>
      <c r="Z867" s="1057"/>
      <c r="AA867" s="1057"/>
      <c r="AB867" s="1057"/>
      <c r="AC867" s="1057"/>
      <c r="AD867" s="1057"/>
      <c r="AE867" s="1057"/>
      <c r="AF867" s="1057"/>
      <c r="AG867" s="1057"/>
      <c r="AH867" s="1057"/>
      <c r="AI867" s="1057"/>
      <c r="AJ867" s="1057"/>
      <c r="AK867" s="1057"/>
      <c r="AL867" s="1057"/>
      <c r="AM867" s="1057"/>
      <c r="AN867" s="1057"/>
      <c r="AO867" s="1057"/>
      <c r="AP867" s="1057"/>
      <c r="AQ867" s="1057"/>
      <c r="AR867" s="1057"/>
      <c r="AS867" s="1057"/>
      <c r="AT867" s="1057"/>
      <c r="AU867" s="1057"/>
      <c r="AV867" s="1057"/>
      <c r="AW867" s="1057"/>
      <c r="AX867" s="1057"/>
      <c r="AY867" s="1057"/>
      <c r="AZ867" s="1057"/>
      <c r="BA867" s="1057"/>
      <c r="BB867" s="1057"/>
      <c r="BC867" s="1057"/>
      <c r="BD867" s="1057"/>
      <c r="BE867" s="1057"/>
      <c r="BF867" s="1057"/>
      <c r="BG867" s="1056"/>
      <c r="BH867" s="540"/>
    </row>
    <row r="868" spans="1:60" ht="15" thickBot="1" x14ac:dyDescent="0.2">
      <c r="A868" s="1050"/>
      <c r="B868" s="1064"/>
      <c r="C868" s="1055"/>
      <c r="D868" s="1055"/>
      <c r="E868" s="1055"/>
      <c r="F868" s="1055"/>
      <c r="G868" s="1055"/>
      <c r="H868" s="1055"/>
      <c r="I868" s="1055"/>
      <c r="J868" s="1055"/>
      <c r="K868" s="1055"/>
      <c r="L868" s="1055"/>
      <c r="M868" s="1055"/>
      <c r="N868" s="1055"/>
      <c r="O868" s="1055"/>
      <c r="P868" s="1055"/>
      <c r="Q868" s="1055"/>
      <c r="R868" s="1055"/>
      <c r="S868" s="1055"/>
      <c r="T868" s="1055"/>
      <c r="U868" s="1055"/>
      <c r="V868" s="1055"/>
      <c r="W868" s="1055"/>
      <c r="X868" s="1055"/>
      <c r="Y868" s="1055"/>
      <c r="Z868" s="1055"/>
      <c r="AA868" s="1055"/>
      <c r="AB868" s="1055"/>
      <c r="AC868" s="1055"/>
      <c r="AD868" s="1055"/>
      <c r="AE868" s="1055"/>
      <c r="AF868" s="1055"/>
      <c r="AG868" s="1055"/>
      <c r="AH868" s="1055"/>
      <c r="AI868" s="1055"/>
      <c r="AJ868" s="1055"/>
      <c r="AK868" s="1055"/>
      <c r="AL868" s="1055"/>
      <c r="AM868" s="1055"/>
      <c r="AN868" s="1055"/>
      <c r="AO868" s="1055"/>
      <c r="AP868" s="1055"/>
      <c r="AQ868" s="1055"/>
      <c r="AR868" s="1055"/>
      <c r="AS868" s="1055"/>
      <c r="AT868" s="1055"/>
      <c r="AU868" s="1055"/>
      <c r="AV868" s="1055"/>
      <c r="AW868" s="1055"/>
      <c r="AX868" s="1055"/>
      <c r="AY868" s="1055"/>
      <c r="AZ868" s="1055"/>
      <c r="BA868" s="1055"/>
      <c r="BB868" s="1055"/>
      <c r="BC868" s="1055"/>
      <c r="BD868" s="1055"/>
      <c r="BE868" s="1055"/>
      <c r="BF868" s="1055"/>
      <c r="BG868" s="1056"/>
      <c r="BH868" s="540"/>
    </row>
    <row r="869" spans="1:60" ht="15" thickBot="1" x14ac:dyDescent="0.2">
      <c r="A869" s="1050"/>
      <c r="B869" s="1064"/>
      <c r="C869" s="1763" t="str">
        <f>+IF(adoszamnyil="","",adoszamnyil)</f>
        <v/>
      </c>
      <c r="D869" s="1764"/>
      <c r="E869" s="1764"/>
      <c r="F869" s="1764"/>
      <c r="G869" s="1764"/>
      <c r="H869" s="1764"/>
      <c r="I869" s="1764"/>
      <c r="J869" s="1764"/>
      <c r="K869" s="1764"/>
      <c r="L869" s="1764"/>
      <c r="M869" s="1764"/>
      <c r="N869" s="1764"/>
      <c r="O869" s="1764"/>
      <c r="P869" s="1764"/>
      <c r="Q869" s="1764"/>
      <c r="R869" s="1764"/>
      <c r="S869" s="1764"/>
      <c r="T869" s="1765"/>
      <c r="U869" s="1055"/>
      <c r="V869" s="1055"/>
      <c r="W869" s="1055"/>
      <c r="X869" s="1763" t="str">
        <f>+IF(evnyil="","",evnyil)</f>
        <v/>
      </c>
      <c r="Y869" s="1764"/>
      <c r="Z869" s="1764"/>
      <c r="AA869" s="1764"/>
      <c r="AB869" s="1764"/>
      <c r="AC869" s="1764"/>
      <c r="AD869" s="1764"/>
      <c r="AE869" s="1764"/>
      <c r="AF869" s="1764"/>
      <c r="AG869" s="1764"/>
      <c r="AH869" s="1764"/>
      <c r="AI869" s="1764"/>
      <c r="AJ869" s="1764"/>
      <c r="AK869" s="1764"/>
      <c r="AL869" s="1765"/>
      <c r="AM869" s="1055"/>
      <c r="AN869" s="1055"/>
      <c r="AO869" s="1763" t="str">
        <f>+IF(evszamnyil="","",evszamnyil)</f>
        <v/>
      </c>
      <c r="AP869" s="1764"/>
      <c r="AQ869" s="1764"/>
      <c r="AR869" s="1764"/>
      <c r="AS869" s="1764"/>
      <c r="AT869" s="1764"/>
      <c r="AU869" s="1764"/>
      <c r="AV869" s="1764"/>
      <c r="AW869" s="1764"/>
      <c r="AX869" s="1764"/>
      <c r="AY869" s="1764"/>
      <c r="AZ869" s="1764"/>
      <c r="BA869" s="1764"/>
      <c r="BB869" s="1764"/>
      <c r="BC869" s="1764"/>
      <c r="BD869" s="1764"/>
      <c r="BE869" s="1764"/>
      <c r="BF869" s="1765"/>
      <c r="BG869" s="1056"/>
      <c r="BH869" s="540"/>
    </row>
    <row r="870" spans="1:60" x14ac:dyDescent="0.15">
      <c r="A870" s="1050"/>
      <c r="B870" s="1064"/>
      <c r="C870" s="1055" t="s">
        <v>590</v>
      </c>
      <c r="D870" s="1055"/>
      <c r="E870" s="1055"/>
      <c r="F870" s="1055"/>
      <c r="G870" s="1055"/>
      <c r="H870" s="1055"/>
      <c r="I870" s="1055"/>
      <c r="J870" s="1055"/>
      <c r="K870" s="1055"/>
      <c r="L870" s="1055"/>
      <c r="M870" s="1055"/>
      <c r="N870" s="1055"/>
      <c r="O870" s="1055"/>
      <c r="P870" s="1055"/>
      <c r="Q870" s="1055"/>
      <c r="R870" s="1055"/>
      <c r="S870" s="1055"/>
      <c r="T870" s="1055"/>
      <c r="U870" s="1055"/>
      <c r="V870" s="1055"/>
      <c r="W870" s="1055"/>
      <c r="X870" s="1055" t="s">
        <v>591</v>
      </c>
      <c r="Y870" s="1055"/>
      <c r="Z870" s="1055"/>
      <c r="AA870" s="1055"/>
      <c r="AB870" s="1055"/>
      <c r="AC870" s="1055"/>
      <c r="AD870" s="1055"/>
      <c r="AE870" s="1055"/>
      <c r="AF870" s="1055"/>
      <c r="AG870" s="1055"/>
      <c r="AH870" s="1055"/>
      <c r="AI870" s="1055"/>
      <c r="AJ870" s="1055"/>
      <c r="AK870" s="1055"/>
      <c r="AL870" s="1055"/>
      <c r="AM870" s="1055"/>
      <c r="AN870" s="1055"/>
      <c r="AO870" s="1055" t="s">
        <v>592</v>
      </c>
      <c r="AP870" s="1055"/>
      <c r="AQ870" s="1055"/>
      <c r="AR870" s="1055"/>
      <c r="AS870" s="1055"/>
      <c r="AT870" s="1055"/>
      <c r="AU870" s="1055"/>
      <c r="AV870" s="1055"/>
      <c r="AW870" s="1055"/>
      <c r="AX870" s="1055"/>
      <c r="AY870" s="1055"/>
      <c r="AZ870" s="1055"/>
      <c r="BA870" s="1055"/>
      <c r="BB870" s="1055"/>
      <c r="BC870" s="1055"/>
      <c r="BD870" s="1055"/>
      <c r="BE870" s="1055"/>
      <c r="BF870" s="1055"/>
      <c r="BG870" s="1056"/>
      <c r="BH870" s="540"/>
    </row>
    <row r="871" spans="1:60" ht="15" thickBot="1" x14ac:dyDescent="0.2">
      <c r="A871" s="1050"/>
      <c r="B871" s="1064"/>
      <c r="C871" s="1055"/>
      <c r="D871" s="1055"/>
      <c r="E871" s="1055"/>
      <c r="F871" s="1055"/>
      <c r="G871" s="1055"/>
      <c r="H871" s="1055"/>
      <c r="I871" s="1055"/>
      <c r="J871" s="1055"/>
      <c r="K871" s="1055"/>
      <c r="L871" s="1055"/>
      <c r="M871" s="1055"/>
      <c r="N871" s="1055"/>
      <c r="O871" s="1055"/>
      <c r="P871" s="1055"/>
      <c r="Q871" s="1055"/>
      <c r="R871" s="1055"/>
      <c r="S871" s="1055"/>
      <c r="T871" s="1055"/>
      <c r="U871" s="1055"/>
      <c r="V871" s="1055"/>
      <c r="W871" s="1055"/>
      <c r="X871" s="1055"/>
      <c r="Y871" s="1055"/>
      <c r="Z871" s="1055"/>
      <c r="AA871" s="1055"/>
      <c r="AB871" s="1055"/>
      <c r="AC871" s="1055"/>
      <c r="AD871" s="1055"/>
      <c r="AE871" s="1055"/>
      <c r="AF871" s="1055"/>
      <c r="AG871" s="1055"/>
      <c r="AH871" s="1055"/>
      <c r="AI871" s="1055"/>
      <c r="AJ871" s="1055"/>
      <c r="AK871" s="1055"/>
      <c r="AL871" s="1055"/>
      <c r="AM871" s="1055"/>
      <c r="AN871" s="1055"/>
      <c r="AO871" s="1055"/>
      <c r="AP871" s="1055"/>
      <c r="AQ871" s="1055"/>
      <c r="AR871" s="1055"/>
      <c r="AS871" s="1055"/>
      <c r="AT871" s="1055"/>
      <c r="AU871" s="1055"/>
      <c r="AV871" s="1055"/>
      <c r="AW871" s="1055"/>
      <c r="AX871" s="1055"/>
      <c r="AY871" s="1055"/>
      <c r="AZ871" s="1055"/>
      <c r="BA871" s="1055"/>
      <c r="BB871" s="1055"/>
      <c r="BC871" s="1055"/>
      <c r="BD871" s="1055"/>
      <c r="BE871" s="1055"/>
      <c r="BF871" s="1055"/>
      <c r="BG871" s="1056"/>
      <c r="BH871" s="540"/>
    </row>
    <row r="872" spans="1:60" ht="15" thickBot="1" x14ac:dyDescent="0.2">
      <c r="A872" s="1050"/>
      <c r="B872" s="1064"/>
      <c r="C872" s="1763" t="str">
        <f>+IF(KKVnyil="","",KKVnyil)</f>
        <v>legördülő cella</v>
      </c>
      <c r="D872" s="1764"/>
      <c r="E872" s="1764"/>
      <c r="F872" s="1764"/>
      <c r="G872" s="1764"/>
      <c r="H872" s="1764"/>
      <c r="I872" s="1764"/>
      <c r="J872" s="1764"/>
      <c r="K872" s="1764"/>
      <c r="L872" s="1764"/>
      <c r="M872" s="1764"/>
      <c r="N872" s="1764"/>
      <c r="O872" s="1764"/>
      <c r="P872" s="1764"/>
      <c r="Q872" s="1764"/>
      <c r="R872" s="1764"/>
      <c r="S872" s="1764"/>
      <c r="T872" s="1765"/>
      <c r="U872" s="1055"/>
      <c r="V872" s="1055"/>
      <c r="W872" s="1055"/>
      <c r="X872" s="1763" t="str">
        <f>+IF(gazformnyil="","",gazformnyil)</f>
        <v>legördülő cella</v>
      </c>
      <c r="Y872" s="1764"/>
      <c r="Z872" s="1764"/>
      <c r="AA872" s="1764"/>
      <c r="AB872" s="1764"/>
      <c r="AC872" s="1764"/>
      <c r="AD872" s="1764"/>
      <c r="AE872" s="1764"/>
      <c r="AF872" s="1764"/>
      <c r="AG872" s="1764"/>
      <c r="AH872" s="1764"/>
      <c r="AI872" s="1764"/>
      <c r="AJ872" s="1764"/>
      <c r="AK872" s="1764"/>
      <c r="AL872" s="1765"/>
      <c r="AM872" s="1055"/>
      <c r="AN872" s="1055"/>
      <c r="AO872" s="1055"/>
      <c r="AP872" s="1055"/>
      <c r="AQ872" s="1055"/>
      <c r="AR872" s="1055"/>
      <c r="AS872" s="1055"/>
      <c r="AT872" s="1055"/>
      <c r="AU872" s="1055"/>
      <c r="AV872" s="1055"/>
      <c r="AW872" s="1055"/>
      <c r="AX872" s="1055"/>
      <c r="AY872" s="1055"/>
      <c r="AZ872" s="1055"/>
      <c r="BA872" s="1055"/>
      <c r="BB872" s="1055"/>
      <c r="BC872" s="1055"/>
      <c r="BD872" s="1055"/>
      <c r="BE872" s="1055"/>
      <c r="BF872" s="1055"/>
      <c r="BG872" s="1056"/>
      <c r="BH872" s="540"/>
    </row>
    <row r="873" spans="1:60" x14ac:dyDescent="0.15">
      <c r="A873" s="1050"/>
      <c r="B873" s="1064"/>
      <c r="C873" s="1055" t="s">
        <v>593</v>
      </c>
      <c r="D873" s="1055"/>
      <c r="E873" s="1055"/>
      <c r="F873" s="1055"/>
      <c r="G873" s="1055"/>
      <c r="H873" s="1055"/>
      <c r="I873" s="1055"/>
      <c r="J873" s="1055"/>
      <c r="K873" s="1055"/>
      <c r="L873" s="1055"/>
      <c r="M873" s="1055"/>
      <c r="N873" s="1055"/>
      <c r="O873" s="1055"/>
      <c r="P873" s="1055"/>
      <c r="Q873" s="1055"/>
      <c r="R873" s="1055"/>
      <c r="S873" s="1055"/>
      <c r="T873" s="1055"/>
      <c r="U873" s="1055"/>
      <c r="V873" s="1055"/>
      <c r="W873" s="1055"/>
      <c r="X873" s="1055" t="s">
        <v>594</v>
      </c>
      <c r="Y873" s="1055"/>
      <c r="Z873" s="1055"/>
      <c r="AA873" s="1055"/>
      <c r="AB873" s="1055"/>
      <c r="AC873" s="1055"/>
      <c r="AD873" s="1055"/>
      <c r="AE873" s="1055"/>
      <c r="AF873" s="1055"/>
      <c r="AG873" s="1055"/>
      <c r="AH873" s="1055"/>
      <c r="AI873" s="1055"/>
      <c r="AJ873" s="1055"/>
      <c r="AK873" s="1055"/>
      <c r="AL873" s="1055"/>
      <c r="AM873" s="1055"/>
      <c r="AN873" s="1055"/>
      <c r="AO873" s="1055"/>
      <c r="AP873" s="1055"/>
      <c r="AQ873" s="1055"/>
      <c r="AR873" s="1055"/>
      <c r="AS873" s="1055"/>
      <c r="AT873" s="1055"/>
      <c r="AU873" s="1055"/>
      <c r="AV873" s="1055"/>
      <c r="AW873" s="1055"/>
      <c r="AX873" s="1055"/>
      <c r="AY873" s="1055"/>
      <c r="AZ873" s="1055"/>
      <c r="BA873" s="1055"/>
      <c r="BB873" s="1055"/>
      <c r="BC873" s="1055"/>
      <c r="BD873" s="1055"/>
      <c r="BE873" s="1055"/>
      <c r="BF873" s="1055"/>
      <c r="BG873" s="1056"/>
      <c r="BH873" s="540"/>
    </row>
    <row r="874" spans="1:60" ht="15" thickBot="1" x14ac:dyDescent="0.2">
      <c r="A874" s="1050"/>
      <c r="B874" s="1064"/>
      <c r="C874" s="1055"/>
      <c r="D874" s="1055"/>
      <c r="E874" s="1055"/>
      <c r="F874" s="1055"/>
      <c r="G874" s="1055"/>
      <c r="H874" s="1055"/>
      <c r="I874" s="1055"/>
      <c r="J874" s="1055"/>
      <c r="K874" s="1055"/>
      <c r="L874" s="1055"/>
      <c r="M874" s="1055"/>
      <c r="N874" s="1055"/>
      <c r="O874" s="1055"/>
      <c r="P874" s="1055"/>
      <c r="Q874" s="1055"/>
      <c r="R874" s="1055"/>
      <c r="S874" s="1055"/>
      <c r="T874" s="1055"/>
      <c r="U874" s="1055"/>
      <c r="V874" s="1055"/>
      <c r="W874" s="1055"/>
      <c r="X874" s="1055"/>
      <c r="Y874" s="1055"/>
      <c r="Z874" s="1055"/>
      <c r="AA874" s="1055"/>
      <c r="AB874" s="1055"/>
      <c r="AC874" s="1055"/>
      <c r="AD874" s="1055"/>
      <c r="AE874" s="1055"/>
      <c r="AF874" s="1055"/>
      <c r="AG874" s="1055"/>
      <c r="AH874" s="1055"/>
      <c r="AI874" s="1055"/>
      <c r="AJ874" s="1055"/>
      <c r="AK874" s="1055"/>
      <c r="AL874" s="1055"/>
      <c r="AM874" s="1055"/>
      <c r="AN874" s="1055"/>
      <c r="AO874" s="1055"/>
      <c r="AP874" s="1055"/>
      <c r="AQ874" s="1055"/>
      <c r="AR874" s="1055"/>
      <c r="AS874" s="1055"/>
      <c r="AT874" s="1055"/>
      <c r="AU874" s="1055"/>
      <c r="AV874" s="1055"/>
      <c r="AW874" s="1055"/>
      <c r="AX874" s="1055"/>
      <c r="AY874" s="1055"/>
      <c r="AZ874" s="1055"/>
      <c r="BA874" s="1055"/>
      <c r="BB874" s="1055"/>
      <c r="BC874" s="1055"/>
      <c r="BD874" s="1055"/>
      <c r="BE874" s="1055"/>
      <c r="BF874" s="1055"/>
      <c r="BG874" s="1056"/>
      <c r="BH874" s="540"/>
    </row>
    <row r="875" spans="1:60" ht="15" thickBot="1" x14ac:dyDescent="0.2">
      <c r="A875" s="1050"/>
      <c r="B875" s="1064"/>
      <c r="C875" s="1763" t="str">
        <f>+IF(kapcsnyil="","",kapcsnyil)</f>
        <v/>
      </c>
      <c r="D875" s="1764"/>
      <c r="E875" s="1764"/>
      <c r="F875" s="1764"/>
      <c r="G875" s="1764"/>
      <c r="H875" s="1764"/>
      <c r="I875" s="1764"/>
      <c r="J875" s="1764"/>
      <c r="K875" s="1764"/>
      <c r="L875" s="1764"/>
      <c r="M875" s="1764"/>
      <c r="N875" s="1764"/>
      <c r="O875" s="1764"/>
      <c r="P875" s="1764"/>
      <c r="Q875" s="1764"/>
      <c r="R875" s="1764"/>
      <c r="S875" s="1764"/>
      <c r="T875" s="1765"/>
      <c r="U875" s="1055"/>
      <c r="V875" s="1055"/>
      <c r="W875" s="1055"/>
      <c r="X875" s="1763" t="str">
        <f>+IF(kapcstelnyil="","",kapcstelnyil)</f>
        <v/>
      </c>
      <c r="Y875" s="1764"/>
      <c r="Z875" s="1764"/>
      <c r="AA875" s="1764"/>
      <c r="AB875" s="1764"/>
      <c r="AC875" s="1764"/>
      <c r="AD875" s="1764"/>
      <c r="AE875" s="1764"/>
      <c r="AF875" s="1764"/>
      <c r="AG875" s="1764"/>
      <c r="AH875" s="1764"/>
      <c r="AI875" s="1764"/>
      <c r="AJ875" s="1764"/>
      <c r="AK875" s="1764"/>
      <c r="AL875" s="1765"/>
      <c r="AM875" s="1055"/>
      <c r="AN875" s="1055"/>
      <c r="AO875" s="1763" t="str">
        <f>+IF(kapcsemailnyil="","",kapcsemailnyil)</f>
        <v/>
      </c>
      <c r="AP875" s="1764"/>
      <c r="AQ875" s="1764"/>
      <c r="AR875" s="1764"/>
      <c r="AS875" s="1764"/>
      <c r="AT875" s="1764"/>
      <c r="AU875" s="1764"/>
      <c r="AV875" s="1764"/>
      <c r="AW875" s="1764"/>
      <c r="AX875" s="1764"/>
      <c r="AY875" s="1764"/>
      <c r="AZ875" s="1764"/>
      <c r="BA875" s="1764"/>
      <c r="BB875" s="1764"/>
      <c r="BC875" s="1764"/>
      <c r="BD875" s="1764"/>
      <c r="BE875" s="1764"/>
      <c r="BF875" s="1765"/>
      <c r="BG875" s="1056"/>
      <c r="BH875" s="540"/>
    </row>
    <row r="876" spans="1:60" x14ac:dyDescent="0.15">
      <c r="A876" s="1050"/>
      <c r="B876" s="1064"/>
      <c r="C876" s="1055" t="s">
        <v>587</v>
      </c>
      <c r="D876" s="1055"/>
      <c r="E876" s="1055"/>
      <c r="F876" s="1055"/>
      <c r="G876" s="1055"/>
      <c r="H876" s="1055"/>
      <c r="I876" s="1055"/>
      <c r="J876" s="1055"/>
      <c r="K876" s="1055"/>
      <c r="L876" s="1055"/>
      <c r="M876" s="1055"/>
      <c r="N876" s="1055"/>
      <c r="O876" s="1055"/>
      <c r="P876" s="1055"/>
      <c r="Q876" s="1055"/>
      <c r="R876" s="1055"/>
      <c r="S876" s="1055"/>
      <c r="T876" s="1055"/>
      <c r="U876" s="1055"/>
      <c r="V876" s="1055"/>
      <c r="W876" s="1055"/>
      <c r="X876" s="1055" t="s">
        <v>586</v>
      </c>
      <c r="Y876" s="1055"/>
      <c r="Z876" s="1055"/>
      <c r="AA876" s="1055"/>
      <c r="AB876" s="1055"/>
      <c r="AC876" s="1055"/>
      <c r="AD876" s="1055"/>
      <c r="AE876" s="1055"/>
      <c r="AF876" s="1055"/>
      <c r="AG876" s="1055"/>
      <c r="AH876" s="1055"/>
      <c r="AI876" s="1055"/>
      <c r="AJ876" s="1055"/>
      <c r="AK876" s="1055"/>
      <c r="AL876" s="1055"/>
      <c r="AM876" s="1055"/>
      <c r="AN876" s="1055"/>
      <c r="AO876" s="1055" t="s">
        <v>585</v>
      </c>
      <c r="AP876" s="1055"/>
      <c r="AQ876" s="1055"/>
      <c r="AR876" s="1055"/>
      <c r="AS876" s="1055"/>
      <c r="AT876" s="1055"/>
      <c r="AU876" s="1055"/>
      <c r="AV876" s="1055"/>
      <c r="AW876" s="1055"/>
      <c r="AX876" s="1055"/>
      <c r="AY876" s="1055"/>
      <c r="AZ876" s="1055"/>
      <c r="BA876" s="1055"/>
      <c r="BB876" s="1055"/>
      <c r="BC876" s="1055"/>
      <c r="BD876" s="1055"/>
      <c r="BE876" s="1055"/>
      <c r="BF876" s="1055"/>
      <c r="BG876" s="1056"/>
      <c r="BH876" s="540"/>
    </row>
    <row r="877" spans="1:60" ht="15" thickBot="1" x14ac:dyDescent="0.2">
      <c r="A877" s="1050"/>
      <c r="B877" s="1064"/>
      <c r="C877" s="1055"/>
      <c r="D877" s="1055"/>
      <c r="E877" s="1055"/>
      <c r="F877" s="1055"/>
      <c r="G877" s="1055"/>
      <c r="H877" s="1055"/>
      <c r="I877" s="1055"/>
      <c r="J877" s="1055"/>
      <c r="K877" s="1055"/>
      <c r="L877" s="1055"/>
      <c r="M877" s="1055"/>
      <c r="N877" s="1055"/>
      <c r="O877" s="1055"/>
      <c r="P877" s="1055"/>
      <c r="Q877" s="1055"/>
      <c r="R877" s="1055"/>
      <c r="S877" s="1055"/>
      <c r="T877" s="1055"/>
      <c r="U877" s="1055"/>
      <c r="V877" s="1055"/>
      <c r="W877" s="1055"/>
      <c r="X877" s="1055"/>
      <c r="Y877" s="1055"/>
      <c r="Z877" s="1055"/>
      <c r="AA877" s="1055"/>
      <c r="AB877" s="1055"/>
      <c r="AC877" s="1055"/>
      <c r="AD877" s="1055"/>
      <c r="AE877" s="1055"/>
      <c r="AF877" s="1055"/>
      <c r="AG877" s="1055"/>
      <c r="AH877" s="1055"/>
      <c r="AI877" s="1055"/>
      <c r="AJ877" s="1055"/>
      <c r="AK877" s="1055"/>
      <c r="AL877" s="1055"/>
      <c r="AM877" s="1055"/>
      <c r="AN877" s="1055"/>
      <c r="AO877" s="1055"/>
      <c r="AP877" s="1055"/>
      <c r="AQ877" s="1055"/>
      <c r="AR877" s="1055"/>
      <c r="AS877" s="1055"/>
      <c r="AT877" s="1055"/>
      <c r="AU877" s="1055"/>
      <c r="AV877" s="1055"/>
      <c r="AW877" s="1055"/>
      <c r="AX877" s="1055"/>
      <c r="AY877" s="1055"/>
      <c r="AZ877" s="1055"/>
      <c r="BA877" s="1055"/>
      <c r="BB877" s="1055"/>
      <c r="BC877" s="1055"/>
      <c r="BD877" s="1055"/>
      <c r="BE877" s="1055"/>
      <c r="BF877" s="1055"/>
      <c r="BG877" s="1056"/>
      <c r="BH877" s="540"/>
    </row>
    <row r="878" spans="1:60" ht="15" thickBot="1" x14ac:dyDescent="0.2">
      <c r="A878" s="1050"/>
      <c r="B878" s="1064"/>
      <c r="C878" s="1763" t="str">
        <f>+IF(vállemailnyil="","",vállemailnyil)</f>
        <v/>
      </c>
      <c r="D878" s="1764"/>
      <c r="E878" s="1764"/>
      <c r="F878" s="1764"/>
      <c r="G878" s="1764"/>
      <c r="H878" s="1764"/>
      <c r="I878" s="1764"/>
      <c r="J878" s="1764"/>
      <c r="K878" s="1764"/>
      <c r="L878" s="1764"/>
      <c r="M878" s="1764"/>
      <c r="N878" s="1764"/>
      <c r="O878" s="1764"/>
      <c r="P878" s="1764"/>
      <c r="Q878" s="1764"/>
      <c r="R878" s="1764"/>
      <c r="S878" s="1764"/>
      <c r="T878" s="1765"/>
      <c r="U878" s="1055"/>
      <c r="V878" s="1055"/>
      <c r="W878" s="1055"/>
      <c r="X878" s="1763" t="str">
        <f>+IF(válltelnyil="","",válltelnyil)</f>
        <v/>
      </c>
      <c r="Y878" s="1764"/>
      <c r="Z878" s="1764"/>
      <c r="AA878" s="1764"/>
      <c r="AB878" s="1764"/>
      <c r="AC878" s="1764"/>
      <c r="AD878" s="1764"/>
      <c r="AE878" s="1764"/>
      <c r="AF878" s="1764"/>
      <c r="AG878" s="1764"/>
      <c r="AH878" s="1764"/>
      <c r="AI878" s="1764"/>
      <c r="AJ878" s="1764"/>
      <c r="AK878" s="1764"/>
      <c r="AL878" s="1765"/>
      <c r="AM878" s="1055"/>
      <c r="AN878" s="1055"/>
      <c r="AO878" s="1055"/>
      <c r="AP878" s="1055"/>
      <c r="AQ878" s="1055"/>
      <c r="AR878" s="1055"/>
      <c r="AS878" s="1055"/>
      <c r="AT878" s="1055"/>
      <c r="AU878" s="1055"/>
      <c r="AV878" s="1055"/>
      <c r="AW878" s="1055"/>
      <c r="AX878" s="1055"/>
      <c r="AY878" s="1055"/>
      <c r="AZ878" s="1055"/>
      <c r="BA878" s="1055"/>
      <c r="BB878" s="1055"/>
      <c r="BC878" s="1055"/>
      <c r="BD878" s="1055"/>
      <c r="BE878" s="1055"/>
      <c r="BF878" s="1055"/>
      <c r="BG878" s="1056"/>
      <c r="BH878" s="540"/>
    </row>
    <row r="879" spans="1:60" x14ac:dyDescent="0.15">
      <c r="A879" s="1050"/>
      <c r="B879" s="1064"/>
      <c r="C879" s="1055" t="s">
        <v>588</v>
      </c>
      <c r="D879" s="1055"/>
      <c r="E879" s="1055"/>
      <c r="F879" s="1055"/>
      <c r="G879" s="1055"/>
      <c r="H879" s="1055"/>
      <c r="I879" s="1055"/>
      <c r="J879" s="1055"/>
      <c r="K879" s="1055"/>
      <c r="L879" s="1055"/>
      <c r="M879" s="1055"/>
      <c r="N879" s="1055"/>
      <c r="O879" s="1055"/>
      <c r="P879" s="1055"/>
      <c r="Q879" s="1055"/>
      <c r="R879" s="1055"/>
      <c r="S879" s="1055"/>
      <c r="T879" s="1055"/>
      <c r="U879" s="1055"/>
      <c r="V879" s="1055"/>
      <c r="W879" s="1055"/>
      <c r="X879" s="1055" t="s">
        <v>589</v>
      </c>
      <c r="Y879" s="1055"/>
      <c r="Z879" s="1055"/>
      <c r="AA879" s="1055"/>
      <c r="AB879" s="1055"/>
      <c r="AC879" s="1055"/>
      <c r="AD879" s="1055"/>
      <c r="AE879" s="1055"/>
      <c r="AF879" s="1055"/>
      <c r="AG879" s="1055"/>
      <c r="AH879" s="1055"/>
      <c r="AI879" s="1055"/>
      <c r="AJ879" s="1055"/>
      <c r="AK879" s="1055"/>
      <c r="AL879" s="1055"/>
      <c r="AM879" s="1055"/>
      <c r="AN879" s="1055"/>
      <c r="AO879" s="1055"/>
      <c r="AP879" s="1055"/>
      <c r="AQ879" s="1055"/>
      <c r="AR879" s="1055"/>
      <c r="AS879" s="1055"/>
      <c r="AT879" s="1055"/>
      <c r="AU879" s="1055"/>
      <c r="AV879" s="1055"/>
      <c r="AW879" s="1055"/>
      <c r="AX879" s="1055"/>
      <c r="AY879" s="1055"/>
      <c r="AZ879" s="1055"/>
      <c r="BA879" s="1055"/>
      <c r="BB879" s="1055"/>
      <c r="BC879" s="1055"/>
      <c r="BD879" s="1055"/>
      <c r="BE879" s="1055"/>
      <c r="BF879" s="1055"/>
      <c r="BG879" s="1056"/>
      <c r="BH879" s="540"/>
    </row>
    <row r="880" spans="1:60" x14ac:dyDescent="0.15">
      <c r="A880" s="1050"/>
      <c r="B880" s="1065"/>
      <c r="C880" s="1066"/>
      <c r="D880" s="1066"/>
      <c r="E880" s="1066"/>
      <c r="F880" s="1066"/>
      <c r="G880" s="1066"/>
      <c r="H880" s="1066"/>
      <c r="I880" s="1066"/>
      <c r="J880" s="1066"/>
      <c r="K880" s="1066"/>
      <c r="L880" s="1066"/>
      <c r="M880" s="1066"/>
      <c r="N880" s="1066"/>
      <c r="O880" s="1066"/>
      <c r="P880" s="1066"/>
      <c r="Q880" s="1066"/>
      <c r="R880" s="1066"/>
      <c r="S880" s="1066"/>
      <c r="T880" s="1066"/>
      <c r="U880" s="1066"/>
      <c r="V880" s="1066"/>
      <c r="W880" s="1066"/>
      <c r="X880" s="1066"/>
      <c r="Y880" s="1066"/>
      <c r="Z880" s="1066"/>
      <c r="AA880" s="1066"/>
      <c r="AB880" s="1066"/>
      <c r="AC880" s="1066"/>
      <c r="AD880" s="1066"/>
      <c r="AE880" s="1066"/>
      <c r="AF880" s="1066"/>
      <c r="AG880" s="1066"/>
      <c r="AH880" s="1066"/>
      <c r="AI880" s="1066"/>
      <c r="AJ880" s="1066"/>
      <c r="AK880" s="1066"/>
      <c r="AL880" s="1066"/>
      <c r="AM880" s="1066"/>
      <c r="AN880" s="1066"/>
      <c r="AO880" s="1066"/>
      <c r="AP880" s="1066"/>
      <c r="AQ880" s="1066"/>
      <c r="AR880" s="1066"/>
      <c r="AS880" s="1066"/>
      <c r="AT880" s="1066"/>
      <c r="AU880" s="1066"/>
      <c r="AV880" s="1066"/>
      <c r="AW880" s="1066"/>
      <c r="AX880" s="1066"/>
      <c r="AY880" s="1066"/>
      <c r="AZ880" s="1066"/>
      <c r="BA880" s="1066"/>
      <c r="BB880" s="1066"/>
      <c r="BC880" s="1066"/>
      <c r="BD880" s="1066"/>
      <c r="BE880" s="1066"/>
      <c r="BF880" s="1066"/>
      <c r="BG880" s="1067"/>
      <c r="BH880" s="540"/>
    </row>
    <row r="881" spans="1:60" x14ac:dyDescent="0.15">
      <c r="A881" s="1050"/>
      <c r="B881" s="1753" t="s">
        <v>846</v>
      </c>
      <c r="C881" s="1754"/>
      <c r="D881" s="1754"/>
      <c r="E881" s="1754"/>
      <c r="F881" s="1754"/>
      <c r="G881" s="1754"/>
      <c r="H881" s="1754"/>
      <c r="I881" s="1754"/>
      <c r="J881" s="1754"/>
      <c r="K881" s="1754"/>
      <c r="L881" s="1754"/>
      <c r="M881" s="1754"/>
      <c r="N881" s="1754"/>
      <c r="O881" s="1754"/>
      <c r="P881" s="1754"/>
      <c r="Q881" s="1754"/>
      <c r="R881" s="1754"/>
      <c r="S881" s="1754"/>
      <c r="T881" s="1754"/>
      <c r="U881" s="1754"/>
      <c r="V881" s="1754"/>
      <c r="W881" s="1754"/>
      <c r="X881" s="1754"/>
      <c r="Y881" s="1754"/>
      <c r="Z881" s="1754"/>
      <c r="AA881" s="1754"/>
      <c r="AB881" s="1754"/>
      <c r="AC881" s="1754"/>
      <c r="AD881" s="1754"/>
      <c r="AE881" s="1754"/>
      <c r="AF881" s="1754"/>
      <c r="AG881" s="1754"/>
      <c r="AH881" s="1754"/>
      <c r="AI881" s="1754"/>
      <c r="AJ881" s="1754"/>
      <c r="AK881" s="1754"/>
      <c r="AL881" s="1754"/>
      <c r="AM881" s="1754"/>
      <c r="AN881" s="1754"/>
      <c r="AO881" s="1754"/>
      <c r="AP881" s="1754"/>
      <c r="AQ881" s="1754"/>
      <c r="AR881" s="1754"/>
      <c r="AS881" s="1754"/>
      <c r="AT881" s="1754"/>
      <c r="AU881" s="1754"/>
      <c r="AV881" s="1754"/>
      <c r="AW881" s="1754"/>
      <c r="AX881" s="1754"/>
      <c r="AY881" s="1754"/>
      <c r="AZ881" s="1754"/>
      <c r="BA881" s="1754"/>
      <c r="BB881" s="1754"/>
      <c r="BC881" s="1754"/>
      <c r="BD881" s="1754"/>
      <c r="BE881" s="1754"/>
      <c r="BF881" s="1754"/>
      <c r="BG881" s="1755"/>
      <c r="BH881" s="540"/>
    </row>
    <row r="882" spans="1:60" x14ac:dyDescent="0.15">
      <c r="A882" s="1050"/>
      <c r="B882" s="1068"/>
      <c r="C882" s="1751" t="s">
        <v>777</v>
      </c>
      <c r="D882" s="1751"/>
      <c r="E882" s="1751"/>
      <c r="F882" s="1751"/>
      <c r="G882" s="1751"/>
      <c r="H882" s="1751"/>
      <c r="I882" s="1751"/>
      <c r="J882" s="1751"/>
      <c r="K882" s="1751"/>
      <c r="L882" s="1751"/>
      <c r="M882" s="1751"/>
      <c r="N882" s="1751"/>
      <c r="O882" s="1751"/>
      <c r="P882" s="1751"/>
      <c r="Q882" s="1751"/>
      <c r="R882" s="1751"/>
      <c r="S882" s="1751"/>
      <c r="T882" s="1751"/>
      <c r="U882" s="1751"/>
      <c r="V882" s="1751"/>
      <c r="W882" s="1751"/>
      <c r="X882" s="1751"/>
      <c r="Y882" s="1751"/>
      <c r="Z882" s="1751"/>
      <c r="AA882" s="1751"/>
      <c r="AB882" s="1751"/>
      <c r="AC882" s="1751"/>
      <c r="AD882" s="1751"/>
      <c r="AE882" s="1751"/>
      <c r="AF882" s="1751"/>
      <c r="AG882" s="1751"/>
      <c r="AH882" s="1751"/>
      <c r="AI882" s="1751"/>
      <c r="AJ882" s="1751"/>
      <c r="AK882" s="1751"/>
      <c r="AL882" s="1751"/>
      <c r="AM882" s="1751"/>
      <c r="AN882" s="1751"/>
      <c r="AO882" s="1751"/>
      <c r="AP882" s="1751"/>
      <c r="AQ882" s="1751"/>
      <c r="AR882" s="1751"/>
      <c r="AS882" s="1751"/>
      <c r="AT882" s="1751"/>
      <c r="AU882" s="1751"/>
      <c r="AV882" s="1751"/>
      <c r="AW882" s="1751"/>
      <c r="AX882" s="1751"/>
      <c r="AY882" s="1751"/>
      <c r="AZ882" s="1751"/>
      <c r="BA882" s="1751"/>
      <c r="BB882" s="1751"/>
      <c r="BC882" s="1751"/>
      <c r="BD882" s="1751"/>
      <c r="BE882" s="1751"/>
      <c r="BF882" s="1751"/>
      <c r="BG882" s="1069"/>
      <c r="BH882" s="540"/>
    </row>
    <row r="883" spans="1:60" ht="15" thickBot="1" x14ac:dyDescent="0.2">
      <c r="A883" s="1050"/>
      <c r="B883" s="1064"/>
      <c r="C883" s="1761" t="s">
        <v>914</v>
      </c>
      <c r="D883" s="1761"/>
      <c r="E883" s="1761"/>
      <c r="F883" s="1761"/>
      <c r="G883" s="1761"/>
      <c r="H883" s="1761"/>
      <c r="I883" s="1761"/>
      <c r="J883" s="1761"/>
      <c r="K883" s="1761"/>
      <c r="L883" s="1761"/>
      <c r="M883" s="1761"/>
      <c r="N883" s="1761"/>
      <c r="O883" s="1761"/>
      <c r="P883" s="1761"/>
      <c r="Q883" s="1761"/>
      <c r="R883" s="1761"/>
      <c r="S883" s="1761"/>
      <c r="T883" s="1761"/>
      <c r="U883" s="1761"/>
      <c r="V883" s="1761"/>
      <c r="W883" s="1761"/>
      <c r="X883" s="1761"/>
      <c r="Y883" s="1761"/>
      <c r="Z883" s="1761"/>
      <c r="AA883" s="1761"/>
      <c r="AB883" s="1761"/>
      <c r="AC883" s="1761"/>
      <c r="AD883" s="1761"/>
      <c r="AE883" s="1761"/>
      <c r="AF883" s="1761"/>
      <c r="AG883" s="1761"/>
      <c r="AH883" s="1761"/>
      <c r="AI883" s="1761"/>
      <c r="AJ883" s="1761"/>
      <c r="AK883" s="1761"/>
      <c r="AL883" s="1761"/>
      <c r="AM883" s="1761"/>
      <c r="AN883" s="1761"/>
      <c r="AO883" s="1761"/>
      <c r="AP883" s="1761"/>
      <c r="AQ883" s="1761"/>
      <c r="AR883" s="1761"/>
      <c r="AS883" s="1761"/>
      <c r="AT883" s="1761"/>
      <c r="AU883" s="1761"/>
      <c r="AV883" s="1761"/>
      <c r="AW883" s="1761"/>
      <c r="AX883" s="1761"/>
      <c r="AY883" s="1761"/>
      <c r="AZ883" s="1761"/>
      <c r="BA883" s="1761"/>
      <c r="BB883" s="1761"/>
      <c r="BC883" s="1761"/>
      <c r="BD883" s="1761"/>
      <c r="BE883" s="1761"/>
      <c r="BF883" s="1761"/>
      <c r="BG883" s="1056"/>
      <c r="BH883" s="540"/>
    </row>
    <row r="884" spans="1:60" ht="15" thickBot="1" x14ac:dyDescent="0.2">
      <c r="A884" s="1050"/>
      <c r="B884" s="1064"/>
      <c r="C884" s="1748" t="str">
        <f>+Nyilatkozatok!DK160</f>
        <v>energiahatékonysági intézkedésekhez nyújtott beruházási támogatás</v>
      </c>
      <c r="D884" s="1749"/>
      <c r="E884" s="1749"/>
      <c r="F884" s="1749"/>
      <c r="G884" s="1749"/>
      <c r="H884" s="1749"/>
      <c r="I884" s="1749"/>
      <c r="J884" s="1749"/>
      <c r="K884" s="1749"/>
      <c r="L884" s="1749"/>
      <c r="M884" s="1749"/>
      <c r="N884" s="1749"/>
      <c r="O884" s="1749"/>
      <c r="P884" s="1749"/>
      <c r="Q884" s="1749"/>
      <c r="R884" s="1749"/>
      <c r="S884" s="1749"/>
      <c r="T884" s="1749"/>
      <c r="U884" s="1749"/>
      <c r="V884" s="1749"/>
      <c r="W884" s="1749"/>
      <c r="X884" s="1749"/>
      <c r="Y884" s="1749"/>
      <c r="Z884" s="1749"/>
      <c r="AA884" s="1749"/>
      <c r="AB884" s="1749"/>
      <c r="AC884" s="1749"/>
      <c r="AD884" s="1749"/>
      <c r="AE884" s="1749"/>
      <c r="AF884" s="1749"/>
      <c r="AG884" s="1749"/>
      <c r="AH884" s="1750"/>
      <c r="AI884" s="1070"/>
      <c r="AJ884" s="1070"/>
      <c r="AK884" s="1070"/>
      <c r="AL884" s="1070"/>
      <c r="AM884" s="1070"/>
      <c r="AN884" s="1070"/>
      <c r="AO884" s="1070"/>
      <c r="AP884" s="1070"/>
      <c r="AQ884" s="1070"/>
      <c r="AR884" s="1070"/>
      <c r="AS884" s="1070"/>
      <c r="AT884" s="1070"/>
      <c r="AU884" s="1070"/>
      <c r="AV884" s="1070"/>
      <c r="AW884" s="1070"/>
      <c r="AX884" s="1070"/>
      <c r="AY884" s="1070"/>
      <c r="AZ884" s="1070"/>
      <c r="BA884" s="1070"/>
      <c r="BB884" s="1070"/>
      <c r="BC884" s="1070"/>
      <c r="BD884" s="1070"/>
      <c r="BE884" s="1070"/>
      <c r="BF884" s="1070"/>
      <c r="BG884" s="1056"/>
      <c r="BH884" s="540"/>
    </row>
    <row r="885" spans="1:60" x14ac:dyDescent="0.15">
      <c r="A885" s="1050"/>
      <c r="B885" s="1064"/>
      <c r="C885" s="1761" t="s">
        <v>856</v>
      </c>
      <c r="D885" s="1761"/>
      <c r="E885" s="1761"/>
      <c r="F885" s="1761"/>
      <c r="G885" s="1761"/>
      <c r="H885" s="1761"/>
      <c r="I885" s="1761"/>
      <c r="J885" s="1761"/>
      <c r="K885" s="1761"/>
      <c r="L885" s="1761"/>
      <c r="M885" s="1761"/>
      <c r="N885" s="1761"/>
      <c r="O885" s="1761"/>
      <c r="P885" s="1761"/>
      <c r="Q885" s="1761"/>
      <c r="R885" s="1761"/>
      <c r="S885" s="1761"/>
      <c r="T885" s="1761"/>
      <c r="U885" s="1761"/>
      <c r="V885" s="1761"/>
      <c r="W885" s="1761"/>
      <c r="X885" s="1761"/>
      <c r="Y885" s="1761"/>
      <c r="Z885" s="1761"/>
      <c r="AA885" s="1761"/>
      <c r="AB885" s="1761"/>
      <c r="AC885" s="1761"/>
      <c r="AD885" s="1761"/>
      <c r="AE885" s="1761"/>
      <c r="AF885" s="1761"/>
      <c r="AG885" s="1761"/>
      <c r="AH885" s="1761"/>
      <c r="AI885" s="1761"/>
      <c r="AJ885" s="1761"/>
      <c r="AK885" s="1761"/>
      <c r="AL885" s="1761"/>
      <c r="AM885" s="1761"/>
      <c r="AN885" s="1761"/>
      <c r="AO885" s="1761"/>
      <c r="AP885" s="1761"/>
      <c r="AQ885" s="1761"/>
      <c r="AR885" s="1761"/>
      <c r="AS885" s="1761"/>
      <c r="AT885" s="1761"/>
      <c r="AU885" s="1761"/>
      <c r="AV885" s="1761"/>
      <c r="AW885" s="1761"/>
      <c r="AX885" s="1761"/>
      <c r="AY885" s="1761"/>
      <c r="AZ885" s="1761"/>
      <c r="BA885" s="1761"/>
      <c r="BB885" s="1761"/>
      <c r="BC885" s="1761"/>
      <c r="BD885" s="1761"/>
      <c r="BE885" s="1761"/>
      <c r="BF885" s="1761"/>
      <c r="BG885" s="1056"/>
      <c r="BH885" s="540"/>
    </row>
    <row r="886" spans="1:60" x14ac:dyDescent="0.15">
      <c r="A886" s="1050"/>
      <c r="B886" s="1064"/>
      <c r="C886" s="1759" t="str">
        <f>+Nyilatkozatok!DK161</f>
        <v>A Finanszírozást nem használom fel:</v>
      </c>
      <c r="D886" s="1759"/>
      <c r="E886" s="1759"/>
      <c r="F886" s="1759"/>
      <c r="G886" s="1759"/>
      <c r="H886" s="1759"/>
      <c r="I886" s="1759"/>
      <c r="J886" s="1759"/>
      <c r="K886" s="1759"/>
      <c r="L886" s="1759"/>
      <c r="M886" s="1759"/>
      <c r="N886" s="1759"/>
      <c r="O886" s="1759"/>
      <c r="P886" s="1759"/>
      <c r="Q886" s="1759"/>
      <c r="R886" s="1759"/>
      <c r="S886" s="1759"/>
      <c r="T886" s="1759"/>
      <c r="U886" s="1759"/>
      <c r="V886" s="1759"/>
      <c r="W886" s="1759"/>
      <c r="X886" s="1759"/>
      <c r="Y886" s="1759"/>
      <c r="Z886" s="1759"/>
      <c r="AA886" s="1759"/>
      <c r="AB886" s="1759"/>
      <c r="AC886" s="1759"/>
      <c r="AD886" s="1759"/>
      <c r="AE886" s="1759"/>
      <c r="AF886" s="1759"/>
      <c r="AG886" s="1759"/>
      <c r="AH886" s="1759"/>
      <c r="AI886" s="1759"/>
      <c r="AJ886" s="1759"/>
      <c r="AK886" s="1759"/>
      <c r="AL886" s="1759"/>
      <c r="AM886" s="1759"/>
      <c r="AN886" s="1759"/>
      <c r="AO886" s="1759"/>
      <c r="AP886" s="1759"/>
      <c r="AQ886" s="1759"/>
      <c r="AR886" s="1759"/>
      <c r="AS886" s="1759"/>
      <c r="AT886" s="1759"/>
      <c r="AU886" s="1759"/>
      <c r="AV886" s="1759"/>
      <c r="AW886" s="1759"/>
      <c r="AX886" s="1759"/>
      <c r="AY886" s="1759"/>
      <c r="AZ886" s="1759"/>
      <c r="BA886" s="1759"/>
      <c r="BB886" s="1759"/>
      <c r="BC886" s="1759"/>
      <c r="BD886" s="1759"/>
      <c r="BE886" s="1759"/>
      <c r="BF886" s="1759"/>
      <c r="BG886" s="1056"/>
      <c r="BH886" s="540"/>
    </row>
    <row r="887" spans="1:60" x14ac:dyDescent="0.15">
      <c r="A887" s="1050"/>
      <c r="B887" s="1064"/>
      <c r="C887" s="1759" t="str">
        <f>+Nyilatkozatok!DK162</f>
        <v xml:space="preserve">– visszaigényelhető általános forgalmi adó (ÁFA), vám, illeték finanszírozására használom fel, kivéve, ha ÁFA visszaigénylésére nem vagyok jogosult; </v>
      </c>
      <c r="D887" s="1759"/>
      <c r="E887" s="1759"/>
      <c r="F887" s="1759"/>
      <c r="G887" s="1759"/>
      <c r="H887" s="1759"/>
      <c r="I887" s="1759"/>
      <c r="J887" s="1759"/>
      <c r="K887" s="1759"/>
      <c r="L887" s="1759"/>
      <c r="M887" s="1759"/>
      <c r="N887" s="1759"/>
      <c r="O887" s="1759"/>
      <c r="P887" s="1759"/>
      <c r="Q887" s="1759"/>
      <c r="R887" s="1759"/>
      <c r="S887" s="1759"/>
      <c r="T887" s="1759"/>
      <c r="U887" s="1759"/>
      <c r="V887" s="1759"/>
      <c r="W887" s="1759"/>
      <c r="X887" s="1759"/>
      <c r="Y887" s="1759"/>
      <c r="Z887" s="1759"/>
      <c r="AA887" s="1759"/>
      <c r="AB887" s="1759"/>
      <c r="AC887" s="1759"/>
      <c r="AD887" s="1759"/>
      <c r="AE887" s="1759"/>
      <c r="AF887" s="1759"/>
      <c r="AG887" s="1759"/>
      <c r="AH887" s="1759"/>
      <c r="AI887" s="1759"/>
      <c r="AJ887" s="1759"/>
      <c r="AK887" s="1759"/>
      <c r="AL887" s="1759"/>
      <c r="AM887" s="1759"/>
      <c r="AN887" s="1759"/>
      <c r="AO887" s="1759"/>
      <c r="AP887" s="1759"/>
      <c r="AQ887" s="1759"/>
      <c r="AR887" s="1759"/>
      <c r="AS887" s="1759"/>
      <c r="AT887" s="1759"/>
      <c r="AU887" s="1759"/>
      <c r="AV887" s="1759"/>
      <c r="AW887" s="1759"/>
      <c r="AX887" s="1759"/>
      <c r="AY887" s="1759"/>
      <c r="AZ887" s="1759"/>
      <c r="BA887" s="1759"/>
      <c r="BB887" s="1759"/>
      <c r="BC887" s="1759"/>
      <c r="BD887" s="1759"/>
      <c r="BE887" s="1759"/>
      <c r="BF887" s="1759"/>
      <c r="BG887" s="1056"/>
      <c r="BH887" s="540"/>
    </row>
    <row r="888" spans="1:60" x14ac:dyDescent="0.15">
      <c r="A888" s="1050"/>
      <c r="B888" s="1064"/>
      <c r="C888" s="1759" t="str">
        <f>+Nyilatkozatok!DK163</f>
        <v xml:space="preserve">–  más hitel, lízing kiváltására, üzletrész, részvény, illetve más társasági részesedés vásárlására; </v>
      </c>
      <c r="D888" s="1759"/>
      <c r="E888" s="1759"/>
      <c r="F888" s="1759"/>
      <c r="G888" s="1759"/>
      <c r="H888" s="1759"/>
      <c r="I888" s="1759"/>
      <c r="J888" s="1759"/>
      <c r="K888" s="1759"/>
      <c r="L888" s="1759"/>
      <c r="M888" s="1759"/>
      <c r="N888" s="1759"/>
      <c r="O888" s="1759"/>
      <c r="P888" s="1759"/>
      <c r="Q888" s="1759"/>
      <c r="R888" s="1759"/>
      <c r="S888" s="1759"/>
      <c r="T888" s="1759"/>
      <c r="U888" s="1759"/>
      <c r="V888" s="1759"/>
      <c r="W888" s="1759"/>
      <c r="X888" s="1759"/>
      <c r="Y888" s="1759"/>
      <c r="Z888" s="1759"/>
      <c r="AA888" s="1759"/>
      <c r="AB888" s="1759"/>
      <c r="AC888" s="1759"/>
      <c r="AD888" s="1759"/>
      <c r="AE888" s="1759"/>
      <c r="AF888" s="1759"/>
      <c r="AG888" s="1759"/>
      <c r="AH888" s="1759"/>
      <c r="AI888" s="1759"/>
      <c r="AJ888" s="1759"/>
      <c r="AK888" s="1759"/>
      <c r="AL888" s="1759"/>
      <c r="AM888" s="1759"/>
      <c r="AN888" s="1759"/>
      <c r="AO888" s="1759"/>
      <c r="AP888" s="1759"/>
      <c r="AQ888" s="1759"/>
      <c r="AR888" s="1759"/>
      <c r="AS888" s="1759"/>
      <c r="AT888" s="1759"/>
      <c r="AU888" s="1759"/>
      <c r="AV888" s="1759"/>
      <c r="AW888" s="1759"/>
      <c r="AX888" s="1759"/>
      <c r="AY888" s="1759"/>
      <c r="AZ888" s="1759"/>
      <c r="BA888" s="1759"/>
      <c r="BB888" s="1759"/>
      <c r="BC888" s="1759"/>
      <c r="BD888" s="1759"/>
      <c r="BE888" s="1759"/>
      <c r="BF888" s="1759"/>
      <c r="BG888" s="1056"/>
      <c r="BH888" s="540"/>
    </row>
    <row r="889" spans="1:60" x14ac:dyDescent="0.15">
      <c r="A889" s="1050"/>
      <c r="B889" s="1064"/>
      <c r="C889" s="1759" t="str">
        <f>+Nyilatkozatok!DK164</f>
        <v>– a hiteldöntés napján fizikailag már lezárt (befejezett) vagy teljes mértékben (fizikailag és pénzügyileg is) végrehajtott beruházás finanszírozására;</v>
      </c>
      <c r="D889" s="1759"/>
      <c r="E889" s="1759"/>
      <c r="F889" s="1759"/>
      <c r="G889" s="1759"/>
      <c r="H889" s="1759"/>
      <c r="I889" s="1759"/>
      <c r="J889" s="1759"/>
      <c r="K889" s="1759"/>
      <c r="L889" s="1759"/>
      <c r="M889" s="1759"/>
      <c r="N889" s="1759"/>
      <c r="O889" s="1759"/>
      <c r="P889" s="1759"/>
      <c r="Q889" s="1759"/>
      <c r="R889" s="1759"/>
      <c r="S889" s="1759"/>
      <c r="T889" s="1759"/>
      <c r="U889" s="1759"/>
      <c r="V889" s="1759"/>
      <c r="W889" s="1759"/>
      <c r="X889" s="1759"/>
      <c r="Y889" s="1759"/>
      <c r="Z889" s="1759"/>
      <c r="AA889" s="1759"/>
      <c r="AB889" s="1759"/>
      <c r="AC889" s="1759"/>
      <c r="AD889" s="1759"/>
      <c r="AE889" s="1759"/>
      <c r="AF889" s="1759"/>
      <c r="AG889" s="1759"/>
      <c r="AH889" s="1759"/>
      <c r="AI889" s="1759"/>
      <c r="AJ889" s="1759"/>
      <c r="AK889" s="1759"/>
      <c r="AL889" s="1759"/>
      <c r="AM889" s="1759"/>
      <c r="AN889" s="1759"/>
      <c r="AO889" s="1759"/>
      <c r="AP889" s="1759"/>
      <c r="AQ889" s="1759"/>
      <c r="AR889" s="1759"/>
      <c r="AS889" s="1759"/>
      <c r="AT889" s="1759"/>
      <c r="AU889" s="1759"/>
      <c r="AV889" s="1759"/>
      <c r="AW889" s="1759"/>
      <c r="AX889" s="1759"/>
      <c r="AY889" s="1759"/>
      <c r="AZ889" s="1759"/>
      <c r="BA889" s="1759"/>
      <c r="BB889" s="1759"/>
      <c r="BC889" s="1759"/>
      <c r="BD889" s="1759"/>
      <c r="BE889" s="1759"/>
      <c r="BF889" s="1759"/>
      <c r="BG889" s="1056"/>
      <c r="BH889" s="540"/>
    </row>
    <row r="890" spans="1:60" x14ac:dyDescent="0.15">
      <c r="A890" s="1050"/>
      <c r="B890" s="1064"/>
      <c r="C890" s="1759" t="str">
        <f>+Nyilatkozatok!DK165</f>
        <v>– olyan feltétellel, amely az európai uniós jog megsértését eredményezi,</v>
      </c>
      <c r="D890" s="1759"/>
      <c r="E890" s="1759"/>
      <c r="F890" s="1759"/>
      <c r="G890" s="1759"/>
      <c r="H890" s="1759"/>
      <c r="I890" s="1759"/>
      <c r="J890" s="1759"/>
      <c r="K890" s="1759"/>
      <c r="L890" s="1759"/>
      <c r="M890" s="1759"/>
      <c r="N890" s="1759"/>
      <c r="O890" s="1759"/>
      <c r="P890" s="1759"/>
      <c r="Q890" s="1759"/>
      <c r="R890" s="1759"/>
      <c r="S890" s="1759"/>
      <c r="T890" s="1759"/>
      <c r="U890" s="1759"/>
      <c r="V890" s="1759"/>
      <c r="W890" s="1759"/>
      <c r="X890" s="1759"/>
      <c r="Y890" s="1759"/>
      <c r="Z890" s="1759"/>
      <c r="AA890" s="1759"/>
      <c r="AB890" s="1759"/>
      <c r="AC890" s="1759"/>
      <c r="AD890" s="1759"/>
      <c r="AE890" s="1759"/>
      <c r="AF890" s="1759"/>
      <c r="AG890" s="1759"/>
      <c r="AH890" s="1759"/>
      <c r="AI890" s="1759"/>
      <c r="AJ890" s="1759"/>
      <c r="AK890" s="1759"/>
      <c r="AL890" s="1759"/>
      <c r="AM890" s="1759"/>
      <c r="AN890" s="1759"/>
      <c r="AO890" s="1759"/>
      <c r="AP890" s="1759"/>
      <c r="AQ890" s="1759"/>
      <c r="AR890" s="1759"/>
      <c r="AS890" s="1759"/>
      <c r="AT890" s="1759"/>
      <c r="AU890" s="1759"/>
      <c r="AV890" s="1759"/>
      <c r="AW890" s="1759"/>
      <c r="AX890" s="1759"/>
      <c r="AY890" s="1759"/>
      <c r="AZ890" s="1759"/>
      <c r="BA890" s="1759"/>
      <c r="BB890" s="1759"/>
      <c r="BC890" s="1759"/>
      <c r="BD890" s="1759"/>
      <c r="BE890" s="1759"/>
      <c r="BF890" s="1759"/>
      <c r="BG890" s="1056"/>
      <c r="BH890" s="540"/>
    </row>
    <row r="891" spans="1:60" x14ac:dyDescent="0.15">
      <c r="A891" s="1050"/>
      <c r="B891" s="1064"/>
      <c r="C891" s="1759" t="str">
        <f>+Nyilatkozatok!DK166</f>
        <v xml:space="preserve">– exporttal kapcsolatos tevékenység finanszírozására </v>
      </c>
      <c r="D891" s="1759"/>
      <c r="E891" s="1759"/>
      <c r="F891" s="1759"/>
      <c r="G891" s="1759"/>
      <c r="H891" s="1759"/>
      <c r="I891" s="1759"/>
      <c r="J891" s="1759"/>
      <c r="K891" s="1759"/>
      <c r="L891" s="1759"/>
      <c r="M891" s="1759"/>
      <c r="N891" s="1759"/>
      <c r="O891" s="1759"/>
      <c r="P891" s="1759"/>
      <c r="Q891" s="1759"/>
      <c r="R891" s="1759"/>
      <c r="S891" s="1759"/>
      <c r="T891" s="1759"/>
      <c r="U891" s="1759"/>
      <c r="V891" s="1759"/>
      <c r="W891" s="1759"/>
      <c r="X891" s="1759"/>
      <c r="Y891" s="1759"/>
      <c r="Z891" s="1759"/>
      <c r="AA891" s="1759"/>
      <c r="AB891" s="1759"/>
      <c r="AC891" s="1759"/>
      <c r="AD891" s="1759"/>
      <c r="AE891" s="1759"/>
      <c r="AF891" s="1759"/>
      <c r="AG891" s="1759"/>
      <c r="AH891" s="1759"/>
      <c r="AI891" s="1759"/>
      <c r="AJ891" s="1759"/>
      <c r="AK891" s="1759"/>
      <c r="AL891" s="1759"/>
      <c r="AM891" s="1759"/>
      <c r="AN891" s="1759"/>
      <c r="AO891" s="1759"/>
      <c r="AP891" s="1759"/>
      <c r="AQ891" s="1759"/>
      <c r="AR891" s="1759"/>
      <c r="AS891" s="1759"/>
      <c r="AT891" s="1759"/>
      <c r="AU891" s="1759"/>
      <c r="AV891" s="1759"/>
      <c r="AW891" s="1759"/>
      <c r="AX891" s="1759"/>
      <c r="AY891" s="1759"/>
      <c r="AZ891" s="1759"/>
      <c r="BA891" s="1759"/>
      <c r="BB891" s="1759"/>
      <c r="BC891" s="1759"/>
      <c r="BD891" s="1759"/>
      <c r="BE891" s="1759"/>
      <c r="BF891" s="1759"/>
      <c r="BG891" s="1056"/>
      <c r="BH891" s="540"/>
    </row>
    <row r="892" spans="1:60" x14ac:dyDescent="0.15">
      <c r="A892" s="1050"/>
      <c r="B892" s="1064"/>
      <c r="C892" s="1759" t="str">
        <f>+Nyilatkozatok!DK167</f>
        <v>– az 1379/2013/EU rendelet  szerinti halászati és akvakultúra ágazattal kapcsolatos tevékenység finanszírozására,</v>
      </c>
      <c r="D892" s="1759"/>
      <c r="E892" s="1759"/>
      <c r="F892" s="1759"/>
      <c r="G892" s="1759"/>
      <c r="H892" s="1759"/>
      <c r="I892" s="1759"/>
      <c r="J892" s="1759"/>
      <c r="K892" s="1759"/>
      <c r="L892" s="1759"/>
      <c r="M892" s="1759"/>
      <c r="N892" s="1759"/>
      <c r="O892" s="1759"/>
      <c r="P892" s="1759"/>
      <c r="Q892" s="1759"/>
      <c r="R892" s="1759"/>
      <c r="S892" s="1759"/>
      <c r="T892" s="1759"/>
      <c r="U892" s="1759"/>
      <c r="V892" s="1759"/>
      <c r="W892" s="1759"/>
      <c r="X892" s="1759"/>
      <c r="Y892" s="1759"/>
      <c r="Z892" s="1759"/>
      <c r="AA892" s="1759"/>
      <c r="AB892" s="1759"/>
      <c r="AC892" s="1759"/>
      <c r="AD892" s="1759"/>
      <c r="AE892" s="1759"/>
      <c r="AF892" s="1759"/>
      <c r="AG892" s="1759"/>
      <c r="AH892" s="1759"/>
      <c r="AI892" s="1759"/>
      <c r="AJ892" s="1759"/>
      <c r="AK892" s="1759"/>
      <c r="AL892" s="1759"/>
      <c r="AM892" s="1759"/>
      <c r="AN892" s="1759"/>
      <c r="AO892" s="1759"/>
      <c r="AP892" s="1759"/>
      <c r="AQ892" s="1759"/>
      <c r="AR892" s="1759"/>
      <c r="AS892" s="1759"/>
      <c r="AT892" s="1759"/>
      <c r="AU892" s="1759"/>
      <c r="AV892" s="1759"/>
      <c r="AW892" s="1759"/>
      <c r="AX892" s="1759"/>
      <c r="AY892" s="1759"/>
      <c r="AZ892" s="1759"/>
      <c r="BA892" s="1759"/>
      <c r="BB892" s="1759"/>
      <c r="BC892" s="1759"/>
      <c r="BD892" s="1759"/>
      <c r="BE892" s="1759"/>
      <c r="BF892" s="1759"/>
      <c r="BG892" s="1056"/>
      <c r="BH892" s="540"/>
    </row>
    <row r="893" spans="1:60" x14ac:dyDescent="0.15">
      <c r="A893" s="1050"/>
      <c r="B893" s="1064"/>
      <c r="C893" s="1759" t="str">
        <f>+Nyilatkozatok!DK168</f>
        <v>– mezőgazdasági termékek elsődleges termelésével kapcsolatos tevékenység finanszírozására,</v>
      </c>
      <c r="D893" s="1759"/>
      <c r="E893" s="1759"/>
      <c r="F893" s="1759"/>
      <c r="G893" s="1759"/>
      <c r="H893" s="1759"/>
      <c r="I893" s="1759"/>
      <c r="J893" s="1759"/>
      <c r="K893" s="1759"/>
      <c r="L893" s="1759"/>
      <c r="M893" s="1759"/>
      <c r="N893" s="1759"/>
      <c r="O893" s="1759"/>
      <c r="P893" s="1759"/>
      <c r="Q893" s="1759"/>
      <c r="R893" s="1759"/>
      <c r="S893" s="1759"/>
      <c r="T893" s="1759"/>
      <c r="U893" s="1759"/>
      <c r="V893" s="1759"/>
      <c r="W893" s="1759"/>
      <c r="X893" s="1759"/>
      <c r="Y893" s="1759"/>
      <c r="Z893" s="1759"/>
      <c r="AA893" s="1759"/>
      <c r="AB893" s="1759"/>
      <c r="AC893" s="1759"/>
      <c r="AD893" s="1759"/>
      <c r="AE893" s="1759"/>
      <c r="AF893" s="1759"/>
      <c r="AG893" s="1759"/>
      <c r="AH893" s="1759"/>
      <c r="AI893" s="1759"/>
      <c r="AJ893" s="1759"/>
      <c r="AK893" s="1759"/>
      <c r="AL893" s="1759"/>
      <c r="AM893" s="1759"/>
      <c r="AN893" s="1759"/>
      <c r="AO893" s="1759"/>
      <c r="AP893" s="1759"/>
      <c r="AQ893" s="1759"/>
      <c r="AR893" s="1759"/>
      <c r="AS893" s="1759"/>
      <c r="AT893" s="1759"/>
      <c r="AU893" s="1759"/>
      <c r="AV893" s="1759"/>
      <c r="AW893" s="1759"/>
      <c r="AX893" s="1759"/>
      <c r="AY893" s="1759"/>
      <c r="AZ893" s="1759"/>
      <c r="BA893" s="1759"/>
      <c r="BB893" s="1759"/>
      <c r="BC893" s="1759"/>
      <c r="BD893" s="1759"/>
      <c r="BE893" s="1759"/>
      <c r="BF893" s="1759"/>
      <c r="BG893" s="1056"/>
      <c r="BH893" s="540"/>
    </row>
    <row r="894" spans="1:60" x14ac:dyDescent="0.15">
      <c r="A894" s="1050"/>
      <c r="B894" s="1064"/>
      <c r="C894" s="1759" t="str">
        <f>+Nyilatkozatok!DK169</f>
        <v>– a mezőgazdasági termékek feldolgozásával és forgalmazásával foglalkozó vállalkozásoknak nyújtott támogatás, a következő esetekben: 
o amennyiben a támogatás összege az elsődleges termelőktől beszerzett, vagy az érintett vállalkozások által forgalmazott ilyen termékek ára, vagy mennyisége alapján kerül rögzítésre;
o amennyiben a támogatás feltétele az elsődleges termelőknek történő teljes, vagy részleges továbbadás;</v>
      </c>
      <c r="D894" s="1759"/>
      <c r="E894" s="1759"/>
      <c r="F894" s="1759"/>
      <c r="G894" s="1759"/>
      <c r="H894" s="1759"/>
      <c r="I894" s="1759"/>
      <c r="J894" s="1759"/>
      <c r="K894" s="1759"/>
      <c r="L894" s="1759"/>
      <c r="M894" s="1759"/>
      <c r="N894" s="1759"/>
      <c r="O894" s="1759"/>
      <c r="P894" s="1759"/>
      <c r="Q894" s="1759"/>
      <c r="R894" s="1759"/>
      <c r="S894" s="1759"/>
      <c r="T894" s="1759"/>
      <c r="U894" s="1759"/>
      <c r="V894" s="1759"/>
      <c r="W894" s="1759"/>
      <c r="X894" s="1759"/>
      <c r="Y894" s="1759"/>
      <c r="Z894" s="1759"/>
      <c r="AA894" s="1759"/>
      <c r="AB894" s="1759"/>
      <c r="AC894" s="1759"/>
      <c r="AD894" s="1759"/>
      <c r="AE894" s="1759"/>
      <c r="AF894" s="1759"/>
      <c r="AG894" s="1759"/>
      <c r="AH894" s="1759"/>
      <c r="AI894" s="1759"/>
      <c r="AJ894" s="1759"/>
      <c r="AK894" s="1759"/>
      <c r="AL894" s="1759"/>
      <c r="AM894" s="1759"/>
      <c r="AN894" s="1759"/>
      <c r="AO894" s="1759"/>
      <c r="AP894" s="1759"/>
      <c r="AQ894" s="1759"/>
      <c r="AR894" s="1759"/>
      <c r="AS894" s="1759"/>
      <c r="AT894" s="1759"/>
      <c r="AU894" s="1759"/>
      <c r="AV894" s="1759"/>
      <c r="AW894" s="1759"/>
      <c r="AX894" s="1759"/>
      <c r="AY894" s="1759"/>
      <c r="AZ894" s="1759"/>
      <c r="BA894" s="1759"/>
      <c r="BB894" s="1759"/>
      <c r="BC894" s="1759"/>
      <c r="BD894" s="1759"/>
      <c r="BE894" s="1759"/>
      <c r="BF894" s="1759"/>
      <c r="BG894" s="1056"/>
      <c r="BH894" s="540"/>
    </row>
    <row r="895" spans="1:60" x14ac:dyDescent="0.15">
      <c r="A895" s="1050"/>
      <c r="B895" s="1064"/>
      <c r="C895" s="1759" t="str">
        <f>+Nyilatkozatok!DK170</f>
        <v>– már elfogadott uniós szabályok által előírt követelmények teljesítésére, akkor sem, ha azok még nem léptek hatályba</v>
      </c>
      <c r="D895" s="1759"/>
      <c r="E895" s="1759"/>
      <c r="F895" s="1759"/>
      <c r="G895" s="1759"/>
      <c r="H895" s="1759"/>
      <c r="I895" s="1759"/>
      <c r="J895" s="1759"/>
      <c r="K895" s="1759"/>
      <c r="L895" s="1759"/>
      <c r="M895" s="1759"/>
      <c r="N895" s="1759"/>
      <c r="O895" s="1759"/>
      <c r="P895" s="1759"/>
      <c r="Q895" s="1759"/>
      <c r="R895" s="1759"/>
      <c r="S895" s="1759"/>
      <c r="T895" s="1759"/>
      <c r="U895" s="1759"/>
      <c r="V895" s="1759"/>
      <c r="W895" s="1759"/>
      <c r="X895" s="1759"/>
      <c r="Y895" s="1759"/>
      <c r="Z895" s="1759"/>
      <c r="AA895" s="1759"/>
      <c r="AB895" s="1759"/>
      <c r="AC895" s="1759"/>
      <c r="AD895" s="1759"/>
      <c r="AE895" s="1759"/>
      <c r="AF895" s="1759"/>
      <c r="AG895" s="1759"/>
      <c r="AH895" s="1759"/>
      <c r="AI895" s="1759"/>
      <c r="AJ895" s="1759"/>
      <c r="AK895" s="1759"/>
      <c r="AL895" s="1759"/>
      <c r="AM895" s="1759"/>
      <c r="AN895" s="1759"/>
      <c r="AO895" s="1759"/>
      <c r="AP895" s="1759"/>
      <c r="AQ895" s="1759"/>
      <c r="AR895" s="1759"/>
      <c r="AS895" s="1759"/>
      <c r="AT895" s="1759"/>
      <c r="AU895" s="1759"/>
      <c r="AV895" s="1759"/>
      <c r="AW895" s="1759"/>
      <c r="AX895" s="1759"/>
      <c r="AY895" s="1759"/>
      <c r="AZ895" s="1759"/>
      <c r="BA895" s="1759"/>
      <c r="BB895" s="1759"/>
      <c r="BC895" s="1759"/>
      <c r="BD895" s="1759"/>
      <c r="BE895" s="1759"/>
      <c r="BF895" s="1759"/>
      <c r="BG895" s="1056"/>
      <c r="BH895" s="540"/>
    </row>
    <row r="896" spans="1:60" x14ac:dyDescent="0.15">
      <c r="A896" s="1050"/>
      <c r="B896" s="1064"/>
      <c r="C896" s="1759" t="str">
        <f>+Nyilatkozatok!DK171</f>
        <v>Továbbá kijelentem, hogy</v>
      </c>
      <c r="D896" s="1759"/>
      <c r="E896" s="1759"/>
      <c r="F896" s="1759"/>
      <c r="G896" s="1759"/>
      <c r="H896" s="1759"/>
      <c r="I896" s="1759"/>
      <c r="J896" s="1759"/>
      <c r="K896" s="1759"/>
      <c r="L896" s="1759"/>
      <c r="M896" s="1759"/>
      <c r="N896" s="1759"/>
      <c r="O896" s="1759"/>
      <c r="P896" s="1759"/>
      <c r="Q896" s="1759"/>
      <c r="R896" s="1759"/>
      <c r="S896" s="1759"/>
      <c r="T896" s="1759"/>
      <c r="U896" s="1759"/>
      <c r="V896" s="1759"/>
      <c r="W896" s="1759"/>
      <c r="X896" s="1759"/>
      <c r="Y896" s="1759"/>
      <c r="Z896" s="1759"/>
      <c r="AA896" s="1759"/>
      <c r="AB896" s="1759"/>
      <c r="AC896" s="1759"/>
      <c r="AD896" s="1759"/>
      <c r="AE896" s="1759"/>
      <c r="AF896" s="1759"/>
      <c r="AG896" s="1759"/>
      <c r="AH896" s="1759"/>
      <c r="AI896" s="1759"/>
      <c r="AJ896" s="1759"/>
      <c r="AK896" s="1759"/>
      <c r="AL896" s="1759"/>
      <c r="AM896" s="1759"/>
      <c r="AN896" s="1759"/>
      <c r="AO896" s="1759"/>
      <c r="AP896" s="1759"/>
      <c r="AQ896" s="1759"/>
      <c r="AR896" s="1759"/>
      <c r="AS896" s="1759"/>
      <c r="AT896" s="1759"/>
      <c r="AU896" s="1759"/>
      <c r="AV896" s="1759"/>
      <c r="AW896" s="1759"/>
      <c r="AX896" s="1759"/>
      <c r="AY896" s="1759"/>
      <c r="AZ896" s="1759"/>
      <c r="BA896" s="1759"/>
      <c r="BB896" s="1759"/>
      <c r="BC896" s="1759"/>
      <c r="BD896" s="1759"/>
      <c r="BE896" s="1759"/>
      <c r="BF896" s="1759"/>
      <c r="BG896" s="1056"/>
      <c r="BH896" s="540"/>
    </row>
    <row r="897" spans="1:60" x14ac:dyDescent="0.15">
      <c r="A897" s="1050"/>
      <c r="B897" s="1064"/>
      <c r="C897" s="1759" t="str">
        <f>+Nyilatkozatok!DK172</f>
        <v>– hogy a beruházást nem az uniós szabványoknak való megfelelés, hanem az energiahatékonyság növelése céljából valósítom meg</v>
      </c>
      <c r="D897" s="1759"/>
      <c r="E897" s="1759"/>
      <c r="F897" s="1759"/>
      <c r="G897" s="1759"/>
      <c r="H897" s="1759"/>
      <c r="I897" s="1759"/>
      <c r="J897" s="1759"/>
      <c r="K897" s="1759"/>
      <c r="L897" s="1759"/>
      <c r="M897" s="1759"/>
      <c r="N897" s="1759"/>
      <c r="O897" s="1759"/>
      <c r="P897" s="1759"/>
      <c r="Q897" s="1759"/>
      <c r="R897" s="1759"/>
      <c r="S897" s="1759"/>
      <c r="T897" s="1759"/>
      <c r="U897" s="1759"/>
      <c r="V897" s="1759"/>
      <c r="W897" s="1759"/>
      <c r="X897" s="1759"/>
      <c r="Y897" s="1759"/>
      <c r="Z897" s="1759"/>
      <c r="AA897" s="1759"/>
      <c r="AB897" s="1759"/>
      <c r="AC897" s="1759"/>
      <c r="AD897" s="1759"/>
      <c r="AE897" s="1759"/>
      <c r="AF897" s="1759"/>
      <c r="AG897" s="1759"/>
      <c r="AH897" s="1759"/>
      <c r="AI897" s="1759"/>
      <c r="AJ897" s="1759"/>
      <c r="AK897" s="1759"/>
      <c r="AL897" s="1759"/>
      <c r="AM897" s="1759"/>
      <c r="AN897" s="1759"/>
      <c r="AO897" s="1759"/>
      <c r="AP897" s="1759"/>
      <c r="AQ897" s="1759"/>
      <c r="AR897" s="1759"/>
      <c r="AS897" s="1759"/>
      <c r="AT897" s="1759"/>
      <c r="AU897" s="1759"/>
      <c r="AV897" s="1759"/>
      <c r="AW897" s="1759"/>
      <c r="AX897" s="1759"/>
      <c r="AY897" s="1759"/>
      <c r="AZ897" s="1759"/>
      <c r="BA897" s="1759"/>
      <c r="BB897" s="1759"/>
      <c r="BC897" s="1759"/>
      <c r="BD897" s="1759"/>
      <c r="BE897" s="1759"/>
      <c r="BF897" s="1759"/>
      <c r="BG897" s="1056"/>
      <c r="BH897" s="540"/>
    </row>
    <row r="898" spans="1:60" x14ac:dyDescent="0.15">
      <c r="A898" s="1050"/>
      <c r="B898" s="1076"/>
      <c r="C898" s="1759" t="str">
        <f>+Nyilatkozatok!DK173</f>
        <v>– a Termékleírásban meghatározott mértékű saját erővel rendelkezem</v>
      </c>
      <c r="D898" s="1759"/>
      <c r="E898" s="1759"/>
      <c r="F898" s="1759"/>
      <c r="G898" s="1759"/>
      <c r="H898" s="1759"/>
      <c r="I898" s="1759"/>
      <c r="J898" s="1759"/>
      <c r="K898" s="1759"/>
      <c r="L898" s="1759"/>
      <c r="M898" s="1759"/>
      <c r="N898" s="1759"/>
      <c r="O898" s="1759"/>
      <c r="P898" s="1759"/>
      <c r="Q898" s="1759"/>
      <c r="R898" s="1759"/>
      <c r="S898" s="1759"/>
      <c r="T898" s="1759"/>
      <c r="U898" s="1759"/>
      <c r="V898" s="1759"/>
      <c r="W898" s="1759"/>
      <c r="X898" s="1759"/>
      <c r="Y898" s="1759"/>
      <c r="Z898" s="1759"/>
      <c r="AA898" s="1759"/>
      <c r="AB898" s="1759"/>
      <c r="AC898" s="1759"/>
      <c r="AD898" s="1759"/>
      <c r="AE898" s="1759"/>
      <c r="AF898" s="1759"/>
      <c r="AG898" s="1759"/>
      <c r="AH898" s="1759"/>
      <c r="AI898" s="1759"/>
      <c r="AJ898" s="1759"/>
      <c r="AK898" s="1759"/>
      <c r="AL898" s="1759"/>
      <c r="AM898" s="1759"/>
      <c r="AN898" s="1759"/>
      <c r="AO898" s="1759"/>
      <c r="AP898" s="1759"/>
      <c r="AQ898" s="1759"/>
      <c r="AR898" s="1759"/>
      <c r="AS898" s="1759"/>
      <c r="AT898" s="1759"/>
      <c r="AU898" s="1759"/>
      <c r="AV898" s="1759"/>
      <c r="AW898" s="1759"/>
      <c r="AX898" s="1759"/>
      <c r="AY898" s="1759"/>
      <c r="AZ898" s="1759"/>
      <c r="BA898" s="1759"/>
      <c r="BB898" s="1759"/>
      <c r="BC898" s="1759"/>
      <c r="BD898" s="1759"/>
      <c r="BE898" s="1759"/>
      <c r="BF898" s="1759"/>
      <c r="BG898" s="1056"/>
      <c r="BH898" s="540"/>
    </row>
    <row r="899" spans="1:60" x14ac:dyDescent="0.15">
      <c r="A899" s="1050"/>
      <c r="B899" s="1076"/>
      <c r="C899" s="1759" t="str">
        <f>+Nyilatkozatok!DK174</f>
        <v>– amennyiben ÁFA visszaigénylésre jogosult vagyok, rendelkezem az ÁFA megfizetéséhez szükséges forrással</v>
      </c>
      <c r="D899" s="1759"/>
      <c r="E899" s="1759"/>
      <c r="F899" s="1759"/>
      <c r="G899" s="1759"/>
      <c r="H899" s="1759"/>
      <c r="I899" s="1759"/>
      <c r="J899" s="1759"/>
      <c r="K899" s="1759"/>
      <c r="L899" s="1759"/>
      <c r="M899" s="1759"/>
      <c r="N899" s="1759"/>
      <c r="O899" s="1759"/>
      <c r="P899" s="1759"/>
      <c r="Q899" s="1759"/>
      <c r="R899" s="1759"/>
      <c r="S899" s="1759"/>
      <c r="T899" s="1759"/>
      <c r="U899" s="1759"/>
      <c r="V899" s="1759"/>
      <c r="W899" s="1759"/>
      <c r="X899" s="1759"/>
      <c r="Y899" s="1759"/>
      <c r="Z899" s="1759"/>
      <c r="AA899" s="1759"/>
      <c r="AB899" s="1759"/>
      <c r="AC899" s="1759"/>
      <c r="AD899" s="1759"/>
      <c r="AE899" s="1759"/>
      <c r="AF899" s="1759"/>
      <c r="AG899" s="1759"/>
      <c r="AH899" s="1759"/>
      <c r="AI899" s="1759"/>
      <c r="AJ899" s="1759"/>
      <c r="AK899" s="1759"/>
      <c r="AL899" s="1759"/>
      <c r="AM899" s="1759"/>
      <c r="AN899" s="1759"/>
      <c r="AO899" s="1759"/>
      <c r="AP899" s="1759"/>
      <c r="AQ899" s="1759"/>
      <c r="AR899" s="1759"/>
      <c r="AS899" s="1759"/>
      <c r="AT899" s="1759"/>
      <c r="AU899" s="1759"/>
      <c r="AV899" s="1759"/>
      <c r="AW899" s="1759"/>
      <c r="AX899" s="1759"/>
      <c r="AY899" s="1759"/>
      <c r="AZ899" s="1759"/>
      <c r="BA899" s="1759"/>
      <c r="BB899" s="1759"/>
      <c r="BC899" s="1759"/>
      <c r="BD899" s="1759"/>
      <c r="BE899" s="1759"/>
      <c r="BF899" s="1759"/>
      <c r="BG899" s="1056"/>
      <c r="BH899" s="540"/>
    </row>
    <row r="900" spans="1:60" x14ac:dyDescent="0.15">
      <c r="A900" s="1050"/>
      <c r="B900" s="1074"/>
      <c r="C900" s="1759" t="str">
        <f>+Nyilatkozatok!DK175</f>
        <v>Tudomásul veszem, hogy:</v>
      </c>
      <c r="D900" s="1759"/>
      <c r="E900" s="1759"/>
      <c r="F900" s="1759"/>
      <c r="G900" s="1759"/>
      <c r="H900" s="1759"/>
      <c r="I900" s="1759"/>
      <c r="J900" s="1759"/>
      <c r="K900" s="1759"/>
      <c r="L900" s="1759"/>
      <c r="M900" s="1759"/>
      <c r="N900" s="1759"/>
      <c r="O900" s="1759"/>
      <c r="P900" s="1759"/>
      <c r="Q900" s="1759"/>
      <c r="R900" s="1759"/>
      <c r="S900" s="1759"/>
      <c r="T900" s="1759"/>
      <c r="U900" s="1759"/>
      <c r="V900" s="1759"/>
      <c r="W900" s="1759"/>
      <c r="X900" s="1759"/>
      <c r="Y900" s="1759"/>
      <c r="Z900" s="1759"/>
      <c r="AA900" s="1759"/>
      <c r="AB900" s="1759"/>
      <c r="AC900" s="1759"/>
      <c r="AD900" s="1759"/>
      <c r="AE900" s="1759"/>
      <c r="AF900" s="1759"/>
      <c r="AG900" s="1759"/>
      <c r="AH900" s="1759"/>
      <c r="AI900" s="1759"/>
      <c r="AJ900" s="1759"/>
      <c r="AK900" s="1759"/>
      <c r="AL900" s="1759"/>
      <c r="AM900" s="1759"/>
      <c r="AN900" s="1759"/>
      <c r="AO900" s="1759"/>
      <c r="AP900" s="1759"/>
      <c r="AQ900" s="1759"/>
      <c r="AR900" s="1759"/>
      <c r="AS900" s="1759"/>
      <c r="AT900" s="1759"/>
      <c r="AU900" s="1759"/>
      <c r="AV900" s="1759"/>
      <c r="AW900" s="1759"/>
      <c r="AX900" s="1759"/>
      <c r="AY900" s="1759"/>
      <c r="AZ900" s="1759"/>
      <c r="BA900" s="1759"/>
      <c r="BB900" s="1759"/>
      <c r="BC900" s="1759"/>
      <c r="BD900" s="1759"/>
      <c r="BE900" s="1759"/>
      <c r="BF900" s="1759"/>
      <c r="BG900" s="1056"/>
      <c r="BH900" s="540"/>
    </row>
    <row r="901" spans="1:60" x14ac:dyDescent="0.15">
      <c r="A901" s="1050"/>
      <c r="B901" s="1064"/>
      <c r="C901" s="1759" t="str">
        <f>+Nyilatkozatok!DK176</f>
        <v>– az elszámolható költségek a magasabb energiahatékonysági szint eléréhez szükséges többletköltségek, az ehhez közvetlenül nem kapcsolódó költségeket nem számolom el</v>
      </c>
      <c r="D901" s="1759"/>
      <c r="E901" s="1759"/>
      <c r="F901" s="1759"/>
      <c r="G901" s="1759"/>
      <c r="H901" s="1759"/>
      <c r="I901" s="1759"/>
      <c r="J901" s="1759"/>
      <c r="K901" s="1759"/>
      <c r="L901" s="1759"/>
      <c r="M901" s="1759"/>
      <c r="N901" s="1759"/>
      <c r="O901" s="1759"/>
      <c r="P901" s="1759"/>
      <c r="Q901" s="1759"/>
      <c r="R901" s="1759"/>
      <c r="S901" s="1759"/>
      <c r="T901" s="1759"/>
      <c r="U901" s="1759"/>
      <c r="V901" s="1759"/>
      <c r="W901" s="1759"/>
      <c r="X901" s="1759"/>
      <c r="Y901" s="1759"/>
      <c r="Z901" s="1759"/>
      <c r="AA901" s="1759"/>
      <c r="AB901" s="1759"/>
      <c r="AC901" s="1759"/>
      <c r="AD901" s="1759"/>
      <c r="AE901" s="1759"/>
      <c r="AF901" s="1759"/>
      <c r="AG901" s="1759"/>
      <c r="AH901" s="1759"/>
      <c r="AI901" s="1759"/>
      <c r="AJ901" s="1759"/>
      <c r="AK901" s="1759"/>
      <c r="AL901" s="1759"/>
      <c r="AM901" s="1759"/>
      <c r="AN901" s="1759"/>
      <c r="AO901" s="1759"/>
      <c r="AP901" s="1759"/>
      <c r="AQ901" s="1759"/>
      <c r="AR901" s="1759"/>
      <c r="AS901" s="1759"/>
      <c r="AT901" s="1759"/>
      <c r="AU901" s="1759"/>
      <c r="AV901" s="1759"/>
      <c r="AW901" s="1759"/>
      <c r="AX901" s="1759"/>
      <c r="AY901" s="1759"/>
      <c r="AZ901" s="1759"/>
      <c r="BA901" s="1759"/>
      <c r="BB901" s="1759"/>
      <c r="BC901" s="1759"/>
      <c r="BD901" s="1759"/>
      <c r="BE901" s="1759"/>
      <c r="BF901" s="1759"/>
      <c r="BG901" s="1056"/>
      <c r="BH901" s="540"/>
    </row>
    <row r="902" spans="1:60" x14ac:dyDescent="0.15">
      <c r="A902" s="1050"/>
      <c r="B902" s="1064"/>
      <c r="C902" s="1759" t="str">
        <f>+Nyilatkozatok!DK177</f>
        <v/>
      </c>
      <c r="D902" s="1759"/>
      <c r="E902" s="1759"/>
      <c r="F902" s="1759"/>
      <c r="G902" s="1759"/>
      <c r="H902" s="1759"/>
      <c r="I902" s="1759"/>
      <c r="J902" s="1759"/>
      <c r="K902" s="1759"/>
      <c r="L902" s="1759"/>
      <c r="M902" s="1759"/>
      <c r="N902" s="1759"/>
      <c r="O902" s="1759"/>
      <c r="P902" s="1759"/>
      <c r="Q902" s="1759"/>
      <c r="R902" s="1759"/>
      <c r="S902" s="1759"/>
      <c r="T902" s="1759"/>
      <c r="U902" s="1759"/>
      <c r="V902" s="1759"/>
      <c r="W902" s="1759"/>
      <c r="X902" s="1759"/>
      <c r="Y902" s="1759"/>
      <c r="Z902" s="1759"/>
      <c r="AA902" s="1759"/>
      <c r="AB902" s="1759"/>
      <c r="AC902" s="1759"/>
      <c r="AD902" s="1759"/>
      <c r="AE902" s="1759"/>
      <c r="AF902" s="1759"/>
      <c r="AG902" s="1759"/>
      <c r="AH902" s="1759"/>
      <c r="AI902" s="1759"/>
      <c r="AJ902" s="1759"/>
      <c r="AK902" s="1759"/>
      <c r="AL902" s="1759"/>
      <c r="AM902" s="1759"/>
      <c r="AN902" s="1759"/>
      <c r="AO902" s="1759"/>
      <c r="AP902" s="1759"/>
      <c r="AQ902" s="1759"/>
      <c r="AR902" s="1759"/>
      <c r="AS902" s="1759"/>
      <c r="AT902" s="1759"/>
      <c r="AU902" s="1759"/>
      <c r="AV902" s="1759"/>
      <c r="AW902" s="1759"/>
      <c r="AX902" s="1759"/>
      <c r="AY902" s="1759"/>
      <c r="AZ902" s="1759"/>
      <c r="BA902" s="1759"/>
      <c r="BB902" s="1759"/>
      <c r="BC902" s="1759"/>
      <c r="BD902" s="1759"/>
      <c r="BE902" s="1759"/>
      <c r="BF902" s="1759"/>
      <c r="BG902" s="1056"/>
      <c r="BH902" s="540"/>
    </row>
    <row r="903" spans="1:60" x14ac:dyDescent="0.15">
      <c r="A903" s="1050"/>
      <c r="B903" s="1064"/>
      <c r="C903" s="1759" t="str">
        <f>+Nyilatkozatok!DK178</f>
        <v/>
      </c>
      <c r="D903" s="1759"/>
      <c r="E903" s="1759"/>
      <c r="F903" s="1759"/>
      <c r="G903" s="1759"/>
      <c r="H903" s="1759"/>
      <c r="I903" s="1759"/>
      <c r="J903" s="1759"/>
      <c r="K903" s="1759"/>
      <c r="L903" s="1759"/>
      <c r="M903" s="1759"/>
      <c r="N903" s="1759"/>
      <c r="O903" s="1759"/>
      <c r="P903" s="1759"/>
      <c r="Q903" s="1759"/>
      <c r="R903" s="1759"/>
      <c r="S903" s="1759"/>
      <c r="T903" s="1759"/>
      <c r="U903" s="1759"/>
      <c r="V903" s="1759"/>
      <c r="W903" s="1759"/>
      <c r="X903" s="1759"/>
      <c r="Y903" s="1759"/>
      <c r="Z903" s="1759"/>
      <c r="AA903" s="1759"/>
      <c r="AB903" s="1759"/>
      <c r="AC903" s="1759"/>
      <c r="AD903" s="1759"/>
      <c r="AE903" s="1759"/>
      <c r="AF903" s="1759"/>
      <c r="AG903" s="1759"/>
      <c r="AH903" s="1759"/>
      <c r="AI903" s="1759"/>
      <c r="AJ903" s="1759"/>
      <c r="AK903" s="1759"/>
      <c r="AL903" s="1759"/>
      <c r="AM903" s="1759"/>
      <c r="AN903" s="1759"/>
      <c r="AO903" s="1759"/>
      <c r="AP903" s="1759"/>
      <c r="AQ903" s="1759"/>
      <c r="AR903" s="1759"/>
      <c r="AS903" s="1759"/>
      <c r="AT903" s="1759"/>
      <c r="AU903" s="1759"/>
      <c r="AV903" s="1759"/>
      <c r="AW903" s="1759"/>
      <c r="AX903" s="1759"/>
      <c r="AY903" s="1759"/>
      <c r="AZ903" s="1759"/>
      <c r="BA903" s="1759"/>
      <c r="BB903" s="1759"/>
      <c r="BC903" s="1759"/>
      <c r="BD903" s="1759"/>
      <c r="BE903" s="1759"/>
      <c r="BF903" s="1759"/>
      <c r="BG903" s="1056"/>
      <c r="BH903" s="540"/>
    </row>
    <row r="904" spans="1:60" x14ac:dyDescent="0.15">
      <c r="A904" s="1050"/>
      <c r="B904" s="1064"/>
      <c r="C904" s="1759" t="str">
        <f>+Nyilatkozatok!DK179</f>
        <v/>
      </c>
      <c r="D904" s="1759"/>
      <c r="E904" s="1759"/>
      <c r="F904" s="1759"/>
      <c r="G904" s="1759"/>
      <c r="H904" s="1759"/>
      <c r="I904" s="1759"/>
      <c r="J904" s="1759"/>
      <c r="K904" s="1759"/>
      <c r="L904" s="1759"/>
      <c r="M904" s="1759"/>
      <c r="N904" s="1759"/>
      <c r="O904" s="1759"/>
      <c r="P904" s="1759"/>
      <c r="Q904" s="1759"/>
      <c r="R904" s="1759"/>
      <c r="S904" s="1759"/>
      <c r="T904" s="1759"/>
      <c r="U904" s="1759"/>
      <c r="V904" s="1759"/>
      <c r="W904" s="1759"/>
      <c r="X904" s="1759"/>
      <c r="Y904" s="1759"/>
      <c r="Z904" s="1759"/>
      <c r="AA904" s="1759"/>
      <c r="AB904" s="1759"/>
      <c r="AC904" s="1759"/>
      <c r="AD904" s="1759"/>
      <c r="AE904" s="1759"/>
      <c r="AF904" s="1759"/>
      <c r="AG904" s="1759"/>
      <c r="AH904" s="1759"/>
      <c r="AI904" s="1759"/>
      <c r="AJ904" s="1759"/>
      <c r="AK904" s="1759"/>
      <c r="AL904" s="1759"/>
      <c r="AM904" s="1759"/>
      <c r="AN904" s="1759"/>
      <c r="AO904" s="1759"/>
      <c r="AP904" s="1759"/>
      <c r="AQ904" s="1759"/>
      <c r="AR904" s="1759"/>
      <c r="AS904" s="1759"/>
      <c r="AT904" s="1759"/>
      <c r="AU904" s="1759"/>
      <c r="AV904" s="1759"/>
      <c r="AW904" s="1759"/>
      <c r="AX904" s="1759"/>
      <c r="AY904" s="1759"/>
      <c r="AZ904" s="1759"/>
      <c r="BA904" s="1759"/>
      <c r="BB904" s="1759"/>
      <c r="BC904" s="1759"/>
      <c r="BD904" s="1759"/>
      <c r="BE904" s="1759"/>
      <c r="BF904" s="1759"/>
      <c r="BG904" s="1056"/>
      <c r="BH904" s="540"/>
    </row>
    <row r="905" spans="1:60" x14ac:dyDescent="0.15">
      <c r="A905" s="1050"/>
      <c r="B905" s="1064"/>
      <c r="C905" s="1759" t="str">
        <f>+Nyilatkozatok!DK180</f>
        <v/>
      </c>
      <c r="D905" s="1759"/>
      <c r="E905" s="1759"/>
      <c r="F905" s="1759"/>
      <c r="G905" s="1759"/>
      <c r="H905" s="1759"/>
      <c r="I905" s="1759"/>
      <c r="J905" s="1759"/>
      <c r="K905" s="1759"/>
      <c r="L905" s="1759"/>
      <c r="M905" s="1759"/>
      <c r="N905" s="1759"/>
      <c r="O905" s="1759"/>
      <c r="P905" s="1759"/>
      <c r="Q905" s="1759"/>
      <c r="R905" s="1759"/>
      <c r="S905" s="1759"/>
      <c r="T905" s="1759"/>
      <c r="U905" s="1759"/>
      <c r="V905" s="1759"/>
      <c r="W905" s="1759"/>
      <c r="X905" s="1759"/>
      <c r="Y905" s="1759"/>
      <c r="Z905" s="1759"/>
      <c r="AA905" s="1759"/>
      <c r="AB905" s="1759"/>
      <c r="AC905" s="1759"/>
      <c r="AD905" s="1759"/>
      <c r="AE905" s="1759"/>
      <c r="AF905" s="1759"/>
      <c r="AG905" s="1759"/>
      <c r="AH905" s="1759"/>
      <c r="AI905" s="1759"/>
      <c r="AJ905" s="1759"/>
      <c r="AK905" s="1759"/>
      <c r="AL905" s="1759"/>
      <c r="AM905" s="1759"/>
      <c r="AN905" s="1759"/>
      <c r="AO905" s="1759"/>
      <c r="AP905" s="1759"/>
      <c r="AQ905" s="1759"/>
      <c r="AR905" s="1759"/>
      <c r="AS905" s="1759"/>
      <c r="AT905" s="1759"/>
      <c r="AU905" s="1759"/>
      <c r="AV905" s="1759"/>
      <c r="AW905" s="1759"/>
      <c r="AX905" s="1759"/>
      <c r="AY905" s="1759"/>
      <c r="AZ905" s="1759"/>
      <c r="BA905" s="1759"/>
      <c r="BB905" s="1759"/>
      <c r="BC905" s="1759"/>
      <c r="BD905" s="1759"/>
      <c r="BE905" s="1759"/>
      <c r="BF905" s="1759"/>
      <c r="BG905" s="1056"/>
      <c r="BH905" s="540"/>
    </row>
    <row r="906" spans="1:60" x14ac:dyDescent="0.15">
      <c r="A906" s="1050"/>
      <c r="B906" s="1064"/>
      <c r="C906" s="1759" t="str">
        <f>+Nyilatkozatok!DK181</f>
        <v/>
      </c>
      <c r="D906" s="1759"/>
      <c r="E906" s="1759"/>
      <c r="F906" s="1759"/>
      <c r="G906" s="1759"/>
      <c r="H906" s="1759"/>
      <c r="I906" s="1759"/>
      <c r="J906" s="1759"/>
      <c r="K906" s="1759"/>
      <c r="L906" s="1759"/>
      <c r="M906" s="1759"/>
      <c r="N906" s="1759"/>
      <c r="O906" s="1759"/>
      <c r="P906" s="1759"/>
      <c r="Q906" s="1759"/>
      <c r="R906" s="1759"/>
      <c r="S906" s="1759"/>
      <c r="T906" s="1759"/>
      <c r="U906" s="1759"/>
      <c r="V906" s="1759"/>
      <c r="W906" s="1759"/>
      <c r="X906" s="1759"/>
      <c r="Y906" s="1759"/>
      <c r="Z906" s="1759"/>
      <c r="AA906" s="1759"/>
      <c r="AB906" s="1759"/>
      <c r="AC906" s="1759"/>
      <c r="AD906" s="1759"/>
      <c r="AE906" s="1759"/>
      <c r="AF906" s="1759"/>
      <c r="AG906" s="1759"/>
      <c r="AH906" s="1759"/>
      <c r="AI906" s="1759"/>
      <c r="AJ906" s="1759"/>
      <c r="AK906" s="1759"/>
      <c r="AL906" s="1759"/>
      <c r="AM906" s="1759"/>
      <c r="AN906" s="1759"/>
      <c r="AO906" s="1759"/>
      <c r="AP906" s="1759"/>
      <c r="AQ906" s="1759"/>
      <c r="AR906" s="1759"/>
      <c r="AS906" s="1759"/>
      <c r="AT906" s="1759"/>
      <c r="AU906" s="1759"/>
      <c r="AV906" s="1759"/>
      <c r="AW906" s="1759"/>
      <c r="AX906" s="1759"/>
      <c r="AY906" s="1759"/>
      <c r="AZ906" s="1759"/>
      <c r="BA906" s="1759"/>
      <c r="BB906" s="1759"/>
      <c r="BC906" s="1759"/>
      <c r="BD906" s="1759"/>
      <c r="BE906" s="1759"/>
      <c r="BF906" s="1759"/>
      <c r="BG906" s="1056"/>
      <c r="BH906" s="540"/>
    </row>
    <row r="907" spans="1:60" x14ac:dyDescent="0.15">
      <c r="A907" s="1050"/>
      <c r="B907" s="1064"/>
      <c r="C907" s="1759" t="str">
        <f>+Nyilatkozatok!DK182</f>
        <v/>
      </c>
      <c r="D907" s="1759"/>
      <c r="E907" s="1759"/>
      <c r="F907" s="1759"/>
      <c r="G907" s="1759"/>
      <c r="H907" s="1759"/>
      <c r="I907" s="1759"/>
      <c r="J907" s="1759"/>
      <c r="K907" s="1759"/>
      <c r="L907" s="1759"/>
      <c r="M907" s="1759"/>
      <c r="N907" s="1759"/>
      <c r="O907" s="1759"/>
      <c r="P907" s="1759"/>
      <c r="Q907" s="1759"/>
      <c r="R907" s="1759"/>
      <c r="S907" s="1759"/>
      <c r="T907" s="1759"/>
      <c r="U907" s="1759"/>
      <c r="V907" s="1759"/>
      <c r="W907" s="1759"/>
      <c r="X907" s="1759"/>
      <c r="Y907" s="1759"/>
      <c r="Z907" s="1759"/>
      <c r="AA907" s="1759"/>
      <c r="AB907" s="1759"/>
      <c r="AC907" s="1759"/>
      <c r="AD907" s="1759"/>
      <c r="AE907" s="1759"/>
      <c r="AF907" s="1759"/>
      <c r="AG907" s="1759"/>
      <c r="AH907" s="1759"/>
      <c r="AI907" s="1759"/>
      <c r="AJ907" s="1759"/>
      <c r="AK907" s="1759"/>
      <c r="AL907" s="1759"/>
      <c r="AM907" s="1759"/>
      <c r="AN907" s="1759"/>
      <c r="AO907" s="1759"/>
      <c r="AP907" s="1759"/>
      <c r="AQ907" s="1759"/>
      <c r="AR907" s="1759"/>
      <c r="AS907" s="1759"/>
      <c r="AT907" s="1759"/>
      <c r="AU907" s="1759"/>
      <c r="AV907" s="1759"/>
      <c r="AW907" s="1759"/>
      <c r="AX907" s="1759"/>
      <c r="AY907" s="1759"/>
      <c r="AZ907" s="1759"/>
      <c r="BA907" s="1759"/>
      <c r="BB907" s="1759"/>
      <c r="BC907" s="1759"/>
      <c r="BD907" s="1759"/>
      <c r="BE907" s="1759"/>
      <c r="BF907" s="1759"/>
      <c r="BG907" s="1056"/>
      <c r="BH907" s="540"/>
    </row>
    <row r="908" spans="1:60" x14ac:dyDescent="0.15">
      <c r="A908" s="1050"/>
      <c r="B908" s="1064"/>
      <c r="C908" s="1759" t="str">
        <f>+Nyilatkozatok!DK183</f>
        <v/>
      </c>
      <c r="D908" s="1759"/>
      <c r="E908" s="1759"/>
      <c r="F908" s="1759"/>
      <c r="G908" s="1759"/>
      <c r="H908" s="1759"/>
      <c r="I908" s="1759"/>
      <c r="J908" s="1759"/>
      <c r="K908" s="1759"/>
      <c r="L908" s="1759"/>
      <c r="M908" s="1759"/>
      <c r="N908" s="1759"/>
      <c r="O908" s="1759"/>
      <c r="P908" s="1759"/>
      <c r="Q908" s="1759"/>
      <c r="R908" s="1759"/>
      <c r="S908" s="1759"/>
      <c r="T908" s="1759"/>
      <c r="U908" s="1759"/>
      <c r="V908" s="1759"/>
      <c r="W908" s="1759"/>
      <c r="X908" s="1759"/>
      <c r="Y908" s="1759"/>
      <c r="Z908" s="1759"/>
      <c r="AA908" s="1759"/>
      <c r="AB908" s="1759"/>
      <c r="AC908" s="1759"/>
      <c r="AD908" s="1759"/>
      <c r="AE908" s="1759"/>
      <c r="AF908" s="1759"/>
      <c r="AG908" s="1759"/>
      <c r="AH908" s="1759"/>
      <c r="AI908" s="1759"/>
      <c r="AJ908" s="1759"/>
      <c r="AK908" s="1759"/>
      <c r="AL908" s="1759"/>
      <c r="AM908" s="1759"/>
      <c r="AN908" s="1759"/>
      <c r="AO908" s="1759"/>
      <c r="AP908" s="1759"/>
      <c r="AQ908" s="1759"/>
      <c r="AR908" s="1759"/>
      <c r="AS908" s="1759"/>
      <c r="AT908" s="1759"/>
      <c r="AU908" s="1759"/>
      <c r="AV908" s="1759"/>
      <c r="AW908" s="1759"/>
      <c r="AX908" s="1759"/>
      <c r="AY908" s="1759"/>
      <c r="AZ908" s="1759"/>
      <c r="BA908" s="1759"/>
      <c r="BB908" s="1759"/>
      <c r="BC908" s="1759"/>
      <c r="BD908" s="1759"/>
      <c r="BE908" s="1759"/>
      <c r="BF908" s="1759"/>
      <c r="BG908" s="1056"/>
      <c r="BH908" s="540"/>
    </row>
    <row r="909" spans="1:60" x14ac:dyDescent="0.15">
      <c r="A909" s="1050"/>
      <c r="B909" s="1064"/>
      <c r="C909" s="1779" t="s">
        <v>787</v>
      </c>
      <c r="D909" s="1761"/>
      <c r="E909" s="1761"/>
      <c r="F909" s="1761"/>
      <c r="G909" s="1761"/>
      <c r="H909" s="1761"/>
      <c r="I909" s="1761"/>
      <c r="J909" s="1761"/>
      <c r="K909" s="1761"/>
      <c r="L909" s="1761"/>
      <c r="M909" s="1761"/>
      <c r="N909" s="1761"/>
      <c r="O909" s="1761"/>
      <c r="P909" s="1761"/>
      <c r="Q909" s="1761"/>
      <c r="R909" s="1761"/>
      <c r="S909" s="1761"/>
      <c r="T909" s="1761"/>
      <c r="U909" s="1761"/>
      <c r="V909" s="1761"/>
      <c r="W909" s="1761"/>
      <c r="X909" s="1761"/>
      <c r="Y909" s="1761"/>
      <c r="Z909" s="1761"/>
      <c r="AA909" s="1761"/>
      <c r="AB909" s="1761"/>
      <c r="AC909" s="1761"/>
      <c r="AD909" s="1761"/>
      <c r="AE909" s="1761"/>
      <c r="AF909" s="1761"/>
      <c r="AG909" s="1761"/>
      <c r="AH909" s="1761"/>
      <c r="AI909" s="1761"/>
      <c r="AJ909" s="1761"/>
      <c r="AK909" s="1761"/>
      <c r="AL909" s="1761"/>
      <c r="AM909" s="1761"/>
      <c r="AN909" s="1761"/>
      <c r="AO909" s="1761"/>
      <c r="AP909" s="1761"/>
      <c r="AQ909" s="1761"/>
      <c r="AR909" s="1761"/>
      <c r="AS909" s="1761"/>
      <c r="AT909" s="1761"/>
      <c r="AU909" s="1761"/>
      <c r="AV909" s="1761"/>
      <c r="AW909" s="1761"/>
      <c r="AX909" s="1761"/>
      <c r="AY909" s="1761"/>
      <c r="AZ909" s="1761"/>
      <c r="BA909" s="1761"/>
      <c r="BB909" s="1761"/>
      <c r="BC909" s="1761"/>
      <c r="BD909" s="1761"/>
      <c r="BE909" s="1761"/>
      <c r="BF909" s="1761"/>
      <c r="BG909" s="1056"/>
      <c r="BH909" s="540"/>
    </row>
    <row r="910" spans="1:60" x14ac:dyDescent="0.15">
      <c r="A910" s="1050"/>
      <c r="B910" s="1053"/>
      <c r="C910" s="1760"/>
      <c r="D910" s="1760"/>
      <c r="E910" s="1760"/>
      <c r="F910" s="1760"/>
      <c r="G910" s="1760"/>
      <c r="H910" s="1760"/>
      <c r="I910" s="1760"/>
      <c r="J910" s="1760"/>
      <c r="K910" s="1760"/>
      <c r="L910" s="1760"/>
      <c r="M910" s="1760"/>
      <c r="N910" s="1760"/>
      <c r="O910" s="1760"/>
      <c r="P910" s="1760"/>
      <c r="Q910" s="1760"/>
      <c r="R910" s="1760"/>
      <c r="S910" s="1760"/>
      <c r="T910" s="1760"/>
      <c r="U910" s="1760"/>
      <c r="V910" s="1760"/>
      <c r="W910" s="1760"/>
      <c r="X910" s="1760"/>
      <c r="Y910" s="1760"/>
      <c r="Z910" s="1760"/>
      <c r="AA910" s="1760"/>
      <c r="AB910" s="1760"/>
      <c r="AC910" s="1760"/>
      <c r="AD910" s="1760"/>
      <c r="AE910" s="1760"/>
      <c r="AF910" s="1760"/>
      <c r="AG910" s="1760"/>
      <c r="AH910" s="1760"/>
      <c r="AI910" s="1760"/>
      <c r="AJ910" s="1760"/>
      <c r="AK910" s="1760"/>
      <c r="AL910" s="1760"/>
      <c r="AM910" s="1760"/>
      <c r="AN910" s="1760"/>
      <c r="AO910" s="1760"/>
      <c r="AP910" s="1760"/>
      <c r="AQ910" s="1760"/>
      <c r="AR910" s="1760"/>
      <c r="AS910" s="1760"/>
      <c r="AT910" s="1760"/>
      <c r="AU910" s="1760"/>
      <c r="AV910" s="1760"/>
      <c r="AW910" s="1760"/>
      <c r="AX910" s="1760"/>
      <c r="AY910" s="1760"/>
      <c r="AZ910" s="1760"/>
      <c r="BA910" s="1760"/>
      <c r="BB910" s="1760"/>
      <c r="BC910" s="1760"/>
      <c r="BD910" s="1760"/>
      <c r="BE910" s="1760"/>
      <c r="BF910" s="1760"/>
      <c r="BG910" s="1071"/>
      <c r="BH910" s="540"/>
    </row>
    <row r="911" spans="1:60" x14ac:dyDescent="0.15">
      <c r="A911" s="1050"/>
      <c r="B911" s="1064"/>
      <c r="C911" s="1760"/>
      <c r="D911" s="1760"/>
      <c r="E911" s="1760"/>
      <c r="F911" s="1760"/>
      <c r="G911" s="1760"/>
      <c r="H911" s="1760"/>
      <c r="I911" s="1760"/>
      <c r="J911" s="1760"/>
      <c r="K911" s="1760"/>
      <c r="L911" s="1760"/>
      <c r="M911" s="1760"/>
      <c r="N911" s="1760"/>
      <c r="O911" s="1760"/>
      <c r="P911" s="1760"/>
      <c r="Q911" s="1760"/>
      <c r="R911" s="1760"/>
      <c r="S911" s="1760"/>
      <c r="T911" s="1760"/>
      <c r="U911" s="1760"/>
      <c r="V911" s="1760"/>
      <c r="W911" s="1760"/>
      <c r="X911" s="1760"/>
      <c r="Y911" s="1760"/>
      <c r="Z911" s="1760"/>
      <c r="AA911" s="1760"/>
      <c r="AB911" s="1760"/>
      <c r="AC911" s="1760"/>
      <c r="AD911" s="1760"/>
      <c r="AE911" s="1760"/>
      <c r="AF911" s="1760"/>
      <c r="AG911" s="1760"/>
      <c r="AH911" s="1760"/>
      <c r="AI911" s="1760"/>
      <c r="AJ911" s="1760"/>
      <c r="AK911" s="1760"/>
      <c r="AL911" s="1760"/>
      <c r="AM911" s="1760"/>
      <c r="AN911" s="1760"/>
      <c r="AO911" s="1760"/>
      <c r="AP911" s="1760"/>
      <c r="AQ911" s="1760"/>
      <c r="AR911" s="1760"/>
      <c r="AS911" s="1760"/>
      <c r="AT911" s="1760"/>
      <c r="AU911" s="1760"/>
      <c r="AV911" s="1760"/>
      <c r="AW911" s="1760"/>
      <c r="AX911" s="1760"/>
      <c r="AY911" s="1760"/>
      <c r="AZ911" s="1760"/>
      <c r="BA911" s="1760"/>
      <c r="BB911" s="1760"/>
      <c r="BC911" s="1760"/>
      <c r="BD911" s="1760"/>
      <c r="BE911" s="1760"/>
      <c r="BF911" s="1760"/>
      <c r="BG911" s="1056"/>
      <c r="BH911" s="540"/>
    </row>
    <row r="912" spans="1:60" x14ac:dyDescent="0.15">
      <c r="A912" s="1050"/>
      <c r="B912" s="1064"/>
      <c r="C912" s="1054"/>
      <c r="D912" s="1054"/>
      <c r="E912" s="1054"/>
      <c r="F912" s="1054" t="s">
        <v>796</v>
      </c>
      <c r="G912" s="1054"/>
      <c r="H912" s="1780" t="str">
        <f>+IF(keltezes="","",keltezes)</f>
        <v/>
      </c>
      <c r="I912" s="1760"/>
      <c r="J912" s="1760"/>
      <c r="K912" s="1760"/>
      <c r="L912" s="1760"/>
      <c r="M912" s="1760"/>
      <c r="N912" s="1760"/>
      <c r="O912" s="1760"/>
      <c r="P912" s="1760"/>
      <c r="Q912" s="1760"/>
      <c r="R912" s="1760"/>
      <c r="S912" s="1760"/>
      <c r="T912" s="1760"/>
      <c r="U912" s="1054"/>
      <c r="V912" s="1054"/>
      <c r="W912" s="1054"/>
      <c r="X912" s="1054"/>
      <c r="Y912" s="1054"/>
      <c r="Z912" s="1054"/>
      <c r="AA912" s="1054"/>
      <c r="AB912" s="1054"/>
      <c r="AC912" s="1054"/>
      <c r="AD912" s="1054"/>
      <c r="AE912" s="1054"/>
      <c r="AF912" s="1054"/>
      <c r="AG912" s="1054"/>
      <c r="AH912" s="1054"/>
      <c r="AI912" s="1054"/>
      <c r="AJ912" s="1054"/>
      <c r="AK912" s="1054"/>
      <c r="AL912" s="1054"/>
      <c r="AM912" s="1054"/>
      <c r="AN912" s="1054"/>
      <c r="AO912" s="1054"/>
      <c r="AP912" s="1054"/>
      <c r="AQ912" s="1054"/>
      <c r="AR912" s="1054"/>
      <c r="AS912" s="1054"/>
      <c r="AT912" s="1054"/>
      <c r="AU912" s="1054"/>
      <c r="AV912" s="1054"/>
      <c r="AW912" s="1054"/>
      <c r="AX912" s="1054"/>
      <c r="AY912" s="1054"/>
      <c r="AZ912" s="1054"/>
      <c r="BA912" s="1054"/>
      <c r="BB912" s="1054"/>
      <c r="BC912" s="1054"/>
      <c r="BD912" s="1054"/>
      <c r="BE912" s="1054"/>
      <c r="BF912" s="1054"/>
      <c r="BG912" s="1056"/>
      <c r="BH912" s="540"/>
    </row>
    <row r="913" spans="1:60" x14ac:dyDescent="0.15">
      <c r="A913" s="1050"/>
      <c r="B913" s="1064"/>
      <c r="C913" s="1054"/>
      <c r="D913" s="1054"/>
      <c r="E913" s="1054"/>
      <c r="F913" s="1054"/>
      <c r="G913" s="1054"/>
      <c r="H913" s="1054"/>
      <c r="I913" s="1054"/>
      <c r="J913" s="1054"/>
      <c r="K913" s="1054"/>
      <c r="L913" s="1054"/>
      <c r="M913" s="1054"/>
      <c r="N913" s="1054"/>
      <c r="O913" s="1054"/>
      <c r="P913" s="1054"/>
      <c r="Q913" s="1054"/>
      <c r="R913" s="1054"/>
      <c r="S913" s="1054"/>
      <c r="T913" s="1054"/>
      <c r="U913" s="1054"/>
      <c r="V913" s="1054"/>
      <c r="W913" s="1054"/>
      <c r="X913" s="1054"/>
      <c r="Y913" s="1054"/>
      <c r="Z913" s="1054"/>
      <c r="AA913" s="1054"/>
      <c r="AB913" s="1054"/>
      <c r="AC913" s="1054"/>
      <c r="AD913" s="1054"/>
      <c r="AE913" s="1054"/>
      <c r="AF913" s="1054"/>
      <c r="AG913" s="1054"/>
      <c r="AH913" s="1054"/>
      <c r="AI913" s="1054"/>
      <c r="AJ913" s="1054"/>
      <c r="AK913" s="1054"/>
      <c r="AL913" s="1054"/>
      <c r="AM913" s="1054"/>
      <c r="AN913" s="1054"/>
      <c r="AO913" s="1054"/>
      <c r="AP913" s="1054"/>
      <c r="AQ913" s="1054"/>
      <c r="AR913" s="1054"/>
      <c r="AS913" s="1054"/>
      <c r="AT913" s="1054"/>
      <c r="AU913" s="1054"/>
      <c r="AV913" s="1054"/>
      <c r="AW913" s="1054"/>
      <c r="AX913" s="1054"/>
      <c r="AY913" s="1054"/>
      <c r="AZ913" s="1054"/>
      <c r="BA913" s="1054"/>
      <c r="BB913" s="1054"/>
      <c r="BC913" s="1054"/>
      <c r="BD913" s="1054"/>
      <c r="BE913" s="1054"/>
      <c r="BF913" s="1054"/>
      <c r="BG913" s="1056"/>
      <c r="BH913" s="540"/>
    </row>
    <row r="914" spans="1:60" x14ac:dyDescent="0.15">
      <c r="A914" s="1050"/>
      <c r="B914" s="1064"/>
      <c r="C914" s="1054"/>
      <c r="D914" s="1054"/>
      <c r="E914" s="1054"/>
      <c r="F914" s="1054"/>
      <c r="G914" s="1054"/>
      <c r="H914" s="1054"/>
      <c r="I914" s="1054"/>
      <c r="J914" s="1054"/>
      <c r="K914" s="1054"/>
      <c r="L914" s="1054"/>
      <c r="M914" s="1054"/>
      <c r="N914" s="1054"/>
      <c r="O914" s="1054"/>
      <c r="P914" s="1054"/>
      <c r="Q914" s="1054"/>
      <c r="R914" s="1054"/>
      <c r="S914" s="1054"/>
      <c r="T914" s="1054"/>
      <c r="U914" s="1054"/>
      <c r="V914" s="1054"/>
      <c r="W914" s="1054"/>
      <c r="X914" s="1054"/>
      <c r="Y914" s="1054"/>
      <c r="Z914" s="1054"/>
      <c r="AA914" s="1054"/>
      <c r="AB914" s="1054"/>
      <c r="AC914" s="1054"/>
      <c r="AD914" s="1054"/>
      <c r="AE914" s="1054"/>
      <c r="AF914" s="1054"/>
      <c r="AG914" s="1747"/>
      <c r="AH914" s="1747"/>
      <c r="AI914" s="1747"/>
      <c r="AJ914" s="1747"/>
      <c r="AK914" s="1747"/>
      <c r="AL914" s="1747"/>
      <c r="AM914" s="1747"/>
      <c r="AN914" s="1747"/>
      <c r="AO914" s="1747"/>
      <c r="AP914" s="1747"/>
      <c r="AQ914" s="1747"/>
      <c r="AR914" s="1747"/>
      <c r="AS914" s="1747"/>
      <c r="AT914" s="1747"/>
      <c r="AU914" s="1747"/>
      <c r="AV914" s="1747"/>
      <c r="AW914" s="1747"/>
      <c r="AX914" s="1747"/>
      <c r="AY914" s="1747"/>
      <c r="AZ914" s="1747"/>
      <c r="BA914" s="1747"/>
      <c r="BB914" s="1747"/>
      <c r="BC914" s="1747"/>
      <c r="BD914" s="1747"/>
      <c r="BE914" s="1054"/>
      <c r="BF914" s="1054"/>
      <c r="BG914" s="1056"/>
      <c r="BH914" s="540"/>
    </row>
    <row r="915" spans="1:60" ht="15" customHeight="1" x14ac:dyDescent="0.15">
      <c r="A915" s="1050"/>
      <c r="B915" s="1064"/>
      <c r="C915" s="1054"/>
      <c r="D915" s="1054"/>
      <c r="E915" s="1054"/>
      <c r="F915" s="1054"/>
      <c r="G915" s="1054"/>
      <c r="H915" s="1054"/>
      <c r="I915" s="1054"/>
      <c r="J915" s="1054"/>
      <c r="K915" s="1054"/>
      <c r="L915" s="1054"/>
      <c r="M915" s="1054"/>
      <c r="N915" s="1054"/>
      <c r="O915" s="1054"/>
      <c r="P915" s="1054"/>
      <c r="Q915" s="1054"/>
      <c r="R915" s="1054"/>
      <c r="S915" s="1054"/>
      <c r="T915" s="1054"/>
      <c r="U915" s="1054"/>
      <c r="V915" s="1054"/>
      <c r="W915" s="1054"/>
      <c r="X915" s="1054"/>
      <c r="Y915" s="1054"/>
      <c r="Z915" s="1054"/>
      <c r="AA915" s="1054"/>
      <c r="AB915" s="1054"/>
      <c r="AC915" s="1054"/>
      <c r="AD915" s="1054"/>
      <c r="AE915" s="1054"/>
      <c r="AF915" s="1054"/>
      <c r="AG915" s="1746" t="str">
        <f>+IF('Támogatási Nyilatkozatok_all'!C854="","",'Támogatási Nyilatkozatok_all'!C854)</f>
        <v/>
      </c>
      <c r="AH915" s="1746"/>
      <c r="AI915" s="1746"/>
      <c r="AJ915" s="1746"/>
      <c r="AK915" s="1746"/>
      <c r="AL915" s="1746"/>
      <c r="AM915" s="1746"/>
      <c r="AN915" s="1746"/>
      <c r="AO915" s="1746"/>
      <c r="AP915" s="1746"/>
      <c r="AQ915" s="1746"/>
      <c r="AR915" s="1746"/>
      <c r="AS915" s="1746"/>
      <c r="AT915" s="1746"/>
      <c r="AU915" s="1746"/>
      <c r="AV915" s="1746"/>
      <c r="AW915" s="1746"/>
      <c r="AX915" s="1746"/>
      <c r="AY915" s="1746"/>
      <c r="AZ915" s="1746"/>
      <c r="BA915" s="1746"/>
      <c r="BB915" s="1746"/>
      <c r="BC915" s="1746"/>
      <c r="BD915" s="1746"/>
      <c r="BE915" s="1054"/>
      <c r="BF915" s="1054"/>
      <c r="BG915" s="1056"/>
      <c r="BH915" s="540"/>
    </row>
    <row r="916" spans="1:60" x14ac:dyDescent="0.15">
      <c r="A916" s="1050"/>
      <c r="B916" s="1064"/>
      <c r="C916" s="1054"/>
      <c r="D916" s="1054"/>
      <c r="E916" s="1054"/>
      <c r="F916" s="1054"/>
      <c r="G916" s="1054"/>
      <c r="H916" s="1054"/>
      <c r="I916" s="1054"/>
      <c r="J916" s="1054"/>
      <c r="K916" s="1054"/>
      <c r="L916" s="1054"/>
      <c r="M916" s="1054"/>
      <c r="N916" s="1054"/>
      <c r="O916" s="1054"/>
      <c r="P916" s="1054"/>
      <c r="Q916" s="1054"/>
      <c r="R916" s="1054"/>
      <c r="S916" s="1054"/>
      <c r="T916" s="1054"/>
      <c r="U916" s="1054"/>
      <c r="V916" s="1054"/>
      <c r="W916" s="1054"/>
      <c r="X916" s="1054"/>
      <c r="Y916" s="1054"/>
      <c r="Z916" s="1054"/>
      <c r="AA916" s="1054"/>
      <c r="AB916" s="1054"/>
      <c r="AC916" s="1054"/>
      <c r="AD916" s="1054"/>
      <c r="AE916" s="1054"/>
      <c r="AF916" s="1054"/>
      <c r="AG916" s="1054"/>
      <c r="AH916" s="1054"/>
      <c r="AI916" s="1054"/>
      <c r="AJ916" s="1054"/>
      <c r="AK916" s="1054"/>
      <c r="AL916" s="1054"/>
      <c r="AM916" s="1054"/>
      <c r="AN916" s="1054"/>
      <c r="AO916" s="1054"/>
      <c r="AP916" s="1054"/>
      <c r="AQ916" s="1054"/>
      <c r="AR916" s="1054"/>
      <c r="AS916" s="1054"/>
      <c r="AT916" s="1054"/>
      <c r="AU916" s="1054"/>
      <c r="AV916" s="1054"/>
      <c r="AW916" s="1054"/>
      <c r="AX916" s="1054"/>
      <c r="AY916" s="1054"/>
      <c r="AZ916" s="1054"/>
      <c r="BA916" s="1054"/>
      <c r="BB916" s="1054"/>
      <c r="BC916" s="1054"/>
      <c r="BD916" s="1054"/>
      <c r="BE916" s="1054"/>
      <c r="BF916" s="1054"/>
      <c r="BG916" s="1056"/>
      <c r="BH916" s="540"/>
    </row>
    <row r="917" spans="1:60" x14ac:dyDescent="0.15">
      <c r="A917" s="1050"/>
      <c r="B917" s="1064"/>
      <c r="C917" s="1054"/>
      <c r="D917" s="1054"/>
      <c r="E917" s="1054"/>
      <c r="F917" s="1054"/>
      <c r="G917" s="1054"/>
      <c r="H917" s="1054"/>
      <c r="I917" s="1054"/>
      <c r="J917" s="1054"/>
      <c r="K917" s="1054"/>
      <c r="L917" s="1054"/>
      <c r="M917" s="1054"/>
      <c r="N917" s="1054"/>
      <c r="O917" s="1054"/>
      <c r="P917" s="1054"/>
      <c r="Q917" s="1054"/>
      <c r="R917" s="1054"/>
      <c r="S917" s="1054"/>
      <c r="T917" s="1054"/>
      <c r="U917" s="1054"/>
      <c r="V917" s="1054"/>
      <c r="W917" s="1054"/>
      <c r="X917" s="1054"/>
      <c r="Y917" s="1054"/>
      <c r="Z917" s="1054"/>
      <c r="AA917" s="1054"/>
      <c r="AB917" s="1054"/>
      <c r="AC917" s="1054"/>
      <c r="AD917" s="1054"/>
      <c r="AE917" s="1054"/>
      <c r="AF917" s="1054"/>
      <c r="AG917" s="1054"/>
      <c r="AH917" s="1054"/>
      <c r="AI917" s="1054"/>
      <c r="AJ917" s="1054"/>
      <c r="AK917" s="1054"/>
      <c r="AL917" s="1054"/>
      <c r="AM917" s="1054"/>
      <c r="AN917" s="1054"/>
      <c r="AO917" s="1054"/>
      <c r="AP917" s="1054"/>
      <c r="AQ917" s="1054"/>
      <c r="AR917" s="1054"/>
      <c r="AS917" s="1054"/>
      <c r="AT917" s="1054"/>
      <c r="AU917" s="1054"/>
      <c r="AV917" s="1054"/>
      <c r="AW917" s="1054"/>
      <c r="AX917" s="1054"/>
      <c r="AY917" s="1054"/>
      <c r="AZ917" s="1054"/>
      <c r="BA917" s="1054"/>
      <c r="BB917" s="1054"/>
      <c r="BC917" s="1054"/>
      <c r="BD917" s="1054"/>
      <c r="BE917" s="1054"/>
      <c r="BF917" s="1054"/>
      <c r="BG917" s="1056"/>
      <c r="BH917" s="540"/>
    </row>
    <row r="918" spans="1:60" x14ac:dyDescent="0.15">
      <c r="A918" s="1050"/>
      <c r="B918" s="1064"/>
      <c r="C918" s="1054"/>
      <c r="D918" s="1054"/>
      <c r="E918" s="1054" t="s">
        <v>797</v>
      </c>
      <c r="F918" s="1054"/>
      <c r="G918" s="1054"/>
      <c r="H918" s="1054"/>
      <c r="I918" s="1054"/>
      <c r="J918" s="1054"/>
      <c r="K918" s="1054"/>
      <c r="L918" s="1054"/>
      <c r="M918" s="1054"/>
      <c r="N918" s="1054"/>
      <c r="O918" s="1054"/>
      <c r="P918" s="1054"/>
      <c r="Q918" s="1054"/>
      <c r="R918" s="1054"/>
      <c r="S918" s="1054"/>
      <c r="T918" s="1054"/>
      <c r="U918" s="1054"/>
      <c r="V918" s="1054"/>
      <c r="W918" s="1054"/>
      <c r="X918" s="1054"/>
      <c r="Y918" s="1054"/>
      <c r="Z918" s="1054"/>
      <c r="AA918" s="1054"/>
      <c r="AB918" s="1054"/>
      <c r="AC918" s="1054"/>
      <c r="AD918" s="1054"/>
      <c r="AE918" s="1054"/>
      <c r="AF918" s="1054"/>
      <c r="AG918" s="1054"/>
      <c r="AH918" s="1054"/>
      <c r="AI918" s="1054"/>
      <c r="AJ918" s="1054"/>
      <c r="AK918" s="1054"/>
      <c r="AL918" s="1054"/>
      <c r="AM918" s="1054"/>
      <c r="AN918" s="1054"/>
      <c r="AO918" s="1054"/>
      <c r="AP918" s="1054"/>
      <c r="AQ918" s="1054"/>
      <c r="AR918" s="1054"/>
      <c r="AS918" s="1054"/>
      <c r="AT918" s="1054"/>
      <c r="AU918" s="1054"/>
      <c r="AV918" s="1054"/>
      <c r="AW918" s="1054"/>
      <c r="AX918" s="1054"/>
      <c r="AY918" s="1054"/>
      <c r="AZ918" s="1054"/>
      <c r="BA918" s="1054"/>
      <c r="BB918" s="1054"/>
      <c r="BC918" s="1054"/>
      <c r="BD918" s="1054"/>
      <c r="BE918" s="1054"/>
      <c r="BF918" s="1054"/>
      <c r="BG918" s="1056"/>
      <c r="BH918" s="540"/>
    </row>
    <row r="919" spans="1:60" x14ac:dyDescent="0.15">
      <c r="A919" s="1050"/>
      <c r="B919" s="1064"/>
      <c r="C919" s="1054"/>
      <c r="D919" s="1054"/>
      <c r="E919" s="1054" t="s">
        <v>798</v>
      </c>
      <c r="F919" s="1054"/>
      <c r="G919" s="1054"/>
      <c r="H919" s="1054"/>
      <c r="I919" s="1054"/>
      <c r="J919" s="1054"/>
      <c r="K919" s="1054"/>
      <c r="L919" s="1054"/>
      <c r="M919" s="1054"/>
      <c r="N919" s="1054"/>
      <c r="O919" s="1054"/>
      <c r="P919" s="1054"/>
      <c r="Q919" s="1054"/>
      <c r="R919" s="1054"/>
      <c r="S919" s="1054"/>
      <c r="T919" s="1054"/>
      <c r="U919" s="1054"/>
      <c r="V919" s="1054"/>
      <c r="W919" s="1054"/>
      <c r="X919" s="1054"/>
      <c r="Y919" s="1054"/>
      <c r="Z919" s="1054"/>
      <c r="AA919" s="1054"/>
      <c r="AB919" s="1054"/>
      <c r="AC919" s="1054"/>
      <c r="AD919" s="1054"/>
      <c r="AE919" s="1054"/>
      <c r="AF919" s="1054"/>
      <c r="AG919" s="1054"/>
      <c r="AH919" s="1054"/>
      <c r="AI919" s="1054"/>
      <c r="AJ919" s="1054"/>
      <c r="AK919" s="1054"/>
      <c r="AL919" s="1054"/>
      <c r="AM919" s="1054"/>
      <c r="AN919" s="1054"/>
      <c r="AO919" s="1054"/>
      <c r="AP919" s="1054"/>
      <c r="AQ919" s="1054"/>
      <c r="AR919" s="1054"/>
      <c r="AS919" s="1054"/>
      <c r="AT919" s="1054"/>
      <c r="AU919" s="1054"/>
      <c r="AV919" s="1054"/>
      <c r="AW919" s="1054"/>
      <c r="AX919" s="1054"/>
      <c r="AY919" s="1054"/>
      <c r="AZ919" s="1054"/>
      <c r="BA919" s="1054"/>
      <c r="BB919" s="1054"/>
      <c r="BC919" s="1054"/>
      <c r="BD919" s="1054"/>
      <c r="BE919" s="1054"/>
      <c r="BF919" s="1054"/>
      <c r="BG919" s="1056"/>
      <c r="BH919" s="540"/>
    </row>
    <row r="920" spans="1:60" x14ac:dyDescent="0.15">
      <c r="A920" s="1050"/>
      <c r="B920" s="1064"/>
      <c r="C920" s="1054"/>
      <c r="D920" s="1054"/>
      <c r="E920" s="1054"/>
      <c r="F920" s="1054"/>
      <c r="G920" s="1054"/>
      <c r="H920" s="1054"/>
      <c r="I920" s="1054"/>
      <c r="J920" s="1054"/>
      <c r="K920" s="1054"/>
      <c r="L920" s="1054"/>
      <c r="M920" s="1054"/>
      <c r="N920" s="1054"/>
      <c r="O920" s="1054"/>
      <c r="P920" s="1054"/>
      <c r="Q920" s="1054"/>
      <c r="R920" s="1054"/>
      <c r="S920" s="1054"/>
      <c r="T920" s="1054"/>
      <c r="U920" s="1054"/>
      <c r="V920" s="1054"/>
      <c r="W920" s="1054"/>
      <c r="X920" s="1054"/>
      <c r="Y920" s="1054"/>
      <c r="Z920" s="1054"/>
      <c r="AA920" s="1054"/>
      <c r="AB920" s="1054"/>
      <c r="AC920" s="1054"/>
      <c r="AD920" s="1054"/>
      <c r="AE920" s="1054"/>
      <c r="AF920" s="1054"/>
      <c r="AG920" s="1054"/>
      <c r="AH920" s="1054"/>
      <c r="AI920" s="1054"/>
      <c r="AJ920" s="1054"/>
      <c r="AK920" s="1054"/>
      <c r="AL920" s="1054"/>
      <c r="AM920" s="1054"/>
      <c r="AN920" s="1054"/>
      <c r="AO920" s="1054"/>
      <c r="AP920" s="1054"/>
      <c r="AQ920" s="1054"/>
      <c r="AR920" s="1054"/>
      <c r="AS920" s="1054"/>
      <c r="AT920" s="1054"/>
      <c r="AU920" s="1054"/>
      <c r="AV920" s="1054"/>
      <c r="AW920" s="1054"/>
      <c r="AX920" s="1054"/>
      <c r="AY920" s="1054"/>
      <c r="AZ920" s="1054"/>
      <c r="BA920" s="1054"/>
      <c r="BB920" s="1054"/>
      <c r="BC920" s="1054"/>
      <c r="BD920" s="1054"/>
      <c r="BE920" s="1054"/>
      <c r="BF920" s="1054"/>
      <c r="BG920" s="1056"/>
      <c r="BH920" s="540"/>
    </row>
    <row r="921" spans="1:60" x14ac:dyDescent="0.15">
      <c r="A921" s="1050"/>
      <c r="B921" s="1064"/>
      <c r="C921" s="1055"/>
      <c r="D921" s="1055"/>
      <c r="E921" s="1055" t="s">
        <v>799</v>
      </c>
      <c r="F921" s="1055"/>
      <c r="G921" s="1055"/>
      <c r="H921" s="1055"/>
      <c r="I921" s="1055"/>
      <c r="J921" s="1747"/>
      <c r="K921" s="1747"/>
      <c r="L921" s="1747"/>
      <c r="M921" s="1747"/>
      <c r="N921" s="1747"/>
      <c r="O921" s="1747"/>
      <c r="P921" s="1747"/>
      <c r="Q921" s="1747"/>
      <c r="R921" s="1747"/>
      <c r="S921" s="1747"/>
      <c r="T921" s="1747"/>
      <c r="U921" s="1747"/>
      <c r="V921" s="1747"/>
      <c r="W921" s="1747"/>
      <c r="X921" s="1747"/>
      <c r="Y921" s="1747"/>
      <c r="Z921" s="1747"/>
      <c r="AA921" s="1747"/>
      <c r="AB921" s="1747"/>
      <c r="AC921" s="1055"/>
      <c r="AD921" s="1055"/>
      <c r="AE921" s="1055"/>
      <c r="AF921" s="1055" t="s">
        <v>800</v>
      </c>
      <c r="AG921" s="1055"/>
      <c r="AH921" s="1055"/>
      <c r="AI921" s="1055"/>
      <c r="AJ921" s="1747"/>
      <c r="AK921" s="1747"/>
      <c r="AL921" s="1747"/>
      <c r="AM921" s="1747"/>
      <c r="AN921" s="1747"/>
      <c r="AO921" s="1747"/>
      <c r="AP921" s="1747"/>
      <c r="AQ921" s="1747"/>
      <c r="AR921" s="1747"/>
      <c r="AS921" s="1747"/>
      <c r="AT921" s="1747"/>
      <c r="AU921" s="1747"/>
      <c r="AV921" s="1747"/>
      <c r="AW921" s="1747"/>
      <c r="AX921" s="1747"/>
      <c r="AY921" s="1747"/>
      <c r="AZ921" s="1747"/>
      <c r="BA921" s="1747"/>
      <c r="BB921" s="1747"/>
      <c r="BC921" s="1055"/>
      <c r="BD921" s="1055"/>
      <c r="BE921" s="1055"/>
      <c r="BF921" s="1055"/>
      <c r="BG921" s="1056"/>
      <c r="BH921" s="540"/>
    </row>
    <row r="922" spans="1:60" x14ac:dyDescent="0.15">
      <c r="A922" s="1050"/>
      <c r="B922" s="1064"/>
      <c r="C922" s="1055"/>
      <c r="D922" s="1055"/>
      <c r="E922" s="1055"/>
      <c r="F922" s="1055"/>
      <c r="G922" s="1055"/>
      <c r="H922" s="1055"/>
      <c r="I922" s="1055"/>
      <c r="J922" s="1055"/>
      <c r="K922" s="1055"/>
      <c r="L922" s="1055"/>
      <c r="M922" s="1055"/>
      <c r="N922" s="1746" t="s">
        <v>315</v>
      </c>
      <c r="O922" s="1746"/>
      <c r="P922" s="1746"/>
      <c r="Q922" s="1746"/>
      <c r="R922" s="1746"/>
      <c r="S922" s="1746"/>
      <c r="T922" s="1746"/>
      <c r="U922" s="1746"/>
      <c r="V922" s="1746"/>
      <c r="W922" s="1746"/>
      <c r="X922" s="1746"/>
      <c r="Y922" s="1055"/>
      <c r="Z922" s="1055"/>
      <c r="AA922" s="1055"/>
      <c r="AB922" s="1055"/>
      <c r="AC922" s="1055"/>
      <c r="AD922" s="1055"/>
      <c r="AE922" s="1055"/>
      <c r="AF922" s="1055"/>
      <c r="AG922" s="1055"/>
      <c r="AH922" s="1055"/>
      <c r="AI922" s="1055"/>
      <c r="AJ922" s="1055"/>
      <c r="AK922" s="1055"/>
      <c r="AL922" s="1055"/>
      <c r="AM922" s="1055"/>
      <c r="AN922" s="1746" t="s">
        <v>315</v>
      </c>
      <c r="AO922" s="1746"/>
      <c r="AP922" s="1746"/>
      <c r="AQ922" s="1746"/>
      <c r="AR922" s="1746"/>
      <c r="AS922" s="1746"/>
      <c r="AT922" s="1746"/>
      <c r="AU922" s="1746"/>
      <c r="AV922" s="1746"/>
      <c r="AW922" s="1746"/>
      <c r="AX922" s="1746"/>
      <c r="AY922" s="1055"/>
      <c r="AZ922" s="1055"/>
      <c r="BA922" s="1055"/>
      <c r="BB922" s="1055"/>
      <c r="BC922" s="1055"/>
      <c r="BD922" s="1055"/>
      <c r="BE922" s="1055"/>
      <c r="BF922" s="1055"/>
      <c r="BG922" s="1056"/>
      <c r="BH922" s="540"/>
    </row>
    <row r="923" spans="1:60" x14ac:dyDescent="0.15">
      <c r="A923" s="1050"/>
      <c r="B923" s="1064"/>
      <c r="C923" s="1055"/>
      <c r="D923" s="1055"/>
      <c r="E923" s="1055"/>
      <c r="F923" s="1055"/>
      <c r="G923" s="1055"/>
      <c r="H923" s="1055"/>
      <c r="I923" s="1055"/>
      <c r="J923" s="1055"/>
      <c r="K923" s="1055"/>
      <c r="L923" s="1055"/>
      <c r="M923" s="1055"/>
      <c r="N923" s="1055"/>
      <c r="O923" s="1055"/>
      <c r="P923" s="1055"/>
      <c r="Q923" s="1055"/>
      <c r="R923" s="1055"/>
      <c r="S923" s="1055"/>
      <c r="T923" s="1055"/>
      <c r="U923" s="1055"/>
      <c r="V923" s="1055"/>
      <c r="W923" s="1055"/>
      <c r="X923" s="1055"/>
      <c r="Y923" s="1055"/>
      <c r="Z923" s="1055"/>
      <c r="AA923" s="1055"/>
      <c r="AB923" s="1055"/>
      <c r="AC923" s="1055"/>
      <c r="AD923" s="1055"/>
      <c r="AE923" s="1055"/>
      <c r="AF923" s="1055"/>
      <c r="AG923" s="1055"/>
      <c r="AH923" s="1055"/>
      <c r="AI923" s="1055"/>
      <c r="AJ923" s="1055"/>
      <c r="AK923" s="1055"/>
      <c r="AL923" s="1055"/>
      <c r="AM923" s="1055"/>
      <c r="AN923" s="1055"/>
      <c r="AO923" s="1055"/>
      <c r="AP923" s="1055"/>
      <c r="AQ923" s="1055"/>
      <c r="AR923" s="1055"/>
      <c r="AS923" s="1055"/>
      <c r="AT923" s="1055"/>
      <c r="AU923" s="1055"/>
      <c r="AV923" s="1055"/>
      <c r="AW923" s="1055"/>
      <c r="AX923" s="1055"/>
      <c r="AY923" s="1055"/>
      <c r="AZ923" s="1055"/>
      <c r="BA923" s="1055"/>
      <c r="BB923" s="1055"/>
      <c r="BC923" s="1055"/>
      <c r="BD923" s="1055"/>
      <c r="BE923" s="1055"/>
      <c r="BF923" s="1055"/>
      <c r="BG923" s="1056"/>
      <c r="BH923" s="540"/>
    </row>
    <row r="924" spans="1:60" x14ac:dyDescent="0.15">
      <c r="A924" s="1050"/>
      <c r="B924" s="1064"/>
      <c r="C924" s="1055"/>
      <c r="D924" s="1055"/>
      <c r="E924" s="1055"/>
      <c r="F924" s="1055"/>
      <c r="G924" s="1055"/>
      <c r="H924" s="1055"/>
      <c r="I924" s="1055"/>
      <c r="J924" s="1055"/>
      <c r="K924" s="1055"/>
      <c r="L924" s="1055"/>
      <c r="M924" s="1055"/>
      <c r="N924" s="1055"/>
      <c r="O924" s="1055"/>
      <c r="P924" s="1055"/>
      <c r="Q924" s="1055"/>
      <c r="R924" s="1055"/>
      <c r="S924" s="1055"/>
      <c r="T924" s="1055"/>
      <c r="U924" s="1055"/>
      <c r="V924" s="1055"/>
      <c r="W924" s="1055"/>
      <c r="X924" s="1055"/>
      <c r="Y924" s="1055"/>
      <c r="Z924" s="1055"/>
      <c r="AA924" s="1055"/>
      <c r="AB924" s="1055"/>
      <c r="AC924" s="1055"/>
      <c r="AD924" s="1055"/>
      <c r="AE924" s="1055"/>
      <c r="AF924" s="1055"/>
      <c r="AG924" s="1055"/>
      <c r="AH924" s="1055"/>
      <c r="AI924" s="1055"/>
      <c r="AJ924" s="1055"/>
      <c r="AK924" s="1055"/>
      <c r="AL924" s="1055"/>
      <c r="AM924" s="1055"/>
      <c r="AN924" s="1055"/>
      <c r="AO924" s="1055"/>
      <c r="AP924" s="1055"/>
      <c r="AQ924" s="1055"/>
      <c r="AR924" s="1055"/>
      <c r="AS924" s="1055"/>
      <c r="AT924" s="1055"/>
      <c r="AU924" s="1055"/>
      <c r="AV924" s="1055"/>
      <c r="AW924" s="1055"/>
      <c r="AX924" s="1055"/>
      <c r="AY924" s="1055"/>
      <c r="AZ924" s="1055"/>
      <c r="BA924" s="1055"/>
      <c r="BB924" s="1055"/>
      <c r="BC924" s="1055"/>
      <c r="BD924" s="1055"/>
      <c r="BE924" s="1055"/>
      <c r="BF924" s="1055"/>
      <c r="BG924" s="1056"/>
      <c r="BH924" s="540"/>
    </row>
    <row r="925" spans="1:60" x14ac:dyDescent="0.15">
      <c r="A925" s="1050"/>
      <c r="B925" s="1064"/>
      <c r="C925" s="1055"/>
      <c r="D925" s="1055"/>
      <c r="E925" s="1055"/>
      <c r="F925" s="1055"/>
      <c r="G925" s="1055"/>
      <c r="H925" s="1055"/>
      <c r="I925" s="1055"/>
      <c r="J925" s="1747"/>
      <c r="K925" s="1747"/>
      <c r="L925" s="1747"/>
      <c r="M925" s="1747"/>
      <c r="N925" s="1747"/>
      <c r="O925" s="1747"/>
      <c r="P925" s="1747"/>
      <c r="Q925" s="1747"/>
      <c r="R925" s="1747"/>
      <c r="S925" s="1747"/>
      <c r="T925" s="1747"/>
      <c r="U925" s="1747"/>
      <c r="V925" s="1747"/>
      <c r="W925" s="1747"/>
      <c r="X925" s="1747"/>
      <c r="Y925" s="1747"/>
      <c r="Z925" s="1747"/>
      <c r="AA925" s="1747"/>
      <c r="AB925" s="1747"/>
      <c r="AC925" s="1055"/>
      <c r="AD925" s="1055"/>
      <c r="AE925" s="1055"/>
      <c r="AF925" s="1055"/>
      <c r="AG925" s="1055"/>
      <c r="AH925" s="1055"/>
      <c r="AI925" s="1055"/>
      <c r="AJ925" s="1747"/>
      <c r="AK925" s="1747"/>
      <c r="AL925" s="1747"/>
      <c r="AM925" s="1747"/>
      <c r="AN925" s="1747"/>
      <c r="AO925" s="1747"/>
      <c r="AP925" s="1747"/>
      <c r="AQ925" s="1747"/>
      <c r="AR925" s="1747"/>
      <c r="AS925" s="1747"/>
      <c r="AT925" s="1747"/>
      <c r="AU925" s="1747"/>
      <c r="AV925" s="1747"/>
      <c r="AW925" s="1747"/>
      <c r="AX925" s="1747"/>
      <c r="AY925" s="1747"/>
      <c r="AZ925" s="1747"/>
      <c r="BA925" s="1747"/>
      <c r="BB925" s="1747"/>
      <c r="BC925" s="1055"/>
      <c r="BD925" s="1055"/>
      <c r="BE925" s="1055"/>
      <c r="BF925" s="1055"/>
      <c r="BG925" s="1056"/>
      <c r="BH925" s="540"/>
    </row>
    <row r="926" spans="1:60" x14ac:dyDescent="0.15">
      <c r="A926" s="1050"/>
      <c r="B926" s="1064"/>
      <c r="C926" s="1055"/>
      <c r="D926" s="1055"/>
      <c r="E926" s="1055"/>
      <c r="F926" s="1055"/>
      <c r="G926" s="1055"/>
      <c r="H926" s="1055"/>
      <c r="I926" s="1055"/>
      <c r="J926" s="1055"/>
      <c r="K926" s="1055"/>
      <c r="L926" s="1055"/>
      <c r="M926" s="1055"/>
      <c r="N926" s="1746" t="s">
        <v>316</v>
      </c>
      <c r="O926" s="1746"/>
      <c r="P926" s="1746"/>
      <c r="Q926" s="1746"/>
      <c r="R926" s="1746"/>
      <c r="S926" s="1746"/>
      <c r="T926" s="1746"/>
      <c r="U926" s="1746"/>
      <c r="V926" s="1746"/>
      <c r="W926" s="1746"/>
      <c r="X926" s="1746"/>
      <c r="Y926" s="1055"/>
      <c r="Z926" s="1055"/>
      <c r="AA926" s="1055"/>
      <c r="AB926" s="1055"/>
      <c r="AC926" s="1055"/>
      <c r="AD926" s="1055"/>
      <c r="AE926" s="1055"/>
      <c r="AF926" s="1055"/>
      <c r="AG926" s="1055"/>
      <c r="AH926" s="1055"/>
      <c r="AI926" s="1055"/>
      <c r="AJ926" s="1055"/>
      <c r="AK926" s="1055"/>
      <c r="AL926" s="1055"/>
      <c r="AM926" s="1055"/>
      <c r="AN926" s="1746" t="s">
        <v>316</v>
      </c>
      <c r="AO926" s="1746"/>
      <c r="AP926" s="1746"/>
      <c r="AQ926" s="1746"/>
      <c r="AR926" s="1746"/>
      <c r="AS926" s="1746"/>
      <c r="AT926" s="1746"/>
      <c r="AU926" s="1746"/>
      <c r="AV926" s="1746"/>
      <c r="AW926" s="1746"/>
      <c r="AX926" s="1746"/>
      <c r="AY926" s="1055"/>
      <c r="AZ926" s="1055"/>
      <c r="BA926" s="1055"/>
      <c r="BB926" s="1055"/>
      <c r="BC926" s="1055"/>
      <c r="BD926" s="1055"/>
      <c r="BE926" s="1055"/>
      <c r="BF926" s="1055"/>
      <c r="BG926" s="1056"/>
      <c r="BH926" s="540"/>
    </row>
    <row r="927" spans="1:60" x14ac:dyDescent="0.15">
      <c r="A927" s="1050"/>
      <c r="B927" s="1064"/>
      <c r="C927" s="1055"/>
      <c r="D927" s="1055"/>
      <c r="E927" s="1055"/>
      <c r="F927" s="1055"/>
      <c r="G927" s="1055"/>
      <c r="H927" s="1055"/>
      <c r="I927" s="1055"/>
      <c r="J927" s="1055"/>
      <c r="K927" s="1055"/>
      <c r="L927" s="1055"/>
      <c r="M927" s="1055"/>
      <c r="N927" s="1055"/>
      <c r="O927" s="1055"/>
      <c r="P927" s="1055"/>
      <c r="Q927" s="1055"/>
      <c r="R927" s="1055"/>
      <c r="S927" s="1055"/>
      <c r="T927" s="1055"/>
      <c r="U927" s="1055"/>
      <c r="V927" s="1055"/>
      <c r="W927" s="1055"/>
      <c r="X927" s="1055"/>
      <c r="Y927" s="1055"/>
      <c r="Z927" s="1055"/>
      <c r="AA927" s="1055"/>
      <c r="AB927" s="1055"/>
      <c r="AC927" s="1055"/>
      <c r="AD927" s="1055"/>
      <c r="AE927" s="1055"/>
      <c r="AF927" s="1055"/>
      <c r="AG927" s="1055"/>
      <c r="AH927" s="1055"/>
      <c r="AI927" s="1055"/>
      <c r="AJ927" s="1055"/>
      <c r="AK927" s="1055"/>
      <c r="AL927" s="1055"/>
      <c r="AM927" s="1055"/>
      <c r="AN927" s="1055"/>
      <c r="AO927" s="1055"/>
      <c r="AP927" s="1055"/>
      <c r="AQ927" s="1055"/>
      <c r="AR927" s="1055"/>
      <c r="AS927" s="1055"/>
      <c r="AT927" s="1055"/>
      <c r="AU927" s="1055"/>
      <c r="AV927" s="1055"/>
      <c r="AW927" s="1055"/>
      <c r="AX927" s="1055"/>
      <c r="AY927" s="1055"/>
      <c r="AZ927" s="1055"/>
      <c r="BA927" s="1055"/>
      <c r="BB927" s="1055"/>
      <c r="BC927" s="1055"/>
      <c r="BD927" s="1055"/>
      <c r="BE927" s="1055"/>
      <c r="BF927" s="1055"/>
      <c r="BG927" s="1056"/>
      <c r="BH927" s="540"/>
    </row>
    <row r="928" spans="1:60" x14ac:dyDescent="0.15">
      <c r="A928" s="1050"/>
      <c r="B928" s="1064"/>
      <c r="C928" s="1055"/>
      <c r="D928" s="1055"/>
      <c r="E928" s="1055"/>
      <c r="F928" s="1055"/>
      <c r="G928" s="1055"/>
      <c r="H928" s="1055"/>
      <c r="I928" s="1055"/>
      <c r="J928" s="1055"/>
      <c r="K928" s="1055"/>
      <c r="L928" s="1055"/>
      <c r="M928" s="1055"/>
      <c r="N928" s="1055"/>
      <c r="O928" s="1055"/>
      <c r="P928" s="1055"/>
      <c r="Q928" s="1055"/>
      <c r="R928" s="1055"/>
      <c r="S928" s="1055"/>
      <c r="T928" s="1055"/>
      <c r="U928" s="1055"/>
      <c r="V928" s="1055"/>
      <c r="W928" s="1055"/>
      <c r="X928" s="1055"/>
      <c r="Y928" s="1055"/>
      <c r="Z928" s="1055"/>
      <c r="AA928" s="1055"/>
      <c r="AB928" s="1055"/>
      <c r="AC928" s="1055"/>
      <c r="AD928" s="1055"/>
      <c r="AE928" s="1055"/>
      <c r="AF928" s="1055"/>
      <c r="AG928" s="1055"/>
      <c r="AH928" s="1055"/>
      <c r="AI928" s="1055"/>
      <c r="AJ928" s="1055"/>
      <c r="AK928" s="1055"/>
      <c r="AL928" s="1055"/>
      <c r="AM928" s="1055"/>
      <c r="AN928" s="1055"/>
      <c r="AO928" s="1055"/>
      <c r="AP928" s="1055"/>
      <c r="AQ928" s="1055"/>
      <c r="AR928" s="1055"/>
      <c r="AS928" s="1055"/>
      <c r="AT928" s="1055"/>
      <c r="AU928" s="1055"/>
      <c r="AV928" s="1055"/>
      <c r="AW928" s="1055"/>
      <c r="AX928" s="1055"/>
      <c r="AY928" s="1055"/>
      <c r="AZ928" s="1055"/>
      <c r="BA928" s="1055"/>
      <c r="BB928" s="1055"/>
      <c r="BC928" s="1055"/>
      <c r="BD928" s="1055"/>
      <c r="BE928" s="1055"/>
      <c r="BF928" s="1055"/>
      <c r="BG928" s="1056"/>
      <c r="BH928" s="540"/>
    </row>
    <row r="929" spans="1:60" x14ac:dyDescent="0.15">
      <c r="A929" s="1050"/>
      <c r="B929" s="1064"/>
      <c r="C929" s="1055"/>
      <c r="D929" s="1055"/>
      <c r="E929" s="1055"/>
      <c r="F929" s="1055"/>
      <c r="G929" s="1055"/>
      <c r="H929" s="1055"/>
      <c r="I929" s="1055"/>
      <c r="J929" s="1747"/>
      <c r="K929" s="1747"/>
      <c r="L929" s="1747"/>
      <c r="M929" s="1747"/>
      <c r="N929" s="1747"/>
      <c r="O929" s="1747"/>
      <c r="P929" s="1747"/>
      <c r="Q929" s="1747"/>
      <c r="R929" s="1747"/>
      <c r="S929" s="1747"/>
      <c r="T929" s="1747"/>
      <c r="U929" s="1747"/>
      <c r="V929" s="1747"/>
      <c r="W929" s="1747"/>
      <c r="X929" s="1747"/>
      <c r="Y929" s="1747"/>
      <c r="Z929" s="1747"/>
      <c r="AA929" s="1747"/>
      <c r="AB929" s="1747"/>
      <c r="AC929" s="1055"/>
      <c r="AD929" s="1055"/>
      <c r="AE929" s="1055"/>
      <c r="AF929" s="1055"/>
      <c r="AG929" s="1055"/>
      <c r="AH929" s="1055"/>
      <c r="AI929" s="1055"/>
      <c r="AJ929" s="1747"/>
      <c r="AK929" s="1747"/>
      <c r="AL929" s="1747"/>
      <c r="AM929" s="1747"/>
      <c r="AN929" s="1747"/>
      <c r="AO929" s="1747"/>
      <c r="AP929" s="1747"/>
      <c r="AQ929" s="1747"/>
      <c r="AR929" s="1747"/>
      <c r="AS929" s="1747"/>
      <c r="AT929" s="1747"/>
      <c r="AU929" s="1747"/>
      <c r="AV929" s="1747"/>
      <c r="AW929" s="1747"/>
      <c r="AX929" s="1747"/>
      <c r="AY929" s="1747"/>
      <c r="AZ929" s="1747"/>
      <c r="BA929" s="1747"/>
      <c r="BB929" s="1747"/>
      <c r="BC929" s="1055"/>
      <c r="BD929" s="1055"/>
      <c r="BE929" s="1055"/>
      <c r="BF929" s="1055"/>
      <c r="BG929" s="1056"/>
      <c r="BH929" s="540"/>
    </row>
    <row r="930" spans="1:60" x14ac:dyDescent="0.15">
      <c r="A930" s="1050"/>
      <c r="B930" s="1064"/>
      <c r="C930" s="1055"/>
      <c r="D930" s="1055"/>
      <c r="E930" s="1055"/>
      <c r="F930" s="1055"/>
      <c r="G930" s="1055"/>
      <c r="H930" s="1055"/>
      <c r="I930" s="1055"/>
      <c r="J930" s="1055"/>
      <c r="K930" s="1055"/>
      <c r="L930" s="1055"/>
      <c r="M930" s="1055"/>
      <c r="N930" s="1746" t="s">
        <v>801</v>
      </c>
      <c r="O930" s="1746"/>
      <c r="P930" s="1746"/>
      <c r="Q930" s="1746"/>
      <c r="R930" s="1746"/>
      <c r="S930" s="1746"/>
      <c r="T930" s="1746"/>
      <c r="U930" s="1746"/>
      <c r="V930" s="1746"/>
      <c r="W930" s="1746"/>
      <c r="X930" s="1746"/>
      <c r="Y930" s="1055"/>
      <c r="Z930" s="1055"/>
      <c r="AA930" s="1055"/>
      <c r="AB930" s="1055"/>
      <c r="AC930" s="1055"/>
      <c r="AD930" s="1055"/>
      <c r="AE930" s="1055"/>
      <c r="AF930" s="1055"/>
      <c r="AG930" s="1055"/>
      <c r="AH930" s="1055"/>
      <c r="AI930" s="1055"/>
      <c r="AJ930" s="1055"/>
      <c r="AK930" s="1055"/>
      <c r="AL930" s="1055"/>
      <c r="AM930" s="1055"/>
      <c r="AN930" s="1746" t="s">
        <v>801</v>
      </c>
      <c r="AO930" s="1746"/>
      <c r="AP930" s="1746"/>
      <c r="AQ930" s="1746"/>
      <c r="AR930" s="1746"/>
      <c r="AS930" s="1746"/>
      <c r="AT930" s="1746"/>
      <c r="AU930" s="1746"/>
      <c r="AV930" s="1746"/>
      <c r="AW930" s="1746"/>
      <c r="AX930" s="1746"/>
      <c r="AY930" s="1055"/>
      <c r="AZ930" s="1055"/>
      <c r="BA930" s="1055"/>
      <c r="BB930" s="1055"/>
      <c r="BC930" s="1055"/>
      <c r="BD930" s="1055"/>
      <c r="BE930" s="1055"/>
      <c r="BF930" s="1055"/>
      <c r="BG930" s="1056"/>
      <c r="BH930" s="540"/>
    </row>
    <row r="931" spans="1:60" x14ac:dyDescent="0.15">
      <c r="A931" s="1050"/>
      <c r="B931" s="1064"/>
      <c r="C931" s="1055"/>
      <c r="D931" s="1055"/>
      <c r="E931" s="1055"/>
      <c r="F931" s="1055"/>
      <c r="G931" s="1055"/>
      <c r="H931" s="1055"/>
      <c r="I931" s="1055"/>
      <c r="J931" s="1055"/>
      <c r="K931" s="1055"/>
      <c r="L931" s="1055"/>
      <c r="M931" s="1055"/>
      <c r="N931" s="1055"/>
      <c r="O931" s="1055"/>
      <c r="P931" s="1055"/>
      <c r="Q931" s="1055"/>
      <c r="R931" s="1055"/>
      <c r="S931" s="1055"/>
      <c r="T931" s="1055"/>
      <c r="U931" s="1055"/>
      <c r="V931" s="1055"/>
      <c r="W931" s="1055"/>
      <c r="X931" s="1055"/>
      <c r="Y931" s="1055"/>
      <c r="Z931" s="1055"/>
      <c r="AA931" s="1055"/>
      <c r="AB931" s="1055"/>
      <c r="AC931" s="1055"/>
      <c r="AD931" s="1055"/>
      <c r="AE931" s="1055"/>
      <c r="AF931" s="1055"/>
      <c r="AG931" s="1055"/>
      <c r="AH931" s="1055"/>
      <c r="AI931" s="1055"/>
      <c r="AJ931" s="1055"/>
      <c r="AK931" s="1055"/>
      <c r="AL931" s="1055"/>
      <c r="AM931" s="1055"/>
      <c r="AN931" s="1055"/>
      <c r="AO931" s="1055"/>
      <c r="AP931" s="1055"/>
      <c r="AQ931" s="1055"/>
      <c r="AR931" s="1055"/>
      <c r="AS931" s="1055"/>
      <c r="AT931" s="1055"/>
      <c r="AU931" s="1055"/>
      <c r="AV931" s="1055"/>
      <c r="AW931" s="1055"/>
      <c r="AX931" s="1055"/>
      <c r="AY931" s="1055"/>
      <c r="AZ931" s="1055"/>
      <c r="BA931" s="1055"/>
      <c r="BB931" s="1055"/>
      <c r="BC931" s="1055"/>
      <c r="BD931" s="1055"/>
      <c r="BE931" s="1055"/>
      <c r="BF931" s="1055"/>
      <c r="BG931" s="1056"/>
      <c r="BH931" s="540"/>
    </row>
    <row r="932" spans="1:60" x14ac:dyDescent="0.15">
      <c r="A932" s="1050"/>
      <c r="B932" s="1064"/>
      <c r="C932" s="1055"/>
      <c r="D932" s="1055"/>
      <c r="E932" s="1055"/>
      <c r="F932" s="1055"/>
      <c r="G932" s="1055"/>
      <c r="H932" s="1055"/>
      <c r="I932" s="1055"/>
      <c r="J932" s="1055"/>
      <c r="K932" s="1055"/>
      <c r="L932" s="1055"/>
      <c r="M932" s="1055"/>
      <c r="N932" s="1055"/>
      <c r="O932" s="1055"/>
      <c r="P932" s="1055"/>
      <c r="Q932" s="1055"/>
      <c r="R932" s="1055"/>
      <c r="S932" s="1055"/>
      <c r="T932" s="1055"/>
      <c r="U932" s="1055"/>
      <c r="V932" s="1055"/>
      <c r="W932" s="1055"/>
      <c r="X932" s="1055"/>
      <c r="Y932" s="1055"/>
      <c r="Z932" s="1055"/>
      <c r="AA932" s="1055"/>
      <c r="AB932" s="1055"/>
      <c r="AC932" s="1055"/>
      <c r="AD932" s="1055"/>
      <c r="AE932" s="1055"/>
      <c r="AF932" s="1055"/>
      <c r="AG932" s="1055"/>
      <c r="AH932" s="1055"/>
      <c r="AI932" s="1055"/>
      <c r="AJ932" s="1055"/>
      <c r="AK932" s="1055"/>
      <c r="AL932" s="1055"/>
      <c r="AM932" s="1055"/>
      <c r="AN932" s="1055"/>
      <c r="AO932" s="1055"/>
      <c r="AP932" s="1055"/>
      <c r="AQ932" s="1055"/>
      <c r="AR932" s="1055"/>
      <c r="AS932" s="1055"/>
      <c r="AT932" s="1055"/>
      <c r="AU932" s="1055"/>
      <c r="AV932" s="1055"/>
      <c r="AW932" s="1055"/>
      <c r="AX932" s="1055"/>
      <c r="AY932" s="1055"/>
      <c r="AZ932" s="1055"/>
      <c r="BA932" s="1055"/>
      <c r="BB932" s="1055"/>
      <c r="BC932" s="1055"/>
      <c r="BD932" s="1055"/>
      <c r="BE932" s="1055"/>
      <c r="BF932" s="1055"/>
      <c r="BG932" s="1056"/>
      <c r="BH932" s="540"/>
    </row>
    <row r="933" spans="1:60" x14ac:dyDescent="0.15">
      <c r="A933" s="1050"/>
      <c r="B933" s="1064"/>
      <c r="C933" s="1055"/>
      <c r="D933" s="1055"/>
      <c r="E933" s="1055"/>
      <c r="F933" s="1055"/>
      <c r="G933" s="1055"/>
      <c r="H933" s="1055"/>
      <c r="I933" s="1055"/>
      <c r="J933" s="1747"/>
      <c r="K933" s="1747"/>
      <c r="L933" s="1747"/>
      <c r="M933" s="1747"/>
      <c r="N933" s="1747"/>
      <c r="O933" s="1747"/>
      <c r="P933" s="1747"/>
      <c r="Q933" s="1747"/>
      <c r="R933" s="1747"/>
      <c r="S933" s="1747"/>
      <c r="T933" s="1747"/>
      <c r="U933" s="1747"/>
      <c r="V933" s="1747"/>
      <c r="W933" s="1747"/>
      <c r="X933" s="1747"/>
      <c r="Y933" s="1747"/>
      <c r="Z933" s="1747"/>
      <c r="AA933" s="1747"/>
      <c r="AB933" s="1747"/>
      <c r="AC933" s="1055"/>
      <c r="AD933" s="1055"/>
      <c r="AE933" s="1055"/>
      <c r="AF933" s="1055"/>
      <c r="AG933" s="1055"/>
      <c r="AH933" s="1055"/>
      <c r="AI933" s="1055"/>
      <c r="AJ933" s="1747"/>
      <c r="AK933" s="1747"/>
      <c r="AL933" s="1747"/>
      <c r="AM933" s="1747"/>
      <c r="AN933" s="1747"/>
      <c r="AO933" s="1747"/>
      <c r="AP933" s="1747"/>
      <c r="AQ933" s="1747"/>
      <c r="AR933" s="1747"/>
      <c r="AS933" s="1747"/>
      <c r="AT933" s="1747"/>
      <c r="AU933" s="1747"/>
      <c r="AV933" s="1747"/>
      <c r="AW933" s="1747"/>
      <c r="AX933" s="1747"/>
      <c r="AY933" s="1747"/>
      <c r="AZ933" s="1747"/>
      <c r="BA933" s="1747"/>
      <c r="BB933" s="1747"/>
      <c r="BC933" s="1055"/>
      <c r="BD933" s="1055"/>
      <c r="BE933" s="1055"/>
      <c r="BF933" s="1055"/>
      <c r="BG933" s="1056"/>
      <c r="BH933" s="540"/>
    </row>
    <row r="934" spans="1:60" x14ac:dyDescent="0.15">
      <c r="A934" s="1050"/>
      <c r="B934" s="1064"/>
      <c r="C934" s="1055"/>
      <c r="D934" s="1055"/>
      <c r="E934" s="1055"/>
      <c r="F934" s="1055"/>
      <c r="G934" s="1055"/>
      <c r="H934" s="1055"/>
      <c r="I934" s="1055"/>
      <c r="J934" s="1055"/>
      <c r="K934" s="1055"/>
      <c r="L934" s="1055"/>
      <c r="M934" s="1055"/>
      <c r="N934" s="1746" t="s">
        <v>802</v>
      </c>
      <c r="O934" s="1746"/>
      <c r="P934" s="1746"/>
      <c r="Q934" s="1746"/>
      <c r="R934" s="1746"/>
      <c r="S934" s="1746"/>
      <c r="T934" s="1746"/>
      <c r="U934" s="1746"/>
      <c r="V934" s="1746"/>
      <c r="W934" s="1746"/>
      <c r="X934" s="1746"/>
      <c r="Y934" s="1055"/>
      <c r="Z934" s="1055"/>
      <c r="AA934" s="1055"/>
      <c r="AB934" s="1055"/>
      <c r="AC934" s="1055"/>
      <c r="AD934" s="1055"/>
      <c r="AE934" s="1055"/>
      <c r="AF934" s="1055"/>
      <c r="AG934" s="1055"/>
      <c r="AH934" s="1055"/>
      <c r="AI934" s="1055"/>
      <c r="AJ934" s="1055"/>
      <c r="AK934" s="1055"/>
      <c r="AL934" s="1055"/>
      <c r="AM934" s="1055"/>
      <c r="AN934" s="1746" t="s">
        <v>802</v>
      </c>
      <c r="AO934" s="1746"/>
      <c r="AP934" s="1746"/>
      <c r="AQ934" s="1746"/>
      <c r="AR934" s="1746"/>
      <c r="AS934" s="1746"/>
      <c r="AT934" s="1746"/>
      <c r="AU934" s="1746"/>
      <c r="AV934" s="1746"/>
      <c r="AW934" s="1746"/>
      <c r="AX934" s="1746"/>
      <c r="AY934" s="1055"/>
      <c r="AZ934" s="1055"/>
      <c r="BA934" s="1055"/>
      <c r="BB934" s="1055"/>
      <c r="BC934" s="1055"/>
      <c r="BD934" s="1055"/>
      <c r="BE934" s="1055"/>
      <c r="BF934" s="1055"/>
      <c r="BG934" s="1056"/>
      <c r="BH934" s="540"/>
    </row>
    <row r="935" spans="1:60" x14ac:dyDescent="0.15">
      <c r="A935" s="1050"/>
      <c r="B935" s="1064"/>
      <c r="C935" s="1760"/>
      <c r="D935" s="1760"/>
      <c r="E935" s="1760"/>
      <c r="F935" s="1760"/>
      <c r="G935" s="1760"/>
      <c r="H935" s="1760"/>
      <c r="I935" s="1760"/>
      <c r="J935" s="1760"/>
      <c r="K935" s="1760"/>
      <c r="L935" s="1760"/>
      <c r="M935" s="1760"/>
      <c r="N935" s="1760"/>
      <c r="O935" s="1760"/>
      <c r="P935" s="1760"/>
      <c r="Q935" s="1760"/>
      <c r="R935" s="1760"/>
      <c r="S935" s="1760"/>
      <c r="T935" s="1760"/>
      <c r="U935" s="1760"/>
      <c r="V935" s="1760"/>
      <c r="W935" s="1760"/>
      <c r="X935" s="1760"/>
      <c r="Y935" s="1760"/>
      <c r="Z935" s="1760"/>
      <c r="AA935" s="1760"/>
      <c r="AB935" s="1760"/>
      <c r="AC935" s="1760"/>
      <c r="AD935" s="1760"/>
      <c r="AE935" s="1760"/>
      <c r="AF935" s="1760"/>
      <c r="AG935" s="1760"/>
      <c r="AH935" s="1760"/>
      <c r="AI935" s="1760"/>
      <c r="AJ935" s="1760"/>
      <c r="AK935" s="1760"/>
      <c r="AL935" s="1760"/>
      <c r="AM935" s="1760"/>
      <c r="AN935" s="1760"/>
      <c r="AO935" s="1760"/>
      <c r="AP935" s="1760"/>
      <c r="AQ935" s="1760"/>
      <c r="AR935" s="1760"/>
      <c r="AS935" s="1760"/>
      <c r="AT935" s="1760"/>
      <c r="AU935" s="1760"/>
      <c r="AV935" s="1760"/>
      <c r="AW935" s="1760"/>
      <c r="AX935" s="1760"/>
      <c r="AY935" s="1760"/>
      <c r="AZ935" s="1760"/>
      <c r="BA935" s="1760"/>
      <c r="BB935" s="1760"/>
      <c r="BC935" s="1760"/>
      <c r="BD935" s="1760"/>
      <c r="BE935" s="1760"/>
      <c r="BF935" s="1760"/>
      <c r="BG935" s="1056"/>
      <c r="BH935" s="540"/>
    </row>
    <row r="936" spans="1:60" x14ac:dyDescent="0.15">
      <c r="A936" s="1050"/>
      <c r="B936" s="1065"/>
      <c r="C936" s="1747"/>
      <c r="D936" s="1747"/>
      <c r="E936" s="1747"/>
      <c r="F936" s="1747"/>
      <c r="G936" s="1747"/>
      <c r="H936" s="1747"/>
      <c r="I936" s="1747"/>
      <c r="J936" s="1747"/>
      <c r="K936" s="1747"/>
      <c r="L936" s="1747"/>
      <c r="M936" s="1747"/>
      <c r="N936" s="1747"/>
      <c r="O936" s="1747"/>
      <c r="P936" s="1747"/>
      <c r="Q936" s="1747"/>
      <c r="R936" s="1747"/>
      <c r="S936" s="1747"/>
      <c r="T936" s="1747"/>
      <c r="U936" s="1747"/>
      <c r="V936" s="1747"/>
      <c r="W936" s="1747"/>
      <c r="X936" s="1747"/>
      <c r="Y936" s="1747"/>
      <c r="Z936" s="1747"/>
      <c r="AA936" s="1747"/>
      <c r="AB936" s="1747"/>
      <c r="AC936" s="1747"/>
      <c r="AD936" s="1747"/>
      <c r="AE936" s="1747"/>
      <c r="AF936" s="1747"/>
      <c r="AG936" s="1747"/>
      <c r="AH936" s="1747"/>
      <c r="AI936" s="1747"/>
      <c r="AJ936" s="1747"/>
      <c r="AK936" s="1747"/>
      <c r="AL936" s="1747"/>
      <c r="AM936" s="1747"/>
      <c r="AN936" s="1747"/>
      <c r="AO936" s="1747"/>
      <c r="AP936" s="1747"/>
      <c r="AQ936" s="1747"/>
      <c r="AR936" s="1747"/>
      <c r="AS936" s="1747"/>
      <c r="AT936" s="1747"/>
      <c r="AU936" s="1747"/>
      <c r="AV936" s="1747"/>
      <c r="AW936" s="1747"/>
      <c r="AX936" s="1747"/>
      <c r="AY936" s="1747"/>
      <c r="AZ936" s="1747"/>
      <c r="BA936" s="1747"/>
      <c r="BB936" s="1747"/>
      <c r="BC936" s="1747"/>
      <c r="BD936" s="1747"/>
      <c r="BE936" s="1747"/>
      <c r="BF936" s="1747"/>
      <c r="BG936" s="1067"/>
      <c r="BH936" s="540"/>
    </row>
    <row r="937" spans="1:60" x14ac:dyDescent="0.15">
      <c r="A937" s="1050"/>
      <c r="B937" s="1050"/>
      <c r="C937" s="1050"/>
      <c r="D937" s="1050"/>
      <c r="E937" s="1050"/>
      <c r="F937" s="1050"/>
      <c r="G937" s="1050"/>
      <c r="H937" s="1050"/>
      <c r="I937" s="1050"/>
      <c r="J937" s="1050"/>
      <c r="K937" s="1050"/>
      <c r="L937" s="1050"/>
      <c r="M937" s="1050"/>
      <c r="N937" s="1050"/>
      <c r="O937" s="1050"/>
      <c r="P937" s="1050"/>
      <c r="Q937" s="1050"/>
      <c r="R937" s="1050"/>
      <c r="S937" s="1050"/>
      <c r="T937" s="1050"/>
      <c r="U937" s="1050"/>
      <c r="V937" s="1050"/>
      <c r="W937" s="1050"/>
      <c r="X937" s="1050"/>
      <c r="Y937" s="1050"/>
      <c r="Z937" s="1050"/>
      <c r="AA937" s="1050"/>
      <c r="AB937" s="1050"/>
      <c r="AC937" s="1050"/>
      <c r="AD937" s="1050"/>
      <c r="AE937" s="1050"/>
      <c r="AF937" s="1050"/>
      <c r="AG937" s="1050"/>
      <c r="AH937" s="1050"/>
      <c r="AI937" s="1050"/>
      <c r="AJ937" s="1050"/>
      <c r="AK937" s="1050"/>
      <c r="AL937" s="1050"/>
      <c r="AM937" s="1050"/>
      <c r="AN937" s="1050"/>
      <c r="AO937" s="1050"/>
      <c r="AP937" s="1050"/>
      <c r="AQ937" s="1050"/>
      <c r="AR937" s="1050"/>
      <c r="AS937" s="1050"/>
      <c r="AT937" s="1050"/>
      <c r="AU937" s="1050"/>
      <c r="AV937" s="1050"/>
      <c r="AW937" s="1050"/>
      <c r="AX937" s="1050"/>
      <c r="AY937" s="1050"/>
      <c r="AZ937" s="1050"/>
      <c r="BA937" s="1050"/>
      <c r="BB937" s="1050"/>
      <c r="BC937" s="1050"/>
      <c r="BD937" s="1050"/>
      <c r="BE937" s="1050"/>
      <c r="BF937" s="1050"/>
      <c r="BG937" s="1050"/>
      <c r="BH937" s="540"/>
    </row>
  </sheetData>
  <sheetProtection password="C613" sheet="1" objects="1" scenarios="1"/>
  <mergeCells count="823">
    <mergeCell ref="C935:BF935"/>
    <mergeCell ref="C936:BF936"/>
    <mergeCell ref="J925:AB925"/>
    <mergeCell ref="AJ925:BB925"/>
    <mergeCell ref="N926:X926"/>
    <mergeCell ref="AN926:AX926"/>
    <mergeCell ref="J929:AB929"/>
    <mergeCell ref="AJ929:BB929"/>
    <mergeCell ref="N930:X930"/>
    <mergeCell ref="AN930:AX930"/>
    <mergeCell ref="J933:AB933"/>
    <mergeCell ref="AJ933:BB933"/>
    <mergeCell ref="C910:BF910"/>
    <mergeCell ref="C911:BF911"/>
    <mergeCell ref="H912:T912"/>
    <mergeCell ref="J921:AB921"/>
    <mergeCell ref="AJ921:BB921"/>
    <mergeCell ref="N922:X922"/>
    <mergeCell ref="AN922:AX922"/>
    <mergeCell ref="N934:X934"/>
    <mergeCell ref="AN934:AX934"/>
    <mergeCell ref="AG914:BD914"/>
    <mergeCell ref="AG915:BD915"/>
    <mergeCell ref="C901:BF901"/>
    <mergeCell ref="C902:BF902"/>
    <mergeCell ref="C903:BF903"/>
    <mergeCell ref="C904:BF904"/>
    <mergeCell ref="C905:BF905"/>
    <mergeCell ref="C906:BF906"/>
    <mergeCell ref="C907:BF907"/>
    <mergeCell ref="C908:BF908"/>
    <mergeCell ref="C909:BF909"/>
    <mergeCell ref="C892:BF892"/>
    <mergeCell ref="C893:BF893"/>
    <mergeCell ref="C894:BF894"/>
    <mergeCell ref="C895:BF895"/>
    <mergeCell ref="C896:BF896"/>
    <mergeCell ref="C897:BF897"/>
    <mergeCell ref="C898:BF898"/>
    <mergeCell ref="C899:BF899"/>
    <mergeCell ref="C900:BF900"/>
    <mergeCell ref="C883:BF883"/>
    <mergeCell ref="C884:AH884"/>
    <mergeCell ref="C885:BF885"/>
    <mergeCell ref="C886:BF886"/>
    <mergeCell ref="C887:BF887"/>
    <mergeCell ref="C888:BF888"/>
    <mergeCell ref="C889:BF889"/>
    <mergeCell ref="C890:BF890"/>
    <mergeCell ref="C891:BF891"/>
    <mergeCell ref="C872:T872"/>
    <mergeCell ref="X872:AL872"/>
    <mergeCell ref="C875:T875"/>
    <mergeCell ref="X875:AL875"/>
    <mergeCell ref="AO875:BF875"/>
    <mergeCell ref="C878:T878"/>
    <mergeCell ref="X878:AL878"/>
    <mergeCell ref="B881:BG881"/>
    <mergeCell ref="C882:BF882"/>
    <mergeCell ref="D861:N863"/>
    <mergeCell ref="P862:S862"/>
    <mergeCell ref="U862:AY862"/>
    <mergeCell ref="BA862:BF862"/>
    <mergeCell ref="D865:AC865"/>
    <mergeCell ref="AF865:AP865"/>
    <mergeCell ref="AX865:BF865"/>
    <mergeCell ref="C869:T869"/>
    <mergeCell ref="X869:AL869"/>
    <mergeCell ref="AO869:BF869"/>
    <mergeCell ref="A850:D850"/>
    <mergeCell ref="Q850:AS850"/>
    <mergeCell ref="A851:D851"/>
    <mergeCell ref="B852:BG852"/>
    <mergeCell ref="C854:BF854"/>
    <mergeCell ref="C857:T857"/>
    <mergeCell ref="X857:AN857"/>
    <mergeCell ref="AR857:BD857"/>
    <mergeCell ref="P860:S860"/>
    <mergeCell ref="J841:AB841"/>
    <mergeCell ref="AJ841:BB841"/>
    <mergeCell ref="N842:X842"/>
    <mergeCell ref="AN842:AX842"/>
    <mergeCell ref="C843:BF843"/>
    <mergeCell ref="C844:BF844"/>
    <mergeCell ref="B846:BG847"/>
    <mergeCell ref="A848:D848"/>
    <mergeCell ref="A849:D849"/>
    <mergeCell ref="N830:X830"/>
    <mergeCell ref="AN830:AX830"/>
    <mergeCell ref="J833:AB833"/>
    <mergeCell ref="AJ833:BB833"/>
    <mergeCell ref="N834:X834"/>
    <mergeCell ref="AN834:AX834"/>
    <mergeCell ref="J837:AB837"/>
    <mergeCell ref="AJ837:BB837"/>
    <mergeCell ref="N838:X838"/>
    <mergeCell ref="AN838:AX838"/>
    <mergeCell ref="C814:BF814"/>
    <mergeCell ref="C815:BF815"/>
    <mergeCell ref="C816:BF816"/>
    <mergeCell ref="C817:BF817"/>
    <mergeCell ref="C818:BF818"/>
    <mergeCell ref="C819:BF819"/>
    <mergeCell ref="H820:T820"/>
    <mergeCell ref="J829:AB829"/>
    <mergeCell ref="AJ829:BB829"/>
    <mergeCell ref="AG822:BD822"/>
    <mergeCell ref="C809:BF809"/>
    <mergeCell ref="C810:BF810"/>
    <mergeCell ref="C811:BF811"/>
    <mergeCell ref="C812:BF812"/>
    <mergeCell ref="C813:BF813"/>
    <mergeCell ref="C805:BF805"/>
    <mergeCell ref="C806:BF806"/>
    <mergeCell ref="C807:BF807"/>
    <mergeCell ref="C808:BF808"/>
    <mergeCell ref="C796:BF796"/>
    <mergeCell ref="C797:BF797"/>
    <mergeCell ref="C798:BF798"/>
    <mergeCell ref="C799:BF799"/>
    <mergeCell ref="C800:BF800"/>
    <mergeCell ref="C801:BF801"/>
    <mergeCell ref="C802:BF802"/>
    <mergeCell ref="C803:BF803"/>
    <mergeCell ref="C804:BF804"/>
    <mergeCell ref="C786:T786"/>
    <mergeCell ref="X786:AL786"/>
    <mergeCell ref="B789:BG789"/>
    <mergeCell ref="C790:BF790"/>
    <mergeCell ref="C791:BF791"/>
    <mergeCell ref="C792:AH792"/>
    <mergeCell ref="C793:BF793"/>
    <mergeCell ref="C794:BF794"/>
    <mergeCell ref="C795:BF795"/>
    <mergeCell ref="D773:AC773"/>
    <mergeCell ref="AF773:AP773"/>
    <mergeCell ref="AX773:BF773"/>
    <mergeCell ref="C777:T777"/>
    <mergeCell ref="X777:AL777"/>
    <mergeCell ref="AO777:BF777"/>
    <mergeCell ref="C780:T780"/>
    <mergeCell ref="X780:AL780"/>
    <mergeCell ref="C783:T783"/>
    <mergeCell ref="X783:AL783"/>
    <mergeCell ref="AO783:BF783"/>
    <mergeCell ref="C762:BF762"/>
    <mergeCell ref="C765:T765"/>
    <mergeCell ref="X765:AN765"/>
    <mergeCell ref="AR765:BD765"/>
    <mergeCell ref="P768:S768"/>
    <mergeCell ref="D769:N771"/>
    <mergeCell ref="P770:S770"/>
    <mergeCell ref="U770:AY770"/>
    <mergeCell ref="BA770:BF770"/>
    <mergeCell ref="C751:BF751"/>
    <mergeCell ref="C752:BF752"/>
    <mergeCell ref="B754:BG755"/>
    <mergeCell ref="A756:D756"/>
    <mergeCell ref="A757:D757"/>
    <mergeCell ref="A758:D758"/>
    <mergeCell ref="Q758:AS758"/>
    <mergeCell ref="A759:D759"/>
    <mergeCell ref="B760:BG760"/>
    <mergeCell ref="N742:X742"/>
    <mergeCell ref="AN742:AX742"/>
    <mergeCell ref="J745:AB745"/>
    <mergeCell ref="AJ745:BB745"/>
    <mergeCell ref="N746:X746"/>
    <mergeCell ref="AN746:AX746"/>
    <mergeCell ref="J749:AB749"/>
    <mergeCell ref="AJ749:BB749"/>
    <mergeCell ref="N750:X750"/>
    <mergeCell ref="AN750:AX750"/>
    <mergeCell ref="C726:BF726"/>
    <mergeCell ref="C727:BF727"/>
    <mergeCell ref="H728:T728"/>
    <mergeCell ref="J737:AB737"/>
    <mergeCell ref="AJ737:BB737"/>
    <mergeCell ref="N738:X738"/>
    <mergeCell ref="AN738:AX738"/>
    <mergeCell ref="J741:AB741"/>
    <mergeCell ref="AJ741:BB741"/>
    <mergeCell ref="C717:BF717"/>
    <mergeCell ref="C718:BF718"/>
    <mergeCell ref="C719:BF719"/>
    <mergeCell ref="C720:BF720"/>
    <mergeCell ref="C721:BF721"/>
    <mergeCell ref="C722:BF722"/>
    <mergeCell ref="C723:BF723"/>
    <mergeCell ref="C724:BF724"/>
    <mergeCell ref="C725:BF725"/>
    <mergeCell ref="C708:BF708"/>
    <mergeCell ref="C709:BF709"/>
    <mergeCell ref="C710:BF710"/>
    <mergeCell ref="C711:BF711"/>
    <mergeCell ref="C712:BF712"/>
    <mergeCell ref="C713:BF713"/>
    <mergeCell ref="C714:BF714"/>
    <mergeCell ref="C715:BF715"/>
    <mergeCell ref="C716:BF716"/>
    <mergeCell ref="C699:BF699"/>
    <mergeCell ref="C700:BF700"/>
    <mergeCell ref="C701:BF701"/>
    <mergeCell ref="C702:BF702"/>
    <mergeCell ref="C703:BF703"/>
    <mergeCell ref="C704:BF704"/>
    <mergeCell ref="C705:BF705"/>
    <mergeCell ref="C706:BF706"/>
    <mergeCell ref="C707:BF707"/>
    <mergeCell ref="C690:BF690"/>
    <mergeCell ref="C691:BF691"/>
    <mergeCell ref="C692:BF692"/>
    <mergeCell ref="C693:BF693"/>
    <mergeCell ref="C694:BF694"/>
    <mergeCell ref="C695:BF695"/>
    <mergeCell ref="C696:BF696"/>
    <mergeCell ref="C697:BF697"/>
    <mergeCell ref="C698:BF698"/>
    <mergeCell ref="C681:BF681"/>
    <mergeCell ref="C682:AH682"/>
    <mergeCell ref="C683:BF683"/>
    <mergeCell ref="C684:BF684"/>
    <mergeCell ref="C685:BF685"/>
    <mergeCell ref="C686:BF686"/>
    <mergeCell ref="C687:BF687"/>
    <mergeCell ref="C688:BF688"/>
    <mergeCell ref="C689:BF689"/>
    <mergeCell ref="C670:T670"/>
    <mergeCell ref="X670:AL670"/>
    <mergeCell ref="C673:T673"/>
    <mergeCell ref="X673:AL673"/>
    <mergeCell ref="AO673:BF673"/>
    <mergeCell ref="C676:T676"/>
    <mergeCell ref="X676:AL676"/>
    <mergeCell ref="B679:BG679"/>
    <mergeCell ref="C680:BF680"/>
    <mergeCell ref="P658:S658"/>
    <mergeCell ref="D659:N661"/>
    <mergeCell ref="P660:S660"/>
    <mergeCell ref="U660:AY660"/>
    <mergeCell ref="BA660:BF660"/>
    <mergeCell ref="D663:AC663"/>
    <mergeCell ref="AF663:AP663"/>
    <mergeCell ref="AX663:BF663"/>
    <mergeCell ref="C667:T667"/>
    <mergeCell ref="X667:AL667"/>
    <mergeCell ref="AO667:BF667"/>
    <mergeCell ref="B644:BG645"/>
    <mergeCell ref="A646:D646"/>
    <mergeCell ref="A647:D647"/>
    <mergeCell ref="A648:D648"/>
    <mergeCell ref="Q648:AS648"/>
    <mergeCell ref="A649:D649"/>
    <mergeCell ref="B650:BG650"/>
    <mergeCell ref="C652:BF652"/>
    <mergeCell ref="C655:T655"/>
    <mergeCell ref="X655:AN655"/>
    <mergeCell ref="AR655:BD655"/>
    <mergeCell ref="J639:AB639"/>
    <mergeCell ref="AJ639:BB639"/>
    <mergeCell ref="N640:X640"/>
    <mergeCell ref="AN640:AX640"/>
    <mergeCell ref="C641:BF641"/>
    <mergeCell ref="C642:BF642"/>
    <mergeCell ref="C586:BF586"/>
    <mergeCell ref="C587:BF587"/>
    <mergeCell ref="C588:BF588"/>
    <mergeCell ref="C589:BF589"/>
    <mergeCell ref="C590:BF590"/>
    <mergeCell ref="C591:BF591"/>
    <mergeCell ref="C592:BF592"/>
    <mergeCell ref="C593:BF593"/>
    <mergeCell ref="C595:BF595"/>
    <mergeCell ref="C596:BF596"/>
    <mergeCell ref="C597:BF597"/>
    <mergeCell ref="C598:BF598"/>
    <mergeCell ref="C599:BF599"/>
    <mergeCell ref="C600:BF600"/>
    <mergeCell ref="C601:BF601"/>
    <mergeCell ref="C602:BF602"/>
    <mergeCell ref="C603:BF603"/>
    <mergeCell ref="C604:BF604"/>
    <mergeCell ref="N628:X628"/>
    <mergeCell ref="AN628:AX628"/>
    <mergeCell ref="J631:AB631"/>
    <mergeCell ref="AJ631:BB631"/>
    <mergeCell ref="N632:X632"/>
    <mergeCell ref="AN632:AX632"/>
    <mergeCell ref="J635:AB635"/>
    <mergeCell ref="AJ635:BB635"/>
    <mergeCell ref="N636:X636"/>
    <mergeCell ref="AN636:AX636"/>
    <mergeCell ref="C585:BF585"/>
    <mergeCell ref="C594:BF594"/>
    <mergeCell ref="C615:BF615"/>
    <mergeCell ref="C616:BF616"/>
    <mergeCell ref="C617:BF617"/>
    <mergeCell ref="H618:T618"/>
    <mergeCell ref="J627:AB627"/>
    <mergeCell ref="AJ627:BB627"/>
    <mergeCell ref="C605:BF605"/>
    <mergeCell ref="C606:BF606"/>
    <mergeCell ref="C607:BF607"/>
    <mergeCell ref="C608:BF608"/>
    <mergeCell ref="C609:BF609"/>
    <mergeCell ref="C610:BF610"/>
    <mergeCell ref="C611:BF611"/>
    <mergeCell ref="C612:BF612"/>
    <mergeCell ref="C613:BF613"/>
    <mergeCell ref="C614:BF614"/>
    <mergeCell ref="C576:BF576"/>
    <mergeCell ref="C577:BF577"/>
    <mergeCell ref="C578:BF578"/>
    <mergeCell ref="C579:BF579"/>
    <mergeCell ref="C580:BF580"/>
    <mergeCell ref="C581:BF581"/>
    <mergeCell ref="C582:BF582"/>
    <mergeCell ref="C583:BF583"/>
    <mergeCell ref="C584:BF584"/>
    <mergeCell ref="C566:T566"/>
    <mergeCell ref="X566:AL566"/>
    <mergeCell ref="B569:BG569"/>
    <mergeCell ref="C570:BF570"/>
    <mergeCell ref="C571:BF571"/>
    <mergeCell ref="C572:AH572"/>
    <mergeCell ref="C573:BF573"/>
    <mergeCell ref="C574:BF574"/>
    <mergeCell ref="C575:BF575"/>
    <mergeCell ref="D553:AC553"/>
    <mergeCell ref="AF553:AP553"/>
    <mergeCell ref="AX553:BF553"/>
    <mergeCell ref="C557:T557"/>
    <mergeCell ref="X557:AL557"/>
    <mergeCell ref="AO557:BF557"/>
    <mergeCell ref="C560:T560"/>
    <mergeCell ref="X560:AL560"/>
    <mergeCell ref="C563:T563"/>
    <mergeCell ref="X563:AL563"/>
    <mergeCell ref="AO563:BF563"/>
    <mergeCell ref="C542:BF542"/>
    <mergeCell ref="C545:T545"/>
    <mergeCell ref="X545:AN545"/>
    <mergeCell ref="AR545:BD545"/>
    <mergeCell ref="P548:S548"/>
    <mergeCell ref="D549:N551"/>
    <mergeCell ref="P550:S550"/>
    <mergeCell ref="U550:AY550"/>
    <mergeCell ref="BA550:BF550"/>
    <mergeCell ref="C531:BF531"/>
    <mergeCell ref="C532:BF532"/>
    <mergeCell ref="B534:BG535"/>
    <mergeCell ref="A536:D536"/>
    <mergeCell ref="A537:D537"/>
    <mergeCell ref="A538:D538"/>
    <mergeCell ref="Q538:AS538"/>
    <mergeCell ref="A539:D539"/>
    <mergeCell ref="B540:BG540"/>
    <mergeCell ref="N522:X522"/>
    <mergeCell ref="AN522:AX522"/>
    <mergeCell ref="J525:AB525"/>
    <mergeCell ref="AJ525:BB525"/>
    <mergeCell ref="N526:X526"/>
    <mergeCell ref="AN526:AX526"/>
    <mergeCell ref="J529:AB529"/>
    <mergeCell ref="AJ529:BB529"/>
    <mergeCell ref="N530:X530"/>
    <mergeCell ref="AN530:AX530"/>
    <mergeCell ref="C505:BF505"/>
    <mergeCell ref="C506:BF506"/>
    <mergeCell ref="C507:BF507"/>
    <mergeCell ref="H508:T508"/>
    <mergeCell ref="J517:AB517"/>
    <mergeCell ref="AJ517:BB517"/>
    <mergeCell ref="N518:X518"/>
    <mergeCell ref="AN518:AX518"/>
    <mergeCell ref="J521:AB521"/>
    <mergeCell ref="AJ521:BB521"/>
    <mergeCell ref="C484:T484"/>
    <mergeCell ref="X484:AL484"/>
    <mergeCell ref="B487:BG487"/>
    <mergeCell ref="C488:BF488"/>
    <mergeCell ref="C501:BF501"/>
    <mergeCell ref="C502:BF502"/>
    <mergeCell ref="C503:BF503"/>
    <mergeCell ref="C504:BF504"/>
    <mergeCell ref="C498:BF498"/>
    <mergeCell ref="C499:BF499"/>
    <mergeCell ref="C500:BF500"/>
    <mergeCell ref="C489:BF489"/>
    <mergeCell ref="C490:AH490"/>
    <mergeCell ref="C491:BF491"/>
    <mergeCell ref="C492:BF492"/>
    <mergeCell ref="C493:BF493"/>
    <mergeCell ref="C494:BF494"/>
    <mergeCell ref="C495:BF495"/>
    <mergeCell ref="C496:BF496"/>
    <mergeCell ref="C497:BF497"/>
    <mergeCell ref="D471:AC471"/>
    <mergeCell ref="AF471:AP471"/>
    <mergeCell ref="AX471:BF471"/>
    <mergeCell ref="C475:T475"/>
    <mergeCell ref="X475:AL475"/>
    <mergeCell ref="AO475:BF475"/>
    <mergeCell ref="C478:T478"/>
    <mergeCell ref="X478:AL478"/>
    <mergeCell ref="C481:T481"/>
    <mergeCell ref="X481:AL481"/>
    <mergeCell ref="AO481:BF481"/>
    <mergeCell ref="C460:BF460"/>
    <mergeCell ref="C463:T463"/>
    <mergeCell ref="X463:AN463"/>
    <mergeCell ref="AR463:BD463"/>
    <mergeCell ref="P466:S466"/>
    <mergeCell ref="D467:N469"/>
    <mergeCell ref="P468:S468"/>
    <mergeCell ref="U468:AY468"/>
    <mergeCell ref="BA468:BF468"/>
    <mergeCell ref="C449:BF449"/>
    <mergeCell ref="C450:BF450"/>
    <mergeCell ref="B452:BG453"/>
    <mergeCell ref="A454:D454"/>
    <mergeCell ref="A455:D455"/>
    <mergeCell ref="A456:D456"/>
    <mergeCell ref="Q456:AS456"/>
    <mergeCell ref="A457:D457"/>
    <mergeCell ref="B458:BG458"/>
    <mergeCell ref="N440:X440"/>
    <mergeCell ref="AN440:AX440"/>
    <mergeCell ref="J443:AB443"/>
    <mergeCell ref="AJ443:BB443"/>
    <mergeCell ref="N444:X444"/>
    <mergeCell ref="AN444:AX444"/>
    <mergeCell ref="J447:AB447"/>
    <mergeCell ref="AJ447:BB447"/>
    <mergeCell ref="N448:X448"/>
    <mergeCell ref="AN448:AX448"/>
    <mergeCell ref="C423:BF423"/>
    <mergeCell ref="C424:BF424"/>
    <mergeCell ref="C425:BF425"/>
    <mergeCell ref="H426:T426"/>
    <mergeCell ref="J435:AB435"/>
    <mergeCell ref="AJ435:BB435"/>
    <mergeCell ref="N436:X436"/>
    <mergeCell ref="AN436:AX436"/>
    <mergeCell ref="J439:AB439"/>
    <mergeCell ref="AJ439:BB439"/>
    <mergeCell ref="C414:BF414"/>
    <mergeCell ref="C415:BF415"/>
    <mergeCell ref="C416:BF416"/>
    <mergeCell ref="C417:BF417"/>
    <mergeCell ref="C418:BF418"/>
    <mergeCell ref="C419:BF419"/>
    <mergeCell ref="C420:BF420"/>
    <mergeCell ref="C421:BF421"/>
    <mergeCell ref="C422:BF422"/>
    <mergeCell ref="C405:BF405"/>
    <mergeCell ref="C406:BF406"/>
    <mergeCell ref="C407:BF407"/>
    <mergeCell ref="C408:BF408"/>
    <mergeCell ref="C409:BF409"/>
    <mergeCell ref="C410:BF410"/>
    <mergeCell ref="C411:BF411"/>
    <mergeCell ref="C412:BF412"/>
    <mergeCell ref="C413:BF413"/>
    <mergeCell ref="C396:BF396"/>
    <mergeCell ref="C397:AH397"/>
    <mergeCell ref="C398:BF398"/>
    <mergeCell ref="C399:BF399"/>
    <mergeCell ref="C400:BF400"/>
    <mergeCell ref="C401:BF401"/>
    <mergeCell ref="C402:BF402"/>
    <mergeCell ref="C403:BF403"/>
    <mergeCell ref="C404:BF404"/>
    <mergeCell ref="C385:T385"/>
    <mergeCell ref="X385:AL385"/>
    <mergeCell ref="C388:T388"/>
    <mergeCell ref="X388:AL388"/>
    <mergeCell ref="AO388:BF388"/>
    <mergeCell ref="C391:T391"/>
    <mergeCell ref="X391:AL391"/>
    <mergeCell ref="B394:BG394"/>
    <mergeCell ref="C395:BF395"/>
    <mergeCell ref="P373:S373"/>
    <mergeCell ref="D374:N376"/>
    <mergeCell ref="P375:S375"/>
    <mergeCell ref="U375:AY375"/>
    <mergeCell ref="BA375:BF375"/>
    <mergeCell ref="D378:AC378"/>
    <mergeCell ref="AF378:AP378"/>
    <mergeCell ref="AX378:BF378"/>
    <mergeCell ref="C382:T382"/>
    <mergeCell ref="X382:AL382"/>
    <mergeCell ref="AO382:BF382"/>
    <mergeCell ref="A361:D361"/>
    <mergeCell ref="A362:D362"/>
    <mergeCell ref="A363:D363"/>
    <mergeCell ref="Q363:AS363"/>
    <mergeCell ref="A364:D364"/>
    <mergeCell ref="B365:BG365"/>
    <mergeCell ref="C367:BF367"/>
    <mergeCell ref="C370:T370"/>
    <mergeCell ref="X370:AN370"/>
    <mergeCell ref="AR370:BD370"/>
    <mergeCell ref="N351:X351"/>
    <mergeCell ref="AN351:AX351"/>
    <mergeCell ref="J354:AB354"/>
    <mergeCell ref="AJ354:BB354"/>
    <mergeCell ref="N355:X355"/>
    <mergeCell ref="AN355:AX355"/>
    <mergeCell ref="C356:BF356"/>
    <mergeCell ref="C357:BF357"/>
    <mergeCell ref="B359:BG360"/>
    <mergeCell ref="J342:AB342"/>
    <mergeCell ref="AJ342:BB342"/>
    <mergeCell ref="N343:X343"/>
    <mergeCell ref="AN343:AX343"/>
    <mergeCell ref="J346:AB346"/>
    <mergeCell ref="AJ346:BB346"/>
    <mergeCell ref="N347:X347"/>
    <mergeCell ref="AN347:AX347"/>
    <mergeCell ref="J350:AB350"/>
    <mergeCell ref="AJ350:BB350"/>
    <mergeCell ref="C326:BF326"/>
    <mergeCell ref="C327:BF327"/>
    <mergeCell ref="C328:BF328"/>
    <mergeCell ref="C329:BF329"/>
    <mergeCell ref="C330:BF330"/>
    <mergeCell ref="C331:BF331"/>
    <mergeCell ref="C332:BF332"/>
    <mergeCell ref="H333:T333"/>
    <mergeCell ref="AF335:BD335"/>
    <mergeCell ref="C317:BF317"/>
    <mergeCell ref="C318:BF318"/>
    <mergeCell ref="C319:BF319"/>
    <mergeCell ref="C320:BF320"/>
    <mergeCell ref="C321:BF321"/>
    <mergeCell ref="C322:BF322"/>
    <mergeCell ref="C323:BF323"/>
    <mergeCell ref="C324:BF324"/>
    <mergeCell ref="C325:BF325"/>
    <mergeCell ref="C308:BF308"/>
    <mergeCell ref="C309:BF309"/>
    <mergeCell ref="C310:BF310"/>
    <mergeCell ref="C311:BF311"/>
    <mergeCell ref="C312:BF312"/>
    <mergeCell ref="C313:BF313"/>
    <mergeCell ref="C314:BF314"/>
    <mergeCell ref="C315:BF315"/>
    <mergeCell ref="C316:BF316"/>
    <mergeCell ref="C298:T298"/>
    <mergeCell ref="X298:AL298"/>
    <mergeCell ref="B301:BG301"/>
    <mergeCell ref="C302:BF302"/>
    <mergeCell ref="C303:BF303"/>
    <mergeCell ref="C304:AH304"/>
    <mergeCell ref="C305:BF305"/>
    <mergeCell ref="C306:BF306"/>
    <mergeCell ref="C307:BF307"/>
    <mergeCell ref="D285:AC285"/>
    <mergeCell ref="AF285:AP285"/>
    <mergeCell ref="AX285:BF285"/>
    <mergeCell ref="C289:T289"/>
    <mergeCell ref="X289:AL289"/>
    <mergeCell ref="AO289:BF289"/>
    <mergeCell ref="C292:T292"/>
    <mergeCell ref="X292:AL292"/>
    <mergeCell ref="C295:T295"/>
    <mergeCell ref="X295:AL295"/>
    <mergeCell ref="AO295:BF295"/>
    <mergeCell ref="A271:D271"/>
    <mergeCell ref="B272:BG272"/>
    <mergeCell ref="C274:BF274"/>
    <mergeCell ref="C277:T277"/>
    <mergeCell ref="X277:AN277"/>
    <mergeCell ref="AR277:BD277"/>
    <mergeCell ref="P280:S280"/>
    <mergeCell ref="D281:N283"/>
    <mergeCell ref="P282:S282"/>
    <mergeCell ref="U282:AY282"/>
    <mergeCell ref="BA282:BF282"/>
    <mergeCell ref="N262:X262"/>
    <mergeCell ref="AN262:AX262"/>
    <mergeCell ref="C263:BF263"/>
    <mergeCell ref="C264:BF264"/>
    <mergeCell ref="B266:BG267"/>
    <mergeCell ref="A268:D268"/>
    <mergeCell ref="A269:D269"/>
    <mergeCell ref="A270:D270"/>
    <mergeCell ref="Q270:AS270"/>
    <mergeCell ref="B173:BG174"/>
    <mergeCell ref="A175:D175"/>
    <mergeCell ref="A176:D176"/>
    <mergeCell ref="A177:D177"/>
    <mergeCell ref="Q177:AS177"/>
    <mergeCell ref="A178:D178"/>
    <mergeCell ref="B179:BG179"/>
    <mergeCell ref="C184:T184"/>
    <mergeCell ref="X184:AN184"/>
    <mergeCell ref="AR184:BD184"/>
    <mergeCell ref="C181:BF181"/>
    <mergeCell ref="P187:S187"/>
    <mergeCell ref="D188:N190"/>
    <mergeCell ref="P189:S189"/>
    <mergeCell ref="U189:AY189"/>
    <mergeCell ref="BA189:BF189"/>
    <mergeCell ref="D192:AC192"/>
    <mergeCell ref="AF192:AP192"/>
    <mergeCell ref="AX192:BF192"/>
    <mergeCell ref="C196:T196"/>
    <mergeCell ref="X196:AL196"/>
    <mergeCell ref="J253:AB253"/>
    <mergeCell ref="AJ253:BB253"/>
    <mergeCell ref="N254:X254"/>
    <mergeCell ref="AN254:AX254"/>
    <mergeCell ref="J257:AB257"/>
    <mergeCell ref="AJ257:BB257"/>
    <mergeCell ref="N258:X258"/>
    <mergeCell ref="AN258:AX258"/>
    <mergeCell ref="J261:AB261"/>
    <mergeCell ref="AJ261:BB261"/>
    <mergeCell ref="C171:BF171"/>
    <mergeCell ref="C172:BF172"/>
    <mergeCell ref="C170:BF170"/>
    <mergeCell ref="J168:AB168"/>
    <mergeCell ref="AJ168:BB168"/>
    <mergeCell ref="N169:X169"/>
    <mergeCell ref="AN169:AX169"/>
    <mergeCell ref="C139:BF139"/>
    <mergeCell ref="C140:BF140"/>
    <mergeCell ref="C146:BF146"/>
    <mergeCell ref="H147:T147"/>
    <mergeCell ref="J156:AB156"/>
    <mergeCell ref="AJ156:BB156"/>
    <mergeCell ref="N157:X157"/>
    <mergeCell ref="AN157:AX157"/>
    <mergeCell ref="J160:AB160"/>
    <mergeCell ref="AJ160:BB160"/>
    <mergeCell ref="J164:AB164"/>
    <mergeCell ref="AJ164:BB164"/>
    <mergeCell ref="N165:X165"/>
    <mergeCell ref="AN165:AX165"/>
    <mergeCell ref="C143:BF143"/>
    <mergeCell ref="C106:T106"/>
    <mergeCell ref="X106:AL106"/>
    <mergeCell ref="C109:T109"/>
    <mergeCell ref="X109:AL109"/>
    <mergeCell ref="AO109:BF109"/>
    <mergeCell ref="C112:T112"/>
    <mergeCell ref="C124:BF124"/>
    <mergeCell ref="C125:BF125"/>
    <mergeCell ref="C126:BF126"/>
    <mergeCell ref="C121:BF121"/>
    <mergeCell ref="C122:BF122"/>
    <mergeCell ref="C123:BF123"/>
    <mergeCell ref="X112:AL112"/>
    <mergeCell ref="B115:BG115"/>
    <mergeCell ref="C116:BF116"/>
    <mergeCell ref="C117:BF117"/>
    <mergeCell ref="C119:BF119"/>
    <mergeCell ref="C120:BF120"/>
    <mergeCell ref="C118:AH118"/>
    <mergeCell ref="D95:N97"/>
    <mergeCell ref="P96:S96"/>
    <mergeCell ref="U96:AY96"/>
    <mergeCell ref="BA96:BF96"/>
    <mergeCell ref="D99:AC99"/>
    <mergeCell ref="AF99:AP99"/>
    <mergeCell ref="AX99:BF99"/>
    <mergeCell ref="C103:T103"/>
    <mergeCell ref="X103:AL103"/>
    <mergeCell ref="AO103:BF103"/>
    <mergeCell ref="C88:BF88"/>
    <mergeCell ref="B86:BG86"/>
    <mergeCell ref="C91:T91"/>
    <mergeCell ref="X91:AN91"/>
    <mergeCell ref="AR91:BD91"/>
    <mergeCell ref="P94:S94"/>
    <mergeCell ref="C77:BF77"/>
    <mergeCell ref="C78:BF78"/>
    <mergeCell ref="C79:BF79"/>
    <mergeCell ref="B80:BG81"/>
    <mergeCell ref="A82:D82"/>
    <mergeCell ref="A83:D83"/>
    <mergeCell ref="A84:D84"/>
    <mergeCell ref="Q84:AS84"/>
    <mergeCell ref="A85:D85"/>
    <mergeCell ref="N76:X76"/>
    <mergeCell ref="AN76:AX76"/>
    <mergeCell ref="J71:AB71"/>
    <mergeCell ref="AJ71:BB71"/>
    <mergeCell ref="N72:X72"/>
    <mergeCell ref="AN72:AX72"/>
    <mergeCell ref="J75:AB75"/>
    <mergeCell ref="AJ75:BB75"/>
    <mergeCell ref="J67:AB67"/>
    <mergeCell ref="AJ67:BB67"/>
    <mergeCell ref="N68:X68"/>
    <mergeCell ref="AN68:AX68"/>
    <mergeCell ref="J63:AB63"/>
    <mergeCell ref="AJ63:BB63"/>
    <mergeCell ref="N64:X64"/>
    <mergeCell ref="AN64:AX64"/>
    <mergeCell ref="C51:BF51"/>
    <mergeCell ref="C52:BF52"/>
    <mergeCell ref="C53:BF53"/>
    <mergeCell ref="H54:T54"/>
    <mergeCell ref="AH56:BD56"/>
    <mergeCell ref="AH57:BD57"/>
    <mergeCell ref="J249:AB249"/>
    <mergeCell ref="AJ249:BB249"/>
    <mergeCell ref="N250:X250"/>
    <mergeCell ref="AN250:AX250"/>
    <mergeCell ref="C238:BF238"/>
    <mergeCell ref="C239:BF239"/>
    <mergeCell ref="C233:BF233"/>
    <mergeCell ref="C234:BF234"/>
    <mergeCell ref="C235:BF235"/>
    <mergeCell ref="C236:BF236"/>
    <mergeCell ref="C237:BF237"/>
    <mergeCell ref="H240:T240"/>
    <mergeCell ref="AG242:BD242"/>
    <mergeCell ref="AG243:BD243"/>
    <mergeCell ref="C228:BF228"/>
    <mergeCell ref="C229:BF229"/>
    <mergeCell ref="C230:BF230"/>
    <mergeCell ref="C231:BF231"/>
    <mergeCell ref="C232:BF232"/>
    <mergeCell ref="C223:BF223"/>
    <mergeCell ref="C224:BF224"/>
    <mergeCell ref="C225:BF225"/>
    <mergeCell ref="C226:BF226"/>
    <mergeCell ref="C227:BF227"/>
    <mergeCell ref="C222:BF222"/>
    <mergeCell ref="C209:BF209"/>
    <mergeCell ref="C210:BF210"/>
    <mergeCell ref="C212:BF212"/>
    <mergeCell ref="C205:T205"/>
    <mergeCell ref="X205:AL205"/>
    <mergeCell ref="B208:BG208"/>
    <mergeCell ref="C211:AH211"/>
    <mergeCell ref="AO196:BF196"/>
    <mergeCell ref="C199:T199"/>
    <mergeCell ref="X199:AL199"/>
    <mergeCell ref="C202:T202"/>
    <mergeCell ref="X202:AL202"/>
    <mergeCell ref="AO202:BF202"/>
    <mergeCell ref="C218:BF218"/>
    <mergeCell ref="C219:BF219"/>
    <mergeCell ref="C220:BF220"/>
    <mergeCell ref="C221:BF221"/>
    <mergeCell ref="C213:BF213"/>
    <mergeCell ref="C214:BF214"/>
    <mergeCell ref="C215:BF215"/>
    <mergeCell ref="C216:BF216"/>
    <mergeCell ref="C217:BF217"/>
    <mergeCell ref="C131:BF131"/>
    <mergeCell ref="C127:BF127"/>
    <mergeCell ref="C128:BF128"/>
    <mergeCell ref="C129:BF129"/>
    <mergeCell ref="C130:BF130"/>
    <mergeCell ref="C141:BF141"/>
    <mergeCell ref="C142:BF142"/>
    <mergeCell ref="N161:X161"/>
    <mergeCell ref="AN161:AX161"/>
    <mergeCell ref="C132:BF132"/>
    <mergeCell ref="C133:BF133"/>
    <mergeCell ref="C134:BF134"/>
    <mergeCell ref="C135:BF135"/>
    <mergeCell ref="C144:BF144"/>
    <mergeCell ref="C145:BF145"/>
    <mergeCell ref="C136:BF136"/>
    <mergeCell ref="C137:BF137"/>
    <mergeCell ref="C138:BF138"/>
    <mergeCell ref="AG149:BD149"/>
    <mergeCell ref="AG150:BD150"/>
    <mergeCell ref="B2:BG3"/>
    <mergeCell ref="B37:BG37"/>
    <mergeCell ref="C25:T25"/>
    <mergeCell ref="X25:AL25"/>
    <mergeCell ref="AO25:BF25"/>
    <mergeCell ref="C28:T28"/>
    <mergeCell ref="X28:AL28"/>
    <mergeCell ref="C31:T31"/>
    <mergeCell ref="X31:AL31"/>
    <mergeCell ref="AO31:BF31"/>
    <mergeCell ref="Q6:AS6"/>
    <mergeCell ref="C13:T13"/>
    <mergeCell ref="X13:AN13"/>
    <mergeCell ref="AR13:BD13"/>
    <mergeCell ref="P16:S16"/>
    <mergeCell ref="D17:N19"/>
    <mergeCell ref="P18:S18"/>
    <mergeCell ref="U18:AY18"/>
    <mergeCell ref="BA18:BF18"/>
    <mergeCell ref="D21:AC21"/>
    <mergeCell ref="AF21:AP21"/>
    <mergeCell ref="AX21:BF21"/>
    <mergeCell ref="C34:T34"/>
    <mergeCell ref="X34:AL34"/>
    <mergeCell ref="AF336:BD336"/>
    <mergeCell ref="AF428:BD428"/>
    <mergeCell ref="AG510:BD510"/>
    <mergeCell ref="AG620:BD620"/>
    <mergeCell ref="AF730:BD730"/>
    <mergeCell ref="C40:AH40"/>
    <mergeCell ref="C38:BF38"/>
    <mergeCell ref="A4:D4"/>
    <mergeCell ref="A5:D5"/>
    <mergeCell ref="A6:D6"/>
    <mergeCell ref="A7:D7"/>
    <mergeCell ref="B8:BG8"/>
    <mergeCell ref="C10:BF10"/>
    <mergeCell ref="C49:BF49"/>
    <mergeCell ref="C50:BF50"/>
    <mergeCell ref="C44:BF44"/>
    <mergeCell ref="C45:BF45"/>
    <mergeCell ref="C46:BF46"/>
    <mergeCell ref="C47:BF47"/>
    <mergeCell ref="C48:BF48"/>
    <mergeCell ref="C39:BF39"/>
    <mergeCell ref="C41:BF41"/>
    <mergeCell ref="C42:BF42"/>
    <mergeCell ref="C43:BF43"/>
  </mergeCells>
  <conditionalFormatting sqref="A1:BH55 A58:BH79 BE56:BH57 A56:AH57">
    <cfRule type="expression" dxfId="14" priority="10">
      <formula>tnyilkellaltdemin</formula>
    </cfRule>
  </conditionalFormatting>
  <conditionalFormatting sqref="A80:BH148 A151:BH172 BE149:BH150 A149:AG150">
    <cfRule type="expression" dxfId="13" priority="9">
      <formula>ttnyilkellregber</formula>
    </cfRule>
  </conditionalFormatting>
  <conditionalFormatting sqref="A173:BH241 A244:BH265 BE242:BH243 A242:AG243">
    <cfRule type="expression" dxfId="12" priority="8">
      <formula>ttnyilkellmegújuló</formula>
    </cfRule>
  </conditionalFormatting>
  <conditionalFormatting sqref="A266:BH334 A337:BH358 BE335:BH336 A335:AF336">
    <cfRule type="expression" dxfId="11" priority="7">
      <formula>ttnyilkellhif</formula>
    </cfRule>
  </conditionalFormatting>
  <conditionalFormatting sqref="A359:BH427 A430:BH451 BE428:BH429 A428:AF429">
    <cfRule type="expression" dxfId="10" priority="6">
      <formula>ttnyilkellkkv</formula>
    </cfRule>
  </conditionalFormatting>
  <conditionalFormatting sqref="A452:BH509 A512:BH533 BE510:BH511 A510:AG511">
    <cfRule type="expression" dxfId="9" priority="5">
      <formula>ttnyilkellmgdemin</formula>
    </cfRule>
  </conditionalFormatting>
  <conditionalFormatting sqref="A534:BH619 A622:BH643 BE620:BH621 A620:AG621">
    <cfRule type="expression" dxfId="8" priority="4">
      <formula>ttnyilkellmgterm</formula>
    </cfRule>
  </conditionalFormatting>
  <conditionalFormatting sqref="A644:BH729 A732:BH753 BE730:BH731 A730:AF731">
    <cfRule type="expression" dxfId="7" priority="3">
      <formula>ttnyilkellhaldemin</formula>
    </cfRule>
  </conditionalFormatting>
  <conditionalFormatting sqref="A754:BH821 A824:BH845 BE822:BH823 A822:AG823">
    <cfRule type="expression" dxfId="6" priority="2">
      <formula>ttnyilkellmgforg</formula>
    </cfRule>
  </conditionalFormatting>
  <pageMargins left="0" right="0" top="0" bottom="0" header="0" footer="0"/>
  <pageSetup paperSize="9" scale="50" fitToHeight="0" orientation="portrait" r:id="rId1"/>
  <rowBreaks count="11" manualBreakCount="11">
    <brk id="79" max="59" man="1"/>
    <brk id="135" max="59" man="1"/>
    <brk id="172" max="59" man="1"/>
    <brk id="265" max="59" man="1"/>
    <brk id="358" max="59" man="1"/>
    <brk id="451" max="59" man="1"/>
    <brk id="533" max="59" man="1"/>
    <brk id="604" max="59" man="1"/>
    <brk id="643" max="59" man="1"/>
    <brk id="753" max="59" man="1"/>
    <brk id="845" max="5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Munka14">
    <tabColor theme="3" tint="0.79998168889431442"/>
    <pageSetUpPr fitToPage="1"/>
  </sheetPr>
  <dimension ref="B1:BG132"/>
  <sheetViews>
    <sheetView view="pageBreakPreview" zoomScale="80" zoomScaleNormal="70" zoomScaleSheetLayoutView="80" workbookViewId="0">
      <selection activeCell="AM29" sqref="AM29:BD29"/>
    </sheetView>
  </sheetViews>
  <sheetFormatPr baseColWidth="10" defaultColWidth="9.1640625" defaultRowHeight="14" x14ac:dyDescent="0.15"/>
  <cols>
    <col min="1" max="1" width="0.6640625" style="223" customWidth="1"/>
    <col min="2" max="5" width="2.6640625" style="223" customWidth="1"/>
    <col min="6" max="6" width="5.6640625" style="223" customWidth="1"/>
    <col min="7" max="7" width="8" style="223" customWidth="1"/>
    <col min="8" max="39" width="2.6640625" style="223" customWidth="1"/>
    <col min="40" max="40" width="7.5" style="223" customWidth="1"/>
    <col min="41" max="58" width="2.6640625" style="223" customWidth="1"/>
    <col min="59" max="59" width="10" style="223" customWidth="1"/>
    <col min="60" max="16384" width="9.1640625" style="223"/>
  </cols>
  <sheetData>
    <row r="1" spans="2:59" ht="14.25" customHeight="1" x14ac:dyDescent="0.15">
      <c r="B1" s="530"/>
      <c r="C1" s="530"/>
      <c r="D1" s="530"/>
      <c r="E1" s="530"/>
    </row>
    <row r="2" spans="2:59" ht="14.25" customHeight="1" x14ac:dyDescent="0.15">
      <c r="B2" s="1797" t="str">
        <f>+IF(Hitelprog_Rovid="","",IF(Hitelprog_Rovid="Patika Hitelprogram","Patika Hitelprogram",""))</f>
        <v/>
      </c>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797"/>
      <c r="AC2" s="1797"/>
      <c r="AD2" s="1797"/>
      <c r="AE2" s="1797"/>
      <c r="AF2" s="1797"/>
      <c r="AG2" s="1797"/>
      <c r="AH2" s="1797"/>
      <c r="AI2" s="1797"/>
      <c r="AJ2" s="1797"/>
      <c r="AK2" s="1797"/>
      <c r="AL2" s="1797"/>
      <c r="AM2" s="1797"/>
      <c r="AN2" s="1797"/>
      <c r="AO2" s="1797"/>
      <c r="AP2" s="1797"/>
      <c r="AQ2" s="1797"/>
      <c r="AR2" s="1797"/>
      <c r="AS2" s="1797"/>
      <c r="AT2" s="1797"/>
      <c r="AU2" s="1797"/>
      <c r="AV2" s="1797"/>
      <c r="AW2" s="1797"/>
      <c r="AX2" s="1797"/>
      <c r="AY2" s="1797"/>
      <c r="AZ2" s="1797"/>
      <c r="BA2" s="1797"/>
      <c r="BB2" s="1797"/>
      <c r="BC2" s="1797"/>
      <c r="BD2" s="1797"/>
      <c r="BE2" s="1797"/>
      <c r="BF2" s="1797"/>
      <c r="BG2" s="1797"/>
    </row>
    <row r="3" spans="2:59" ht="14.25" customHeight="1" x14ac:dyDescent="0.15">
      <c r="B3" s="1797"/>
      <c r="C3" s="1797"/>
      <c r="D3" s="1797"/>
      <c r="E3" s="1797"/>
      <c r="F3" s="1797"/>
      <c r="G3" s="1797"/>
      <c r="H3" s="1797"/>
      <c r="I3" s="1797"/>
      <c r="J3" s="1797"/>
      <c r="K3" s="1797"/>
      <c r="L3" s="1797"/>
      <c r="M3" s="1797"/>
      <c r="N3" s="1797"/>
      <c r="O3" s="1797"/>
      <c r="P3" s="1797"/>
      <c r="Q3" s="1797"/>
      <c r="R3" s="1797"/>
      <c r="S3" s="1797"/>
      <c r="T3" s="1797"/>
      <c r="U3" s="1797"/>
      <c r="V3" s="1797"/>
      <c r="W3" s="1797"/>
      <c r="X3" s="1797"/>
      <c r="Y3" s="1797"/>
      <c r="Z3" s="1797"/>
      <c r="AA3" s="1797"/>
      <c r="AB3" s="1797"/>
      <c r="AC3" s="1797"/>
      <c r="AD3" s="1797"/>
      <c r="AE3" s="1797"/>
      <c r="AF3" s="1797"/>
      <c r="AG3" s="1797"/>
      <c r="AH3" s="1797"/>
      <c r="AI3" s="1797"/>
      <c r="AJ3" s="1797"/>
      <c r="AK3" s="1797"/>
      <c r="AL3" s="1797"/>
      <c r="AM3" s="1797"/>
      <c r="AN3" s="1797"/>
      <c r="AO3" s="1797"/>
      <c r="AP3" s="1797"/>
      <c r="AQ3" s="1797"/>
      <c r="AR3" s="1797"/>
      <c r="AS3" s="1797"/>
      <c r="AT3" s="1797"/>
      <c r="AU3" s="1797"/>
      <c r="AV3" s="1797"/>
      <c r="AW3" s="1797"/>
      <c r="AX3" s="1797"/>
      <c r="AY3" s="1797"/>
      <c r="AZ3" s="1797"/>
      <c r="BA3" s="1797"/>
      <c r="BB3" s="1797"/>
      <c r="BC3" s="1797"/>
      <c r="BD3" s="1797"/>
      <c r="BE3" s="1797"/>
      <c r="BF3" s="1797"/>
      <c r="BG3" s="1797"/>
    </row>
    <row r="5" spans="2:59" x14ac:dyDescent="0.15">
      <c r="D5" s="223" t="s">
        <v>904</v>
      </c>
      <c r="Q5" s="1788" t="str">
        <f>+IF(Finanszirozo="","",Finanszirozo)</f>
        <v/>
      </c>
      <c r="R5" s="1788"/>
      <c r="S5" s="1788"/>
      <c r="T5" s="1788"/>
      <c r="U5" s="1788"/>
      <c r="V5" s="1788"/>
      <c r="W5" s="1788"/>
      <c r="X5" s="1788"/>
      <c r="Y5" s="1788"/>
      <c r="Z5" s="1788"/>
      <c r="AA5" s="1788"/>
      <c r="AB5" s="1788"/>
      <c r="AC5" s="1788"/>
      <c r="AD5" s="1788"/>
      <c r="AE5" s="1788"/>
      <c r="AF5" s="1788"/>
      <c r="AG5" s="1788"/>
      <c r="AH5" s="1788"/>
      <c r="AI5" s="1788"/>
      <c r="AJ5" s="1788"/>
      <c r="AK5" s="1788"/>
      <c r="AL5" s="1788"/>
      <c r="AM5" s="1788"/>
      <c r="AN5" s="1788"/>
    </row>
    <row r="6" spans="2:59" ht="15" thickBot="1" x14ac:dyDescent="0.2"/>
    <row r="7" spans="2:59" ht="29.25" customHeight="1" thickBot="1" x14ac:dyDescent="0.2">
      <c r="Q7" s="1192" t="s">
        <v>1002</v>
      </c>
      <c r="R7" s="1193"/>
      <c r="S7" s="1193"/>
      <c r="T7" s="1193"/>
      <c r="U7" s="1193"/>
      <c r="V7" s="1193"/>
      <c r="W7" s="1193"/>
      <c r="X7" s="1193"/>
      <c r="Y7" s="1193"/>
      <c r="Z7" s="1193"/>
      <c r="AA7" s="1193"/>
      <c r="AB7" s="1193"/>
      <c r="AC7" s="1193"/>
      <c r="AD7" s="1193"/>
      <c r="AE7" s="1193"/>
      <c r="AF7" s="1193"/>
      <c r="AG7" s="1193"/>
      <c r="AH7" s="1193"/>
      <c r="AI7" s="1193"/>
      <c r="AJ7" s="1193"/>
      <c r="AK7" s="1193"/>
      <c r="AL7" s="1193"/>
      <c r="AM7" s="1193"/>
      <c r="AN7" s="1193"/>
      <c r="AO7" s="1194"/>
    </row>
    <row r="8" spans="2:59" ht="28.5" customHeight="1" x14ac:dyDescent="0.15">
      <c r="P8" s="1794" t="s">
        <v>903</v>
      </c>
      <c r="Q8" s="1794"/>
      <c r="R8" s="1794"/>
      <c r="S8" s="1794"/>
      <c r="T8" s="1794"/>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row>
    <row r="10" spans="2:59" x14ac:dyDescent="0.15">
      <c r="B10" s="1790"/>
      <c r="C10" s="1791"/>
      <c r="D10" s="1791"/>
      <c r="E10" s="1791"/>
      <c r="F10" s="1791"/>
      <c r="G10" s="1791"/>
      <c r="H10" s="1791"/>
      <c r="I10" s="1791"/>
      <c r="J10" s="1791"/>
      <c r="K10" s="1791"/>
      <c r="L10" s="1791"/>
      <c r="M10" s="1791"/>
      <c r="N10" s="1791"/>
      <c r="O10" s="1791"/>
      <c r="P10" s="1791"/>
      <c r="Q10" s="1791"/>
      <c r="R10" s="1791"/>
      <c r="S10" s="1791"/>
      <c r="T10" s="1791"/>
      <c r="U10" s="1791"/>
      <c r="V10" s="1791"/>
      <c r="W10" s="1791"/>
      <c r="X10" s="1791"/>
      <c r="Y10" s="1791"/>
      <c r="Z10" s="1791"/>
      <c r="AA10" s="1791"/>
      <c r="AB10" s="1791"/>
      <c r="AC10" s="1791"/>
      <c r="AD10" s="1791"/>
      <c r="AE10" s="1791"/>
      <c r="AF10" s="1791"/>
      <c r="AG10" s="1791"/>
      <c r="AH10" s="1791"/>
      <c r="AI10" s="1791"/>
      <c r="AJ10" s="1791"/>
      <c r="AK10" s="1791"/>
      <c r="AL10" s="1791"/>
      <c r="AM10" s="1791"/>
      <c r="AN10" s="1791"/>
      <c r="AO10" s="1791"/>
      <c r="AP10" s="1791"/>
      <c r="AQ10" s="1791"/>
      <c r="AR10" s="1791"/>
      <c r="AS10" s="1791"/>
      <c r="AT10" s="1791"/>
      <c r="AU10" s="1791"/>
      <c r="AV10" s="1791"/>
      <c r="AW10" s="1791"/>
      <c r="AX10" s="1791"/>
      <c r="AY10" s="1791"/>
      <c r="AZ10" s="1791"/>
      <c r="BA10" s="1791"/>
      <c r="BB10" s="1791"/>
      <c r="BC10" s="1791"/>
      <c r="BD10" s="1791"/>
      <c r="BE10" s="1791"/>
      <c r="BF10" s="1791"/>
      <c r="BG10" s="1792"/>
    </row>
    <row r="11" spans="2:59" x14ac:dyDescent="0.15">
      <c r="B11" s="310"/>
      <c r="C11" s="251"/>
      <c r="D11" s="251"/>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311"/>
    </row>
    <row r="12" spans="2:59" x14ac:dyDescent="0.15">
      <c r="B12" s="310"/>
      <c r="C12" s="1793"/>
      <c r="D12" s="1793"/>
      <c r="E12" s="1793"/>
      <c r="F12" s="1793"/>
      <c r="G12" s="1793"/>
      <c r="H12" s="1793"/>
      <c r="I12" s="1793"/>
      <c r="J12" s="1793"/>
      <c r="K12" s="1793"/>
      <c r="L12" s="1793"/>
      <c r="M12" s="1793"/>
      <c r="N12" s="1793"/>
      <c r="O12" s="1793"/>
      <c r="P12" s="1793"/>
      <c r="Q12" s="1793"/>
      <c r="R12" s="1793"/>
      <c r="S12" s="1793"/>
      <c r="T12" s="1793"/>
      <c r="U12" s="1793"/>
      <c r="V12" s="1793"/>
      <c r="W12" s="1793"/>
      <c r="X12" s="1793"/>
      <c r="Y12" s="1793"/>
      <c r="Z12" s="1793"/>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311"/>
    </row>
    <row r="13" spans="2:59" x14ac:dyDescent="0.15">
      <c r="B13" s="310"/>
      <c r="C13" s="251"/>
      <c r="D13" s="274" t="s">
        <v>905</v>
      </c>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311"/>
    </row>
    <row r="14" spans="2:59" x14ac:dyDescent="0.15">
      <c r="B14" s="310"/>
      <c r="C14" s="251"/>
      <c r="D14" s="251"/>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311"/>
    </row>
    <row r="15" spans="2:59" x14ac:dyDescent="0.15">
      <c r="B15" s="310"/>
      <c r="C15" s="1158" t="str">
        <f>+IF(Nyilatkozatok!B13="","",Nyilatkozatok!B13)</f>
        <v/>
      </c>
      <c r="D15" s="1158"/>
      <c r="E15" s="1158"/>
      <c r="F15" s="1158"/>
      <c r="G15" s="1158"/>
      <c r="H15" s="1158"/>
      <c r="I15" s="1158"/>
      <c r="J15" s="1158"/>
      <c r="K15" s="1158"/>
      <c r="L15" s="1158"/>
      <c r="M15" s="1158"/>
      <c r="N15" s="1158"/>
      <c r="O15" s="1158"/>
      <c r="P15" s="1158"/>
      <c r="Q15" s="1158"/>
      <c r="R15" s="1158"/>
      <c r="S15" s="1158"/>
      <c r="T15" s="1158"/>
      <c r="U15" s="252"/>
      <c r="V15" s="252"/>
      <c r="W15" s="252"/>
      <c r="X15" s="1158" t="str">
        <f>+IF(Nyilatkozatok!W13="","",Nyilatkozatok!W13)</f>
        <v/>
      </c>
      <c r="Y15" s="1158"/>
      <c r="Z15" s="1158"/>
      <c r="AA15" s="1158"/>
      <c r="AB15" s="1158"/>
      <c r="AC15" s="1158"/>
      <c r="AD15" s="1158"/>
      <c r="AE15" s="1158"/>
      <c r="AF15" s="1158"/>
      <c r="AG15" s="1158"/>
      <c r="AH15" s="1158"/>
      <c r="AI15" s="1158"/>
      <c r="AJ15" s="1158"/>
      <c r="AK15" s="1158"/>
      <c r="AL15" s="1158"/>
      <c r="AM15" s="1158"/>
      <c r="AN15" s="1158"/>
      <c r="AO15" s="251"/>
      <c r="AP15" s="251"/>
      <c r="AQ15" s="252"/>
      <c r="AR15" s="1158" t="str">
        <f>+IF(Nyilatkozatok!AQ13="","",Nyilatkozatok!AQ13)</f>
        <v/>
      </c>
      <c r="AS15" s="1158"/>
      <c r="AT15" s="1158"/>
      <c r="AU15" s="1158"/>
      <c r="AV15" s="1158"/>
      <c r="AW15" s="1158"/>
      <c r="AX15" s="1158"/>
      <c r="AY15" s="1158"/>
      <c r="AZ15" s="1158"/>
      <c r="BA15" s="1158"/>
      <c r="BB15" s="1158"/>
      <c r="BC15" s="1158"/>
      <c r="BD15" s="1158"/>
      <c r="BE15" s="252"/>
      <c r="BF15" s="252"/>
      <c r="BG15" s="311"/>
    </row>
    <row r="16" spans="2:59" ht="15" customHeight="1" x14ac:dyDescent="0.15">
      <c r="B16" s="310"/>
      <c r="C16" s="251" t="s">
        <v>906</v>
      </c>
      <c r="D16" s="251"/>
      <c r="E16" s="252"/>
      <c r="F16" s="252"/>
      <c r="G16" s="252"/>
      <c r="H16" s="252"/>
      <c r="I16" s="252"/>
      <c r="J16" s="252"/>
      <c r="K16" s="252"/>
      <c r="L16" s="252"/>
      <c r="M16" s="252"/>
      <c r="N16" s="252"/>
      <c r="O16" s="252"/>
      <c r="P16" s="252"/>
      <c r="Q16" s="252"/>
      <c r="R16" s="252"/>
      <c r="S16" s="252"/>
      <c r="T16" s="252"/>
      <c r="U16" s="252"/>
      <c r="V16" s="252"/>
      <c r="W16" s="252"/>
      <c r="X16" s="252" t="s">
        <v>907</v>
      </c>
      <c r="Y16" s="252"/>
      <c r="Z16" s="252"/>
      <c r="AA16" s="252"/>
      <c r="AB16" s="252"/>
      <c r="AC16" s="252"/>
      <c r="AD16" s="252"/>
      <c r="AE16" s="252"/>
      <c r="AF16" s="252"/>
      <c r="AG16" s="252"/>
      <c r="AH16" s="252"/>
      <c r="AI16" s="252"/>
      <c r="AJ16" s="252"/>
      <c r="AK16" s="252"/>
      <c r="AL16" s="252"/>
      <c r="AM16" s="252"/>
      <c r="AN16" s="252"/>
      <c r="AO16" s="252"/>
      <c r="AP16" s="252"/>
      <c r="AQ16" s="252"/>
      <c r="AR16" s="1798" t="s">
        <v>908</v>
      </c>
      <c r="AS16" s="1798"/>
      <c r="AT16" s="1798"/>
      <c r="AU16" s="1798"/>
      <c r="AV16" s="1798"/>
      <c r="AW16" s="1798"/>
      <c r="AX16" s="1798"/>
      <c r="AY16" s="1798"/>
      <c r="AZ16" s="1798"/>
      <c r="BA16" s="1798"/>
      <c r="BB16" s="1798"/>
      <c r="BC16" s="1798"/>
      <c r="BD16" s="1798"/>
      <c r="BE16" s="252"/>
      <c r="BF16" s="252"/>
      <c r="BG16" s="311"/>
    </row>
    <row r="17" spans="2:59" x14ac:dyDescent="0.15">
      <c r="B17" s="310"/>
      <c r="C17" s="251"/>
      <c r="D17" s="251"/>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1798"/>
      <c r="AS17" s="1798"/>
      <c r="AT17" s="1798"/>
      <c r="AU17" s="1798"/>
      <c r="AV17" s="1798"/>
      <c r="AW17" s="1798"/>
      <c r="AX17" s="1798"/>
      <c r="AY17" s="1798"/>
      <c r="AZ17" s="1798"/>
      <c r="BA17" s="1798"/>
      <c r="BB17" s="1798"/>
      <c r="BC17" s="1798"/>
      <c r="BD17" s="1798"/>
      <c r="BE17" s="252"/>
      <c r="BF17" s="252"/>
      <c r="BG17" s="311"/>
    </row>
    <row r="18" spans="2:59" x14ac:dyDescent="0.15">
      <c r="B18" s="310"/>
      <c r="C18" s="251"/>
      <c r="D18" s="251"/>
      <c r="E18" s="252"/>
      <c r="F18" s="252"/>
      <c r="G18" s="252"/>
      <c r="H18" s="252"/>
      <c r="I18" s="252"/>
      <c r="J18" s="252"/>
      <c r="K18" s="252"/>
      <c r="L18" s="252"/>
      <c r="M18" s="252"/>
      <c r="N18" s="252"/>
      <c r="O18" s="252"/>
      <c r="P18" s="1163"/>
      <c r="Q18" s="1163"/>
      <c r="R18" s="1163"/>
      <c r="S18" s="1163"/>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1798"/>
      <c r="AS18" s="1798"/>
      <c r="AT18" s="1798"/>
      <c r="AU18" s="1798"/>
      <c r="AV18" s="1798"/>
      <c r="AW18" s="1798"/>
      <c r="AX18" s="1798"/>
      <c r="AY18" s="1798"/>
      <c r="AZ18" s="1798"/>
      <c r="BA18" s="1798"/>
      <c r="BB18" s="1798"/>
      <c r="BC18" s="1798"/>
      <c r="BD18" s="1798"/>
      <c r="BE18" s="252"/>
      <c r="BF18" s="252"/>
      <c r="BG18" s="311"/>
    </row>
    <row r="19" spans="2:59" x14ac:dyDescent="0.15">
      <c r="B19" s="1790" t="s">
        <v>909</v>
      </c>
      <c r="C19" s="1791"/>
      <c r="D19" s="1791"/>
      <c r="E19" s="1791"/>
      <c r="F19" s="1791"/>
      <c r="G19" s="1791"/>
      <c r="H19" s="1791"/>
      <c r="I19" s="1791"/>
      <c r="J19" s="1791"/>
      <c r="K19" s="1791"/>
      <c r="L19" s="1791"/>
      <c r="M19" s="1791"/>
      <c r="N19" s="1791"/>
      <c r="O19" s="1791"/>
      <c r="P19" s="1791"/>
      <c r="Q19" s="1791"/>
      <c r="R19" s="1791"/>
      <c r="S19" s="1791"/>
      <c r="T19" s="1791"/>
      <c r="U19" s="1791"/>
      <c r="V19" s="1791"/>
      <c r="W19" s="1791"/>
      <c r="X19" s="1791"/>
      <c r="Y19" s="1791"/>
      <c r="Z19" s="1791"/>
      <c r="AA19" s="1791"/>
      <c r="AB19" s="1791"/>
      <c r="AC19" s="1791"/>
      <c r="AD19" s="1791"/>
      <c r="AE19" s="1791"/>
      <c r="AF19" s="1791"/>
      <c r="AG19" s="1791"/>
      <c r="AH19" s="1791"/>
      <c r="AI19" s="1791"/>
      <c r="AJ19" s="1791"/>
      <c r="AK19" s="1791"/>
      <c r="AL19" s="1791"/>
      <c r="AM19" s="1791"/>
      <c r="AN19" s="1791"/>
      <c r="AO19" s="1791"/>
      <c r="AP19" s="1791"/>
      <c r="AQ19" s="1791"/>
      <c r="AR19" s="1791"/>
      <c r="AS19" s="1791"/>
      <c r="AT19" s="1791"/>
      <c r="AU19" s="1791"/>
      <c r="AV19" s="1791"/>
      <c r="AW19" s="1791"/>
      <c r="AX19" s="1791"/>
      <c r="AY19" s="1791"/>
      <c r="AZ19" s="1791"/>
      <c r="BA19" s="1791"/>
      <c r="BB19" s="1791"/>
      <c r="BC19" s="1791"/>
      <c r="BD19" s="1791"/>
      <c r="BE19" s="1791"/>
      <c r="BF19" s="1791"/>
      <c r="BG19" s="1792"/>
    </row>
    <row r="20" spans="2:59" x14ac:dyDescent="0.15">
      <c r="B20" s="52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526"/>
    </row>
    <row r="21" spans="2:59" ht="15" customHeight="1" x14ac:dyDescent="0.15">
      <c r="B21" s="525"/>
      <c r="C21" s="1799" t="s">
        <v>910</v>
      </c>
      <c r="D21" s="1799"/>
      <c r="E21" s="1799"/>
      <c r="F21" s="1799"/>
      <c r="G21" s="1799"/>
      <c r="H21" s="1799"/>
      <c r="I21" s="1799"/>
      <c r="J21" s="1799"/>
      <c r="K21" s="1799"/>
      <c r="L21" s="1799"/>
      <c r="M21" s="1799"/>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c r="AL21" s="1799"/>
      <c r="AM21" s="1799"/>
      <c r="AN21" s="1799"/>
      <c r="AO21" s="1799"/>
      <c r="AP21" s="1799"/>
      <c r="AQ21" s="1799"/>
      <c r="AR21" s="1799"/>
      <c r="AS21" s="1799"/>
      <c r="AT21" s="1799"/>
      <c r="AU21" s="1799"/>
      <c r="AV21" s="1799"/>
      <c r="AW21" s="1799"/>
      <c r="AX21" s="1799"/>
      <c r="AY21" s="1799"/>
      <c r="AZ21" s="1799"/>
      <c r="BA21" s="1799"/>
      <c r="BB21" s="1799"/>
      <c r="BC21" s="1799"/>
      <c r="BD21" s="1799"/>
      <c r="BE21" s="1799"/>
      <c r="BF21" s="1799"/>
      <c r="BG21" s="526"/>
    </row>
    <row r="22" spans="2:59" x14ac:dyDescent="0.15">
      <c r="B22" s="525"/>
      <c r="C22" s="1799"/>
      <c r="D22" s="1799"/>
      <c r="E22" s="1799"/>
      <c r="F22" s="1799"/>
      <c r="G22" s="1799"/>
      <c r="H22" s="1799"/>
      <c r="I22" s="1799"/>
      <c r="J22" s="1799"/>
      <c r="K22" s="1799"/>
      <c r="L22" s="1799"/>
      <c r="M22" s="1799"/>
      <c r="N22" s="1799"/>
      <c r="O22" s="1799"/>
      <c r="P22" s="1799"/>
      <c r="Q22" s="1799"/>
      <c r="R22" s="1799"/>
      <c r="S22" s="1799"/>
      <c r="T22" s="1799"/>
      <c r="U22" s="1799"/>
      <c r="V22" s="1799"/>
      <c r="W22" s="1799"/>
      <c r="X22" s="1799"/>
      <c r="Y22" s="1799"/>
      <c r="Z22" s="1799"/>
      <c r="AA22" s="1799"/>
      <c r="AB22" s="1799"/>
      <c r="AC22" s="1799"/>
      <c r="AD22" s="1799"/>
      <c r="AE22" s="1799"/>
      <c r="AF22" s="1799"/>
      <c r="AG22" s="1799"/>
      <c r="AH22" s="1799"/>
      <c r="AI22" s="1799"/>
      <c r="AJ22" s="1799"/>
      <c r="AK22" s="1799"/>
      <c r="AL22" s="1799"/>
      <c r="AM22" s="1799"/>
      <c r="AN22" s="1799"/>
      <c r="AO22" s="1799"/>
      <c r="AP22" s="1799"/>
      <c r="AQ22" s="1799"/>
      <c r="AR22" s="1799"/>
      <c r="AS22" s="1799"/>
      <c r="AT22" s="1799"/>
      <c r="AU22" s="1799"/>
      <c r="AV22" s="1799"/>
      <c r="AW22" s="1799"/>
      <c r="AX22" s="1799"/>
      <c r="AY22" s="1799"/>
      <c r="AZ22" s="1799"/>
      <c r="BA22" s="1799"/>
      <c r="BB22" s="1799"/>
      <c r="BC22" s="1799"/>
      <c r="BD22" s="1799"/>
      <c r="BE22" s="1799"/>
      <c r="BF22" s="1799"/>
      <c r="BG22" s="526"/>
    </row>
    <row r="23" spans="2:59" x14ac:dyDescent="0.15">
      <c r="B23" s="525"/>
      <c r="C23" s="1799"/>
      <c r="D23" s="1799"/>
      <c r="E23" s="1799"/>
      <c r="F23" s="1799"/>
      <c r="G23" s="1799"/>
      <c r="H23" s="1799"/>
      <c r="I23" s="1799"/>
      <c r="J23" s="1799"/>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c r="AL23" s="1799"/>
      <c r="AM23" s="1799"/>
      <c r="AN23" s="1799"/>
      <c r="AO23" s="1799"/>
      <c r="AP23" s="1799"/>
      <c r="AQ23" s="1799"/>
      <c r="AR23" s="1799"/>
      <c r="AS23" s="1799"/>
      <c r="AT23" s="1799"/>
      <c r="AU23" s="1799"/>
      <c r="AV23" s="1799"/>
      <c r="AW23" s="1799"/>
      <c r="AX23" s="1799"/>
      <c r="AY23" s="1799"/>
      <c r="AZ23" s="1799"/>
      <c r="BA23" s="1799"/>
      <c r="BB23" s="1799"/>
      <c r="BC23" s="1799"/>
      <c r="BD23" s="1799"/>
      <c r="BE23" s="1799"/>
      <c r="BF23" s="1799"/>
      <c r="BG23" s="526"/>
    </row>
    <row r="24" spans="2:59" x14ac:dyDescent="0.15">
      <c r="B24" s="525"/>
      <c r="C24" s="1799"/>
      <c r="D24" s="1799"/>
      <c r="E24" s="1799"/>
      <c r="F24" s="1799"/>
      <c r="G24" s="1799"/>
      <c r="H24" s="1799"/>
      <c r="I24" s="1799"/>
      <c r="J24" s="1799"/>
      <c r="K24" s="1799"/>
      <c r="L24" s="1799"/>
      <c r="M24" s="1799"/>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c r="AL24" s="1799"/>
      <c r="AM24" s="1799"/>
      <c r="AN24" s="1799"/>
      <c r="AO24" s="1799"/>
      <c r="AP24" s="1799"/>
      <c r="AQ24" s="1799"/>
      <c r="AR24" s="1799"/>
      <c r="AS24" s="1799"/>
      <c r="AT24" s="1799"/>
      <c r="AU24" s="1799"/>
      <c r="AV24" s="1799"/>
      <c r="AW24" s="1799"/>
      <c r="AX24" s="1799"/>
      <c r="AY24" s="1799"/>
      <c r="AZ24" s="1799"/>
      <c r="BA24" s="1799"/>
      <c r="BB24" s="1799"/>
      <c r="BC24" s="1799"/>
      <c r="BD24" s="1799"/>
      <c r="BE24" s="1799"/>
      <c r="BF24" s="1799"/>
      <c r="BG24" s="526"/>
    </row>
    <row r="25" spans="2:59" x14ac:dyDescent="0.15">
      <c r="B25" s="525"/>
      <c r="C25" s="527"/>
      <c r="D25" s="527"/>
      <c r="E25" s="527"/>
      <c r="F25" s="527"/>
      <c r="G25" s="527"/>
      <c r="H25" s="527"/>
      <c r="I25" s="527"/>
      <c r="J25" s="527"/>
      <c r="K25" s="527"/>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c r="AK25" s="527"/>
      <c r="AL25" s="527"/>
      <c r="AM25" s="527"/>
      <c r="AN25" s="527"/>
      <c r="AO25" s="527"/>
      <c r="AP25" s="527"/>
      <c r="AQ25" s="527"/>
      <c r="AR25" s="527"/>
      <c r="AS25" s="527"/>
      <c r="AT25" s="527"/>
      <c r="AU25" s="527"/>
      <c r="AV25" s="527"/>
      <c r="AW25" s="527"/>
      <c r="AX25" s="527"/>
      <c r="AY25" s="527"/>
      <c r="AZ25" s="527"/>
      <c r="BA25" s="527"/>
      <c r="BB25" s="527"/>
      <c r="BC25" s="527"/>
      <c r="BD25" s="527"/>
      <c r="BE25" s="527"/>
      <c r="BF25" s="527"/>
      <c r="BG25" s="526"/>
    </row>
    <row r="26" spans="2:59" x14ac:dyDescent="0.15">
      <c r="B26" s="312"/>
      <c r="C26" s="1163"/>
      <c r="D26" s="1163"/>
      <c r="E26" s="1163"/>
      <c r="F26" s="1163"/>
      <c r="G26" s="1163"/>
      <c r="H26" s="1163"/>
      <c r="I26" s="1163"/>
      <c r="J26" s="1163"/>
      <c r="K26" s="1163"/>
      <c r="L26" s="1163"/>
      <c r="M26" s="1163"/>
      <c r="N26" s="1163"/>
      <c r="O26" s="1163"/>
      <c r="P26" s="1163"/>
      <c r="Q26" s="1163"/>
      <c r="R26" s="1163"/>
      <c r="S26" s="1163"/>
      <c r="T26" s="1163"/>
      <c r="U26" s="1163"/>
      <c r="V26" s="1163"/>
      <c r="W26" s="1163"/>
      <c r="X26" s="1163"/>
      <c r="Y26" s="1163"/>
      <c r="Z26" s="1163"/>
      <c r="AA26" s="1163"/>
      <c r="AB26" s="1163"/>
      <c r="AC26" s="1163"/>
      <c r="AD26" s="1163"/>
      <c r="AE26" s="1163"/>
      <c r="AF26" s="1163"/>
      <c r="AG26" s="1163"/>
      <c r="AH26" s="1163"/>
      <c r="AI26" s="1163"/>
      <c r="AJ26" s="1163"/>
      <c r="AK26" s="1163"/>
      <c r="AL26" s="1163"/>
      <c r="AM26" s="1163"/>
      <c r="AN26" s="1163"/>
      <c r="AO26" s="1163"/>
      <c r="AP26" s="1163"/>
      <c r="AQ26" s="1163"/>
      <c r="AR26" s="1163"/>
      <c r="AS26" s="1163"/>
      <c r="AT26" s="1163"/>
      <c r="AU26" s="1163"/>
      <c r="AV26" s="1163"/>
      <c r="AW26" s="1163"/>
      <c r="AX26" s="1163"/>
      <c r="AY26" s="1163"/>
      <c r="AZ26" s="1163"/>
      <c r="BA26" s="1163"/>
      <c r="BB26" s="1163"/>
      <c r="BC26" s="1163"/>
      <c r="BD26" s="1163"/>
      <c r="BE26" s="1163"/>
      <c r="BF26" s="1163"/>
      <c r="BG26" s="311"/>
    </row>
    <row r="27" spans="2:59" x14ac:dyDescent="0.15">
      <c r="B27" s="312"/>
      <c r="C27" s="251"/>
      <c r="D27" s="251" t="s">
        <v>796</v>
      </c>
      <c r="F27" s="1795"/>
      <c r="G27" s="1795"/>
      <c r="H27" s="1789" t="str">
        <f>+IF(keltezes="","",keltezes)</f>
        <v/>
      </c>
      <c r="I27" s="1613"/>
      <c r="J27" s="1613"/>
      <c r="K27" s="1613"/>
      <c r="L27" s="1613"/>
      <c r="M27" s="1613"/>
      <c r="N27" s="1613"/>
      <c r="O27" s="1613"/>
      <c r="P27" s="1613"/>
      <c r="Q27" s="1613"/>
      <c r="R27" s="1613"/>
      <c r="S27" s="1613"/>
      <c r="T27" s="1613"/>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311"/>
    </row>
    <row r="28" spans="2:59" x14ac:dyDescent="0.15">
      <c r="B28" s="312"/>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311"/>
    </row>
    <row r="29" spans="2:59" x14ac:dyDescent="0.15">
      <c r="B29" s="312"/>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1185"/>
      <c r="AN29" s="1185"/>
      <c r="AO29" s="1185"/>
      <c r="AP29" s="1185"/>
      <c r="AQ29" s="1185"/>
      <c r="AR29" s="1185"/>
      <c r="AS29" s="1185"/>
      <c r="AT29" s="1185"/>
      <c r="AU29" s="1185"/>
      <c r="AV29" s="1185"/>
      <c r="AW29" s="1185"/>
      <c r="AX29" s="1185"/>
      <c r="AY29" s="1185"/>
      <c r="AZ29" s="1185"/>
      <c r="BA29" s="1185"/>
      <c r="BB29" s="1185"/>
      <c r="BC29" s="1185"/>
      <c r="BD29" s="1185"/>
      <c r="BE29" s="251"/>
      <c r="BF29" s="251"/>
      <c r="BG29" s="311"/>
    </row>
    <row r="30" spans="2:59" x14ac:dyDescent="0.15">
      <c r="B30" s="312"/>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1181" t="s">
        <v>911</v>
      </c>
      <c r="AP30" s="1181"/>
      <c r="AQ30" s="1181"/>
      <c r="AR30" s="1181"/>
      <c r="AS30" s="1181"/>
      <c r="AT30" s="1181"/>
      <c r="AU30" s="1181"/>
      <c r="AV30" s="1181"/>
      <c r="AW30" s="1181"/>
      <c r="AX30" s="1181"/>
      <c r="AY30" s="1181"/>
      <c r="AZ30" s="1181"/>
      <c r="BA30" s="1181"/>
      <c r="BB30" s="1181"/>
      <c r="BC30" s="251"/>
      <c r="BD30" s="251"/>
      <c r="BE30" s="251"/>
      <c r="BF30" s="251"/>
      <c r="BG30" s="311"/>
    </row>
    <row r="31" spans="2:59" x14ac:dyDescent="0.15">
      <c r="B31" s="312"/>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311"/>
    </row>
    <row r="32" spans="2:59" x14ac:dyDescent="0.15">
      <c r="B32" s="312"/>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311"/>
    </row>
    <row r="33" spans="2:59" x14ac:dyDescent="0.15">
      <c r="B33" s="312"/>
      <c r="C33" s="251"/>
      <c r="D33" s="251"/>
      <c r="E33" s="251" t="s">
        <v>798</v>
      </c>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311"/>
    </row>
    <row r="34" spans="2:59" x14ac:dyDescent="0.15">
      <c r="B34" s="312"/>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311"/>
    </row>
    <row r="35" spans="2:59" x14ac:dyDescent="0.15">
      <c r="B35" s="312"/>
      <c r="C35" s="252"/>
      <c r="D35" s="252"/>
      <c r="E35" s="252" t="s">
        <v>799</v>
      </c>
      <c r="F35" s="252"/>
      <c r="G35" s="252"/>
      <c r="H35" s="252"/>
      <c r="I35" s="252"/>
      <c r="J35" s="1185"/>
      <c r="K35" s="1185"/>
      <c r="L35" s="1185"/>
      <c r="M35" s="1185"/>
      <c r="N35" s="1185"/>
      <c r="O35" s="1185"/>
      <c r="P35" s="1185"/>
      <c r="Q35" s="1185"/>
      <c r="R35" s="1185"/>
      <c r="S35" s="1185"/>
      <c r="T35" s="1185"/>
      <c r="U35" s="1185"/>
      <c r="V35" s="1185"/>
      <c r="W35" s="1185"/>
      <c r="X35" s="1185"/>
      <c r="Y35" s="1185"/>
      <c r="Z35" s="1185"/>
      <c r="AA35" s="1185"/>
      <c r="AB35" s="1185"/>
      <c r="AC35" s="252"/>
      <c r="AD35" s="252"/>
      <c r="AE35" s="252"/>
      <c r="AF35" s="252" t="s">
        <v>800</v>
      </c>
      <c r="AG35" s="252"/>
      <c r="AH35" s="252"/>
      <c r="AI35" s="252"/>
      <c r="AJ35" s="1185"/>
      <c r="AK35" s="1185"/>
      <c r="AL35" s="1185"/>
      <c r="AM35" s="1185"/>
      <c r="AN35" s="1185"/>
      <c r="AO35" s="1185"/>
      <c r="AP35" s="1185"/>
      <c r="AQ35" s="1185"/>
      <c r="AR35" s="1185"/>
      <c r="AS35" s="1185"/>
      <c r="AT35" s="1185"/>
      <c r="AU35" s="1185"/>
      <c r="AV35" s="1185"/>
      <c r="AW35" s="1185"/>
      <c r="AX35" s="1185"/>
      <c r="AY35" s="1185"/>
      <c r="AZ35" s="1185"/>
      <c r="BA35" s="1185"/>
      <c r="BB35" s="1185"/>
      <c r="BC35" s="252"/>
      <c r="BD35" s="252"/>
      <c r="BE35" s="252"/>
      <c r="BF35" s="252"/>
      <c r="BG35" s="311"/>
    </row>
    <row r="36" spans="2:59" x14ac:dyDescent="0.15">
      <c r="B36" s="312"/>
      <c r="C36" s="252"/>
      <c r="D36" s="252"/>
      <c r="E36" s="252"/>
      <c r="F36" s="252"/>
      <c r="G36" s="252"/>
      <c r="H36" s="252"/>
      <c r="I36" s="252"/>
      <c r="J36" s="252"/>
      <c r="K36" s="252"/>
      <c r="L36" s="252"/>
      <c r="M36" s="252"/>
      <c r="N36" s="1181" t="s">
        <v>315</v>
      </c>
      <c r="O36" s="1181"/>
      <c r="P36" s="1181"/>
      <c r="Q36" s="1181"/>
      <c r="R36" s="1181"/>
      <c r="S36" s="1181"/>
      <c r="T36" s="1181"/>
      <c r="U36" s="1181"/>
      <c r="V36" s="1181"/>
      <c r="W36" s="1181"/>
      <c r="X36" s="1181"/>
      <c r="Y36" s="252"/>
      <c r="Z36" s="252"/>
      <c r="AA36" s="252"/>
      <c r="AB36" s="252"/>
      <c r="AC36" s="252"/>
      <c r="AD36" s="252"/>
      <c r="AE36" s="252"/>
      <c r="AF36" s="252"/>
      <c r="AG36" s="252"/>
      <c r="AH36" s="252"/>
      <c r="AI36" s="252"/>
      <c r="AJ36" s="252"/>
      <c r="AK36" s="252"/>
      <c r="AL36" s="252"/>
      <c r="AM36" s="252"/>
      <c r="AN36" s="1181" t="s">
        <v>315</v>
      </c>
      <c r="AO36" s="1181"/>
      <c r="AP36" s="1181"/>
      <c r="AQ36" s="1181"/>
      <c r="AR36" s="1181"/>
      <c r="AS36" s="1181"/>
      <c r="AT36" s="1181"/>
      <c r="AU36" s="1181"/>
      <c r="AV36" s="1181"/>
      <c r="AW36" s="1181"/>
      <c r="AX36" s="1181"/>
      <c r="AY36" s="252"/>
      <c r="AZ36" s="252"/>
      <c r="BA36" s="252"/>
      <c r="BB36" s="252"/>
      <c r="BC36" s="252"/>
      <c r="BD36" s="252"/>
      <c r="BE36" s="252"/>
      <c r="BF36" s="252"/>
      <c r="BG36" s="311"/>
    </row>
    <row r="37" spans="2:59" x14ac:dyDescent="0.15">
      <c r="B37" s="31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311"/>
    </row>
    <row r="38" spans="2:59" x14ac:dyDescent="0.15">
      <c r="B38" s="31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311"/>
    </row>
    <row r="39" spans="2:59" x14ac:dyDescent="0.15">
      <c r="B39" s="312"/>
      <c r="C39" s="252"/>
      <c r="D39" s="252"/>
      <c r="E39" s="252"/>
      <c r="F39" s="252"/>
      <c r="G39" s="252"/>
      <c r="H39" s="252"/>
      <c r="I39" s="252"/>
      <c r="J39" s="1185"/>
      <c r="K39" s="1185"/>
      <c r="L39" s="1185"/>
      <c r="M39" s="1185"/>
      <c r="N39" s="1185"/>
      <c r="O39" s="1185"/>
      <c r="P39" s="1185"/>
      <c r="Q39" s="1185"/>
      <c r="R39" s="1185"/>
      <c r="S39" s="1185"/>
      <c r="T39" s="1185"/>
      <c r="U39" s="1185"/>
      <c r="V39" s="1185"/>
      <c r="W39" s="1185"/>
      <c r="X39" s="1185"/>
      <c r="Y39" s="1185"/>
      <c r="Z39" s="1185"/>
      <c r="AA39" s="1185"/>
      <c r="AB39" s="1185"/>
      <c r="AC39" s="252"/>
      <c r="AD39" s="252"/>
      <c r="AE39" s="252"/>
      <c r="AF39" s="252"/>
      <c r="AG39" s="252"/>
      <c r="AH39" s="252"/>
      <c r="AI39" s="252"/>
      <c r="AJ39" s="1185"/>
      <c r="AK39" s="1185"/>
      <c r="AL39" s="1185"/>
      <c r="AM39" s="1185"/>
      <c r="AN39" s="1185"/>
      <c r="AO39" s="1185"/>
      <c r="AP39" s="1185"/>
      <c r="AQ39" s="1185"/>
      <c r="AR39" s="1185"/>
      <c r="AS39" s="1185"/>
      <c r="AT39" s="1185"/>
      <c r="AU39" s="1185"/>
      <c r="AV39" s="1185"/>
      <c r="AW39" s="1185"/>
      <c r="AX39" s="1185"/>
      <c r="AY39" s="1185"/>
      <c r="AZ39" s="1185"/>
      <c r="BA39" s="1185"/>
      <c r="BB39" s="1185"/>
      <c r="BC39" s="252"/>
      <c r="BD39" s="252"/>
      <c r="BE39" s="252"/>
      <c r="BF39" s="252"/>
      <c r="BG39" s="311"/>
    </row>
    <row r="40" spans="2:59" x14ac:dyDescent="0.15">
      <c r="B40" s="312"/>
      <c r="C40" s="252"/>
      <c r="D40" s="252"/>
      <c r="E40" s="252"/>
      <c r="F40" s="252"/>
      <c r="G40" s="252"/>
      <c r="H40" s="252"/>
      <c r="I40" s="252"/>
      <c r="J40" s="252"/>
      <c r="K40" s="252"/>
      <c r="L40" s="252"/>
      <c r="M40" s="252"/>
      <c r="N40" s="1181" t="s">
        <v>316</v>
      </c>
      <c r="O40" s="1181"/>
      <c r="P40" s="1181"/>
      <c r="Q40" s="1181"/>
      <c r="R40" s="1181"/>
      <c r="S40" s="1181"/>
      <c r="T40" s="1181"/>
      <c r="U40" s="1181"/>
      <c r="V40" s="1181"/>
      <c r="W40" s="1181"/>
      <c r="X40" s="1181"/>
      <c r="Y40" s="252"/>
      <c r="Z40" s="252"/>
      <c r="AA40" s="252"/>
      <c r="AB40" s="252"/>
      <c r="AC40" s="252"/>
      <c r="AD40" s="252"/>
      <c r="AE40" s="252"/>
      <c r="AF40" s="252"/>
      <c r="AG40" s="252"/>
      <c r="AH40" s="252"/>
      <c r="AI40" s="252"/>
      <c r="AJ40" s="252"/>
      <c r="AK40" s="252"/>
      <c r="AL40" s="252"/>
      <c r="AM40" s="252"/>
      <c r="AN40" s="1181" t="s">
        <v>316</v>
      </c>
      <c r="AO40" s="1181"/>
      <c r="AP40" s="1181"/>
      <c r="AQ40" s="1181"/>
      <c r="AR40" s="1181"/>
      <c r="AS40" s="1181"/>
      <c r="AT40" s="1181"/>
      <c r="AU40" s="1181"/>
      <c r="AV40" s="1181"/>
      <c r="AW40" s="1181"/>
      <c r="AX40" s="1181"/>
      <c r="AY40" s="252"/>
      <c r="AZ40" s="252"/>
      <c r="BA40" s="252"/>
      <c r="BB40" s="252"/>
      <c r="BC40" s="252"/>
      <c r="BD40" s="252"/>
      <c r="BE40" s="252"/>
      <c r="BF40" s="252"/>
      <c r="BG40" s="311"/>
    </row>
    <row r="41" spans="2:59" x14ac:dyDescent="0.15">
      <c r="B41" s="31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311"/>
    </row>
    <row r="42" spans="2:59" x14ac:dyDescent="0.15">
      <c r="B42" s="31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311"/>
    </row>
    <row r="43" spans="2:59" x14ac:dyDescent="0.15">
      <c r="B43" s="312"/>
      <c r="C43" s="252"/>
      <c r="D43" s="252"/>
      <c r="E43" s="252"/>
      <c r="F43" s="252"/>
      <c r="G43" s="252"/>
      <c r="H43" s="252"/>
      <c r="I43" s="252"/>
      <c r="J43" s="1185"/>
      <c r="K43" s="1185"/>
      <c r="L43" s="1185"/>
      <c r="M43" s="1185"/>
      <c r="N43" s="1185"/>
      <c r="O43" s="1185"/>
      <c r="P43" s="1185"/>
      <c r="Q43" s="1185"/>
      <c r="R43" s="1185"/>
      <c r="S43" s="1185"/>
      <c r="T43" s="1185"/>
      <c r="U43" s="1185"/>
      <c r="V43" s="1185"/>
      <c r="W43" s="1185"/>
      <c r="X43" s="1185"/>
      <c r="Y43" s="1185"/>
      <c r="Z43" s="1185"/>
      <c r="AA43" s="1185"/>
      <c r="AB43" s="1185"/>
      <c r="AC43" s="252"/>
      <c r="AD43" s="252"/>
      <c r="AE43" s="252"/>
      <c r="AF43" s="252"/>
      <c r="AG43" s="252"/>
      <c r="AH43" s="252"/>
      <c r="AI43" s="252"/>
      <c r="AJ43" s="1185"/>
      <c r="AK43" s="1185"/>
      <c r="AL43" s="1185"/>
      <c r="AM43" s="1185"/>
      <c r="AN43" s="1185"/>
      <c r="AO43" s="1185"/>
      <c r="AP43" s="1185"/>
      <c r="AQ43" s="1185"/>
      <c r="AR43" s="1185"/>
      <c r="AS43" s="1185"/>
      <c r="AT43" s="1185"/>
      <c r="AU43" s="1185"/>
      <c r="AV43" s="1185"/>
      <c r="AW43" s="1185"/>
      <c r="AX43" s="1185"/>
      <c r="AY43" s="1185"/>
      <c r="AZ43" s="1185"/>
      <c r="BA43" s="1185"/>
      <c r="BB43" s="1185"/>
      <c r="BC43" s="252"/>
      <c r="BD43" s="252"/>
      <c r="BE43" s="252"/>
      <c r="BF43" s="252"/>
      <c r="BG43" s="311"/>
    </row>
    <row r="44" spans="2:59" x14ac:dyDescent="0.15">
      <c r="B44" s="312"/>
      <c r="C44" s="252"/>
      <c r="D44" s="252"/>
      <c r="E44" s="252"/>
      <c r="F44" s="252"/>
      <c r="G44" s="252"/>
      <c r="H44" s="252"/>
      <c r="I44" s="252"/>
      <c r="J44" s="252"/>
      <c r="K44" s="252"/>
      <c r="L44" s="252"/>
      <c r="M44" s="252"/>
      <c r="N44" s="1181" t="s">
        <v>801</v>
      </c>
      <c r="O44" s="1181"/>
      <c r="P44" s="1181"/>
      <c r="Q44" s="1181"/>
      <c r="R44" s="1181"/>
      <c r="S44" s="1181"/>
      <c r="T44" s="1181"/>
      <c r="U44" s="1181"/>
      <c r="V44" s="1181"/>
      <c r="W44" s="1181"/>
      <c r="X44" s="1181"/>
      <c r="Y44" s="252"/>
      <c r="Z44" s="252"/>
      <c r="AA44" s="252"/>
      <c r="AB44" s="252"/>
      <c r="AC44" s="252"/>
      <c r="AD44" s="252"/>
      <c r="AE44" s="252"/>
      <c r="AF44" s="252"/>
      <c r="AG44" s="252"/>
      <c r="AH44" s="252"/>
      <c r="AI44" s="252"/>
      <c r="AJ44" s="252"/>
      <c r="AK44" s="252"/>
      <c r="AL44" s="252"/>
      <c r="AM44" s="252"/>
      <c r="AN44" s="1181" t="s">
        <v>801</v>
      </c>
      <c r="AO44" s="1181"/>
      <c r="AP44" s="1181"/>
      <c r="AQ44" s="1181"/>
      <c r="AR44" s="1181"/>
      <c r="AS44" s="1181"/>
      <c r="AT44" s="1181"/>
      <c r="AU44" s="1181"/>
      <c r="AV44" s="1181"/>
      <c r="AW44" s="1181"/>
      <c r="AX44" s="1181"/>
      <c r="AY44" s="252"/>
      <c r="AZ44" s="252"/>
      <c r="BA44" s="252"/>
      <c r="BB44" s="252"/>
      <c r="BC44" s="252"/>
      <c r="BD44" s="252"/>
      <c r="BE44" s="252"/>
      <c r="BF44" s="252"/>
      <c r="BG44" s="311"/>
    </row>
    <row r="45" spans="2:59" x14ac:dyDescent="0.15">
      <c r="B45" s="31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c r="BC45" s="252"/>
      <c r="BD45" s="252"/>
      <c r="BE45" s="252"/>
      <c r="BF45" s="252"/>
      <c r="BG45" s="311"/>
    </row>
    <row r="46" spans="2:59" x14ac:dyDescent="0.15">
      <c r="B46" s="31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c r="BC46" s="252"/>
      <c r="BD46" s="252"/>
      <c r="BE46" s="252"/>
      <c r="BF46" s="252"/>
      <c r="BG46" s="311"/>
    </row>
    <row r="47" spans="2:59" x14ac:dyDescent="0.15">
      <c r="B47" s="312"/>
      <c r="C47" s="252"/>
      <c r="D47" s="252"/>
      <c r="E47" s="252"/>
      <c r="F47" s="252"/>
      <c r="G47" s="252"/>
      <c r="H47" s="252"/>
      <c r="I47" s="252"/>
      <c r="J47" s="1185"/>
      <c r="K47" s="1185"/>
      <c r="L47" s="1185"/>
      <c r="M47" s="1185"/>
      <c r="N47" s="1185"/>
      <c r="O47" s="1185"/>
      <c r="P47" s="1185"/>
      <c r="Q47" s="1185"/>
      <c r="R47" s="1185"/>
      <c r="S47" s="1185"/>
      <c r="T47" s="1185"/>
      <c r="U47" s="1185"/>
      <c r="V47" s="1185"/>
      <c r="W47" s="1185"/>
      <c r="X47" s="1185"/>
      <c r="Y47" s="1185"/>
      <c r="Z47" s="1185"/>
      <c r="AA47" s="1185"/>
      <c r="AB47" s="1185"/>
      <c r="AC47" s="252"/>
      <c r="AD47" s="252"/>
      <c r="AE47" s="252"/>
      <c r="AF47" s="252"/>
      <c r="AG47" s="252"/>
      <c r="AH47" s="252"/>
      <c r="AI47" s="252"/>
      <c r="AJ47" s="1185"/>
      <c r="AK47" s="1185"/>
      <c r="AL47" s="1185"/>
      <c r="AM47" s="1185"/>
      <c r="AN47" s="1185"/>
      <c r="AO47" s="1185"/>
      <c r="AP47" s="1185"/>
      <c r="AQ47" s="1185"/>
      <c r="AR47" s="1185"/>
      <c r="AS47" s="1185"/>
      <c r="AT47" s="1185"/>
      <c r="AU47" s="1185"/>
      <c r="AV47" s="1185"/>
      <c r="AW47" s="1185"/>
      <c r="AX47" s="1185"/>
      <c r="AY47" s="1185"/>
      <c r="AZ47" s="1185"/>
      <c r="BA47" s="1185"/>
      <c r="BB47" s="1185"/>
      <c r="BC47" s="252"/>
      <c r="BD47" s="252"/>
      <c r="BE47" s="252"/>
      <c r="BF47" s="252"/>
      <c r="BG47" s="311"/>
    </row>
    <row r="48" spans="2:59" x14ac:dyDescent="0.15">
      <c r="B48" s="312"/>
      <c r="C48" s="252"/>
      <c r="D48" s="252"/>
      <c r="E48" s="252"/>
      <c r="F48" s="252"/>
      <c r="G48" s="252"/>
      <c r="H48" s="252"/>
      <c r="I48" s="252"/>
      <c r="J48" s="252"/>
      <c r="K48" s="252"/>
      <c r="L48" s="252"/>
      <c r="M48" s="252"/>
      <c r="N48" s="1181" t="s">
        <v>802</v>
      </c>
      <c r="O48" s="1181"/>
      <c r="P48" s="1181"/>
      <c r="Q48" s="1181"/>
      <c r="R48" s="1181"/>
      <c r="S48" s="1181"/>
      <c r="T48" s="1181"/>
      <c r="U48" s="1181"/>
      <c r="V48" s="1181"/>
      <c r="W48" s="1181"/>
      <c r="X48" s="1181"/>
      <c r="Y48" s="252"/>
      <c r="Z48" s="252"/>
      <c r="AA48" s="252"/>
      <c r="AB48" s="252"/>
      <c r="AC48" s="252"/>
      <c r="AD48" s="252"/>
      <c r="AE48" s="252"/>
      <c r="AF48" s="252"/>
      <c r="AG48" s="252"/>
      <c r="AH48" s="252"/>
      <c r="AI48" s="252"/>
      <c r="AJ48" s="252"/>
      <c r="AK48" s="252"/>
      <c r="AL48" s="252"/>
      <c r="AM48" s="252"/>
      <c r="AN48" s="1181" t="s">
        <v>802</v>
      </c>
      <c r="AO48" s="1181"/>
      <c r="AP48" s="1181"/>
      <c r="AQ48" s="1181"/>
      <c r="AR48" s="1181"/>
      <c r="AS48" s="1181"/>
      <c r="AT48" s="1181"/>
      <c r="AU48" s="1181"/>
      <c r="AV48" s="1181"/>
      <c r="AW48" s="1181"/>
      <c r="AX48" s="1181"/>
      <c r="AY48" s="252"/>
      <c r="AZ48" s="252"/>
      <c r="BA48" s="252"/>
      <c r="BB48" s="252"/>
      <c r="BC48" s="252"/>
      <c r="BD48" s="252"/>
      <c r="BE48" s="252"/>
      <c r="BF48" s="252"/>
      <c r="BG48" s="311"/>
    </row>
    <row r="49" spans="2:59" x14ac:dyDescent="0.15">
      <c r="B49" s="312"/>
      <c r="C49" s="1163"/>
      <c r="D49" s="1163"/>
      <c r="E49" s="1163"/>
      <c r="F49" s="1163"/>
      <c r="G49" s="1163"/>
      <c r="H49" s="1163"/>
      <c r="I49" s="1163"/>
      <c r="J49" s="1163"/>
      <c r="K49" s="1163"/>
      <c r="L49" s="1163"/>
      <c r="M49" s="1163"/>
      <c r="N49" s="1163"/>
      <c r="O49" s="1163"/>
      <c r="P49" s="1163"/>
      <c r="Q49" s="1163"/>
      <c r="R49" s="1163"/>
      <c r="S49" s="1163"/>
      <c r="T49" s="1163"/>
      <c r="U49" s="1163"/>
      <c r="V49" s="1163"/>
      <c r="W49" s="1163"/>
      <c r="X49" s="1163"/>
      <c r="Y49" s="1163"/>
      <c r="Z49" s="1163"/>
      <c r="AA49" s="1163"/>
      <c r="AB49" s="1163"/>
      <c r="AC49" s="1163"/>
      <c r="AD49" s="1163"/>
      <c r="AE49" s="1163"/>
      <c r="AF49" s="1163"/>
      <c r="AG49" s="1163"/>
      <c r="AH49" s="1163"/>
      <c r="AI49" s="1163"/>
      <c r="AJ49" s="1163"/>
      <c r="AK49" s="1163"/>
      <c r="AL49" s="1163"/>
      <c r="AM49" s="1163"/>
      <c r="AN49" s="1163"/>
      <c r="AO49" s="1163"/>
      <c r="AP49" s="1163"/>
      <c r="AQ49" s="1163"/>
      <c r="AR49" s="1163"/>
      <c r="AS49" s="1163"/>
      <c r="AT49" s="1163"/>
      <c r="AU49" s="1163"/>
      <c r="AV49" s="1163"/>
      <c r="AW49" s="1163"/>
      <c r="AX49" s="1163"/>
      <c r="AY49" s="1163"/>
      <c r="AZ49" s="1163"/>
      <c r="BA49" s="1163"/>
      <c r="BB49" s="1163"/>
      <c r="BC49" s="1163"/>
      <c r="BD49" s="1163"/>
      <c r="BE49" s="1163"/>
      <c r="BF49" s="1163"/>
      <c r="BG49" s="311"/>
    </row>
    <row r="50" spans="2:59" x14ac:dyDescent="0.15">
      <c r="B50" s="315"/>
      <c r="C50" s="1185"/>
      <c r="D50" s="1185"/>
      <c r="E50" s="1185"/>
      <c r="F50" s="1185"/>
      <c r="G50" s="1185"/>
      <c r="H50" s="1185"/>
      <c r="I50" s="1185"/>
      <c r="J50" s="1185"/>
      <c r="K50" s="1185"/>
      <c r="L50" s="1185"/>
      <c r="M50" s="1185"/>
      <c r="N50" s="1185"/>
      <c r="O50" s="1185"/>
      <c r="P50" s="1185"/>
      <c r="Q50" s="1185"/>
      <c r="R50" s="1185"/>
      <c r="S50" s="1185"/>
      <c r="T50" s="1185"/>
      <c r="U50" s="1185"/>
      <c r="V50" s="1185"/>
      <c r="W50" s="1185"/>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185"/>
      <c r="AS50" s="1185"/>
      <c r="AT50" s="1185"/>
      <c r="AU50" s="1185"/>
      <c r="AV50" s="1185"/>
      <c r="AW50" s="1185"/>
      <c r="AX50" s="1185"/>
      <c r="AY50" s="1185"/>
      <c r="AZ50" s="1185"/>
      <c r="BA50" s="1185"/>
      <c r="BB50" s="1185"/>
      <c r="BC50" s="1185"/>
      <c r="BD50" s="1185"/>
      <c r="BE50" s="1185"/>
      <c r="BF50" s="1185"/>
      <c r="BG50" s="321"/>
    </row>
    <row r="51" spans="2:59" x14ac:dyDescent="0.15">
      <c r="C51" s="1796"/>
      <c r="D51" s="1796"/>
      <c r="E51" s="1796"/>
      <c r="F51" s="1796"/>
      <c r="G51" s="1796"/>
      <c r="H51" s="1796"/>
      <c r="I51" s="1796"/>
      <c r="J51" s="1796"/>
      <c r="K51" s="1796"/>
      <c r="L51" s="1796"/>
      <c r="M51" s="1796"/>
      <c r="N51" s="1796"/>
      <c r="O51" s="1796"/>
      <c r="P51" s="1796"/>
      <c r="Q51" s="1796"/>
      <c r="R51" s="1796"/>
      <c r="S51" s="1796"/>
      <c r="T51" s="1796"/>
      <c r="U51" s="1796"/>
      <c r="V51" s="1796"/>
      <c r="W51" s="1796"/>
      <c r="X51" s="1796"/>
      <c r="Y51" s="1796"/>
      <c r="Z51" s="1796"/>
      <c r="AA51" s="1796"/>
      <c r="AB51" s="1796"/>
      <c r="AC51" s="1796"/>
      <c r="AD51" s="1796"/>
      <c r="AE51" s="1796"/>
      <c r="AF51" s="1796"/>
      <c r="AG51" s="1796"/>
      <c r="AH51" s="1796"/>
      <c r="AI51" s="1796"/>
      <c r="AJ51" s="1796"/>
      <c r="AK51" s="1796"/>
      <c r="AL51" s="1796"/>
      <c r="AM51" s="1796"/>
      <c r="AN51" s="1796"/>
      <c r="AO51" s="1796"/>
      <c r="AP51" s="1796"/>
      <c r="AQ51" s="1796"/>
      <c r="AR51" s="1796"/>
      <c r="AS51" s="1796"/>
      <c r="AT51" s="1796"/>
      <c r="AU51" s="1796"/>
      <c r="AV51" s="1796"/>
      <c r="AW51" s="1796"/>
      <c r="AX51" s="1796"/>
      <c r="AY51" s="1796"/>
      <c r="AZ51" s="1796"/>
      <c r="BA51" s="1796"/>
      <c r="BB51" s="1796"/>
      <c r="BC51" s="1796"/>
      <c r="BD51" s="1796"/>
      <c r="BE51" s="1796"/>
      <c r="BF51" s="1796"/>
    </row>
    <row r="52" spans="2:59" x14ac:dyDescent="0.15">
      <c r="C52" s="1796"/>
      <c r="D52" s="1796"/>
      <c r="E52" s="1796"/>
      <c r="F52" s="1796"/>
      <c r="G52" s="1796"/>
      <c r="H52" s="1796"/>
      <c r="I52" s="1796"/>
      <c r="J52" s="1796"/>
      <c r="K52" s="1796"/>
      <c r="L52" s="1796"/>
      <c r="M52" s="1796"/>
      <c r="N52" s="1796"/>
      <c r="O52" s="1796"/>
      <c r="P52" s="1796"/>
      <c r="Q52" s="1796"/>
      <c r="R52" s="1796"/>
      <c r="S52" s="1796"/>
      <c r="T52" s="1796"/>
      <c r="U52" s="1796"/>
      <c r="V52" s="1796"/>
      <c r="W52" s="1796"/>
      <c r="X52" s="1796"/>
      <c r="Y52" s="1796"/>
      <c r="Z52" s="1796"/>
      <c r="AA52" s="1796"/>
      <c r="AB52" s="1796"/>
      <c r="AC52" s="1796"/>
      <c r="AD52" s="1796"/>
      <c r="AE52" s="1796"/>
      <c r="AF52" s="1796"/>
      <c r="AG52" s="1796"/>
      <c r="AH52" s="1796"/>
      <c r="AI52" s="1796"/>
      <c r="AJ52" s="1796"/>
      <c r="AK52" s="1796"/>
      <c r="AL52" s="1796"/>
      <c r="AM52" s="1796"/>
      <c r="AN52" s="1796"/>
      <c r="AO52" s="1796"/>
      <c r="AP52" s="1796"/>
      <c r="AQ52" s="1796"/>
      <c r="AR52" s="1796"/>
      <c r="AS52" s="1796"/>
      <c r="AT52" s="1796"/>
      <c r="AU52" s="1796"/>
      <c r="AV52" s="1796"/>
      <c r="AW52" s="1796"/>
      <c r="AX52" s="1796"/>
      <c r="AY52" s="1796"/>
      <c r="AZ52" s="1796"/>
      <c r="BA52" s="1796"/>
      <c r="BB52" s="1796"/>
      <c r="BC52" s="1796"/>
      <c r="BD52" s="1796"/>
      <c r="BE52" s="1796"/>
      <c r="BF52" s="1796"/>
    </row>
    <row r="53" spans="2:59" x14ac:dyDescent="0.15">
      <c r="C53" s="1796"/>
      <c r="D53" s="1796"/>
      <c r="E53" s="1796"/>
      <c r="F53" s="1796"/>
      <c r="G53" s="1796"/>
      <c r="H53" s="1796"/>
      <c r="I53" s="1796"/>
      <c r="J53" s="1796"/>
      <c r="K53" s="1796"/>
      <c r="L53" s="1796"/>
      <c r="M53" s="1796"/>
      <c r="N53" s="1796"/>
      <c r="O53" s="1796"/>
      <c r="P53" s="1796"/>
      <c r="Q53" s="1796"/>
      <c r="R53" s="1796"/>
      <c r="S53" s="1796"/>
      <c r="T53" s="1796"/>
      <c r="U53" s="1796"/>
      <c r="V53" s="1796"/>
      <c r="W53" s="1796"/>
      <c r="X53" s="1796"/>
      <c r="Y53" s="1796"/>
      <c r="Z53" s="1796"/>
      <c r="AA53" s="1796"/>
      <c r="AB53" s="1796"/>
      <c r="AC53" s="1796"/>
      <c r="AD53" s="1796"/>
      <c r="AE53" s="1796"/>
      <c r="AF53" s="1796"/>
      <c r="AG53" s="1796"/>
      <c r="AH53" s="1796"/>
      <c r="AI53" s="1796"/>
      <c r="AJ53" s="1796"/>
      <c r="AK53" s="1796"/>
      <c r="AL53" s="1796"/>
      <c r="AM53" s="1796"/>
      <c r="AN53" s="1796"/>
      <c r="AO53" s="1796"/>
      <c r="AP53" s="1796"/>
      <c r="AQ53" s="1796"/>
      <c r="AR53" s="1796"/>
      <c r="AS53" s="1796"/>
      <c r="AT53" s="1796"/>
      <c r="AU53" s="1796"/>
      <c r="AV53" s="1796"/>
      <c r="AW53" s="1796"/>
      <c r="AX53" s="1796"/>
      <c r="AY53" s="1796"/>
      <c r="AZ53" s="1796"/>
      <c r="BA53" s="1796"/>
      <c r="BB53" s="1796"/>
      <c r="BC53" s="1796"/>
      <c r="BD53" s="1796"/>
      <c r="BE53" s="1796"/>
      <c r="BF53" s="1796"/>
    </row>
    <row r="54" spans="2:59" x14ac:dyDescent="0.15">
      <c r="C54" s="1796"/>
      <c r="D54" s="1796"/>
      <c r="E54" s="1796"/>
      <c r="F54" s="1796"/>
      <c r="G54" s="1796"/>
      <c r="H54" s="1796"/>
      <c r="I54" s="1796"/>
      <c r="J54" s="1796"/>
      <c r="K54" s="1796"/>
      <c r="L54" s="1796"/>
      <c r="M54" s="1796"/>
      <c r="N54" s="1796"/>
      <c r="O54" s="1796"/>
      <c r="P54" s="1796"/>
      <c r="Q54" s="1796"/>
      <c r="R54" s="1796"/>
      <c r="S54" s="1796"/>
      <c r="T54" s="1796"/>
      <c r="U54" s="1796"/>
      <c r="V54" s="1796"/>
      <c r="W54" s="1796"/>
      <c r="X54" s="1796"/>
      <c r="Y54" s="1796"/>
      <c r="Z54" s="1796"/>
      <c r="AA54" s="1796"/>
      <c r="AB54" s="1796"/>
      <c r="AC54" s="1796"/>
      <c r="AD54" s="1796"/>
      <c r="AE54" s="1796"/>
      <c r="AF54" s="1796"/>
      <c r="AG54" s="1796"/>
      <c r="AH54" s="1796"/>
      <c r="AI54" s="1796"/>
      <c r="AJ54" s="1796"/>
      <c r="AK54" s="1796"/>
      <c r="AL54" s="1796"/>
      <c r="AM54" s="1796"/>
      <c r="AN54" s="1796"/>
      <c r="AO54" s="1796"/>
      <c r="AP54" s="1796"/>
      <c r="AQ54" s="1796"/>
      <c r="AR54" s="1796"/>
      <c r="AS54" s="1796"/>
      <c r="AT54" s="1796"/>
      <c r="AU54" s="1796"/>
      <c r="AV54" s="1796"/>
      <c r="AW54" s="1796"/>
      <c r="AX54" s="1796"/>
      <c r="AY54" s="1796"/>
      <c r="AZ54" s="1796"/>
      <c r="BA54" s="1796"/>
      <c r="BB54" s="1796"/>
      <c r="BC54" s="1796"/>
      <c r="BD54" s="1796"/>
      <c r="BE54" s="1796"/>
      <c r="BF54" s="1796"/>
    </row>
    <row r="55" spans="2:59" x14ac:dyDescent="0.15">
      <c r="C55" s="1796"/>
      <c r="D55" s="1796"/>
      <c r="E55" s="1796"/>
      <c r="F55" s="1796"/>
      <c r="G55" s="1796"/>
      <c r="H55" s="1796"/>
      <c r="I55" s="1796"/>
      <c r="J55" s="1796"/>
      <c r="K55" s="1796"/>
      <c r="L55" s="1796"/>
      <c r="M55" s="1796"/>
      <c r="N55" s="1796"/>
      <c r="O55" s="1796"/>
      <c r="P55" s="1796"/>
      <c r="Q55" s="1796"/>
      <c r="R55" s="1796"/>
      <c r="S55" s="1796"/>
      <c r="T55" s="1796"/>
      <c r="U55" s="1796"/>
      <c r="V55" s="1796"/>
      <c r="W55" s="1796"/>
      <c r="X55" s="1796"/>
      <c r="Y55" s="1796"/>
      <c r="Z55" s="1796"/>
      <c r="AA55" s="1796"/>
      <c r="AB55" s="1796"/>
      <c r="AC55" s="1796"/>
      <c r="AD55" s="1796"/>
      <c r="AE55" s="1796"/>
      <c r="AF55" s="1796"/>
      <c r="AG55" s="1796"/>
      <c r="AH55" s="1796"/>
      <c r="AI55" s="1796"/>
      <c r="AJ55" s="1796"/>
      <c r="AK55" s="1796"/>
      <c r="AL55" s="1796"/>
      <c r="AM55" s="1796"/>
      <c r="AN55" s="1796"/>
      <c r="AO55" s="1796"/>
      <c r="AP55" s="1796"/>
      <c r="AQ55" s="1796"/>
      <c r="AR55" s="1796"/>
      <c r="AS55" s="1796"/>
      <c r="AT55" s="1796"/>
      <c r="AU55" s="1796"/>
      <c r="AV55" s="1796"/>
      <c r="AW55" s="1796"/>
      <c r="AX55" s="1796"/>
      <c r="AY55" s="1796"/>
      <c r="AZ55" s="1796"/>
      <c r="BA55" s="1796"/>
      <c r="BB55" s="1796"/>
      <c r="BC55" s="1796"/>
      <c r="BD55" s="1796"/>
      <c r="BE55" s="1796"/>
      <c r="BF55" s="1796"/>
    </row>
    <row r="56" spans="2:59" x14ac:dyDescent="0.15">
      <c r="C56" s="1796"/>
      <c r="D56" s="1796"/>
      <c r="E56" s="1796"/>
      <c r="F56" s="1796"/>
      <c r="G56" s="1796"/>
      <c r="H56" s="1796"/>
      <c r="I56" s="1796"/>
      <c r="J56" s="1796"/>
      <c r="K56" s="1796"/>
      <c r="L56" s="1796"/>
      <c r="M56" s="1796"/>
      <c r="N56" s="1796"/>
      <c r="O56" s="1796"/>
      <c r="P56" s="1796"/>
      <c r="Q56" s="1796"/>
      <c r="R56" s="1796"/>
      <c r="S56" s="1796"/>
      <c r="T56" s="1796"/>
      <c r="U56" s="1796"/>
      <c r="V56" s="1796"/>
      <c r="W56" s="1796"/>
      <c r="X56" s="1796"/>
      <c r="Y56" s="1796"/>
      <c r="Z56" s="1796"/>
      <c r="AA56" s="1796"/>
      <c r="AB56" s="1796"/>
      <c r="AC56" s="1796"/>
      <c r="AD56" s="1796"/>
      <c r="AE56" s="1796"/>
      <c r="AF56" s="1796"/>
      <c r="AG56" s="1796"/>
      <c r="AH56" s="1796"/>
      <c r="AI56" s="1796"/>
      <c r="AJ56" s="1796"/>
      <c r="AK56" s="1796"/>
      <c r="AL56" s="1796"/>
      <c r="AM56" s="1796"/>
      <c r="AN56" s="1796"/>
      <c r="AO56" s="1796"/>
      <c r="AP56" s="1796"/>
      <c r="AQ56" s="1796"/>
      <c r="AR56" s="1796"/>
      <c r="AS56" s="1796"/>
      <c r="AT56" s="1796"/>
      <c r="AU56" s="1796"/>
      <c r="AV56" s="1796"/>
      <c r="AW56" s="1796"/>
      <c r="AX56" s="1796"/>
      <c r="AY56" s="1796"/>
      <c r="AZ56" s="1796"/>
      <c r="BA56" s="1796"/>
      <c r="BB56" s="1796"/>
      <c r="BC56" s="1796"/>
      <c r="BD56" s="1796"/>
      <c r="BE56" s="1796"/>
      <c r="BF56" s="1796"/>
    </row>
    <row r="57" spans="2:59" x14ac:dyDescent="0.15">
      <c r="C57" s="1796"/>
      <c r="D57" s="1796"/>
      <c r="E57" s="1796"/>
      <c r="F57" s="1796"/>
      <c r="G57" s="1796"/>
      <c r="H57" s="1796"/>
      <c r="I57" s="1796"/>
      <c r="J57" s="1796"/>
      <c r="K57" s="1796"/>
      <c r="L57" s="1796"/>
      <c r="M57" s="1796"/>
      <c r="N57" s="1796"/>
      <c r="O57" s="1796"/>
      <c r="P57" s="1796"/>
      <c r="Q57" s="1796"/>
      <c r="R57" s="1796"/>
      <c r="S57" s="1796"/>
      <c r="T57" s="1796"/>
      <c r="U57" s="1796"/>
      <c r="V57" s="1796"/>
      <c r="W57" s="1796"/>
      <c r="X57" s="1796"/>
      <c r="Y57" s="1796"/>
      <c r="Z57" s="1796"/>
      <c r="AA57" s="1796"/>
      <c r="AB57" s="1796"/>
      <c r="AC57" s="1796"/>
      <c r="AD57" s="1796"/>
      <c r="AE57" s="1796"/>
      <c r="AF57" s="1796"/>
      <c r="AG57" s="1796"/>
      <c r="AH57" s="1796"/>
      <c r="AI57" s="1796"/>
      <c r="AJ57" s="1796"/>
      <c r="AK57" s="1796"/>
      <c r="AL57" s="1796"/>
      <c r="AM57" s="1796"/>
      <c r="AN57" s="1796"/>
      <c r="AO57" s="1796"/>
      <c r="AP57" s="1796"/>
      <c r="AQ57" s="1796"/>
      <c r="AR57" s="1796"/>
      <c r="AS57" s="1796"/>
      <c r="AT57" s="1796"/>
      <c r="AU57" s="1796"/>
      <c r="AV57" s="1796"/>
      <c r="AW57" s="1796"/>
      <c r="AX57" s="1796"/>
      <c r="AY57" s="1796"/>
      <c r="AZ57" s="1796"/>
      <c r="BA57" s="1796"/>
      <c r="BB57" s="1796"/>
      <c r="BC57" s="1796"/>
      <c r="BD57" s="1796"/>
      <c r="BE57" s="1796"/>
      <c r="BF57" s="1796"/>
    </row>
    <row r="58" spans="2:59" x14ac:dyDescent="0.15">
      <c r="C58" s="1796"/>
      <c r="D58" s="1796"/>
      <c r="E58" s="1796"/>
      <c r="F58" s="1796"/>
      <c r="G58" s="1796"/>
      <c r="H58" s="1796"/>
      <c r="I58" s="1796"/>
      <c r="J58" s="1796"/>
      <c r="K58" s="1796"/>
      <c r="L58" s="1796"/>
      <c r="M58" s="1796"/>
      <c r="N58" s="1796"/>
      <c r="O58" s="1796"/>
      <c r="P58" s="1796"/>
      <c r="Q58" s="1796"/>
      <c r="R58" s="1796"/>
      <c r="S58" s="1796"/>
      <c r="T58" s="1796"/>
      <c r="U58" s="1796"/>
      <c r="V58" s="1796"/>
      <c r="W58" s="1796"/>
      <c r="X58" s="1796"/>
      <c r="Y58" s="1796"/>
      <c r="Z58" s="1796"/>
      <c r="AA58" s="1796"/>
      <c r="AB58" s="1796"/>
      <c r="AC58" s="1796"/>
      <c r="AD58" s="1796"/>
      <c r="AE58" s="1796"/>
      <c r="AF58" s="1796"/>
      <c r="AG58" s="1796"/>
      <c r="AH58" s="1796"/>
      <c r="AI58" s="1796"/>
      <c r="AJ58" s="1796"/>
      <c r="AK58" s="1796"/>
      <c r="AL58" s="1796"/>
      <c r="AM58" s="1796"/>
      <c r="AN58" s="1796"/>
      <c r="AO58" s="1796"/>
      <c r="AP58" s="1796"/>
      <c r="AQ58" s="1796"/>
      <c r="AR58" s="1796"/>
      <c r="AS58" s="1796"/>
      <c r="AT58" s="1796"/>
      <c r="AU58" s="1796"/>
      <c r="AV58" s="1796"/>
      <c r="AW58" s="1796"/>
      <c r="AX58" s="1796"/>
      <c r="AY58" s="1796"/>
      <c r="AZ58" s="1796"/>
      <c r="BA58" s="1796"/>
      <c r="BB58" s="1796"/>
      <c r="BC58" s="1796"/>
      <c r="BD58" s="1796"/>
      <c r="BE58" s="1796"/>
      <c r="BF58" s="1796"/>
    </row>
    <row r="59" spans="2:59" x14ac:dyDescent="0.15">
      <c r="C59" s="1796"/>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c r="AE59" s="1796"/>
      <c r="AF59" s="1796"/>
      <c r="AG59" s="1796"/>
      <c r="AH59" s="1796"/>
      <c r="AI59" s="1796"/>
      <c r="AJ59" s="1796"/>
      <c r="AK59" s="1796"/>
      <c r="AL59" s="1796"/>
      <c r="AM59" s="1796"/>
      <c r="AN59" s="1796"/>
      <c r="AO59" s="1796"/>
      <c r="AP59" s="1796"/>
      <c r="AQ59" s="1796"/>
      <c r="AR59" s="1796"/>
      <c r="AS59" s="1796"/>
      <c r="AT59" s="1796"/>
      <c r="AU59" s="1796"/>
      <c r="AV59" s="1796"/>
      <c r="AW59" s="1796"/>
      <c r="AX59" s="1796"/>
      <c r="AY59" s="1796"/>
      <c r="AZ59" s="1796"/>
      <c r="BA59" s="1796"/>
      <c r="BB59" s="1796"/>
      <c r="BC59" s="1796"/>
      <c r="BD59" s="1796"/>
      <c r="BE59" s="1796"/>
      <c r="BF59" s="1796"/>
    </row>
    <row r="60" spans="2:59" x14ac:dyDescent="0.15">
      <c r="C60" s="1796"/>
      <c r="D60" s="1796"/>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c r="AE60" s="1796"/>
      <c r="AF60" s="1796"/>
      <c r="AG60" s="1796"/>
      <c r="AH60" s="1796"/>
      <c r="AI60" s="1796"/>
      <c r="AJ60" s="1796"/>
      <c r="AK60" s="1796"/>
      <c r="AL60" s="1796"/>
      <c r="AM60" s="1796"/>
      <c r="AN60" s="1796"/>
      <c r="AO60" s="1796"/>
      <c r="AP60" s="1796"/>
      <c r="AQ60" s="1796"/>
      <c r="AR60" s="1796"/>
      <c r="AS60" s="1796"/>
      <c r="AT60" s="1796"/>
      <c r="AU60" s="1796"/>
      <c r="AV60" s="1796"/>
      <c r="AW60" s="1796"/>
      <c r="AX60" s="1796"/>
      <c r="AY60" s="1796"/>
      <c r="AZ60" s="1796"/>
      <c r="BA60" s="1796"/>
      <c r="BB60" s="1796"/>
      <c r="BC60" s="1796"/>
      <c r="BD60" s="1796"/>
      <c r="BE60" s="1796"/>
      <c r="BF60" s="1796"/>
    </row>
    <row r="61" spans="2:59" x14ac:dyDescent="0.15">
      <c r="C61" s="1796"/>
      <c r="D61" s="1796"/>
      <c r="E61" s="1796"/>
      <c r="F61" s="1796"/>
      <c r="G61" s="1796"/>
      <c r="H61" s="1796"/>
      <c r="I61" s="1796"/>
      <c r="J61" s="1796"/>
      <c r="K61" s="1796"/>
      <c r="L61" s="1796"/>
      <c r="M61" s="1796"/>
      <c r="N61" s="1796"/>
      <c r="O61" s="1796"/>
      <c r="P61" s="1796"/>
      <c r="Q61" s="1796"/>
      <c r="R61" s="1796"/>
      <c r="S61" s="1796"/>
      <c r="T61" s="1796"/>
      <c r="U61" s="1796"/>
      <c r="V61" s="1796"/>
      <c r="W61" s="1796"/>
      <c r="X61" s="1796"/>
      <c r="Y61" s="1796"/>
      <c r="Z61" s="1796"/>
      <c r="AA61" s="1796"/>
      <c r="AB61" s="1796"/>
      <c r="AC61" s="1796"/>
      <c r="AD61" s="1796"/>
      <c r="AE61" s="1796"/>
      <c r="AF61" s="1796"/>
      <c r="AG61" s="1796"/>
      <c r="AH61" s="1796"/>
      <c r="AI61" s="1796"/>
      <c r="AJ61" s="1796"/>
      <c r="AK61" s="1796"/>
      <c r="AL61" s="1796"/>
      <c r="AM61" s="1796"/>
      <c r="AN61" s="1796"/>
      <c r="AO61" s="1796"/>
      <c r="AP61" s="1796"/>
      <c r="AQ61" s="1796"/>
      <c r="AR61" s="1796"/>
      <c r="AS61" s="1796"/>
      <c r="AT61" s="1796"/>
      <c r="AU61" s="1796"/>
      <c r="AV61" s="1796"/>
      <c r="AW61" s="1796"/>
      <c r="AX61" s="1796"/>
      <c r="AY61" s="1796"/>
      <c r="AZ61" s="1796"/>
      <c r="BA61" s="1796"/>
      <c r="BB61" s="1796"/>
      <c r="BC61" s="1796"/>
      <c r="BD61" s="1796"/>
      <c r="BE61" s="1796"/>
      <c r="BF61" s="1796"/>
    </row>
    <row r="62" spans="2:59" x14ac:dyDescent="0.15">
      <c r="C62" s="1796"/>
      <c r="D62" s="1796"/>
      <c r="E62" s="1796"/>
      <c r="F62" s="1796"/>
      <c r="G62" s="1796"/>
      <c r="H62" s="1796"/>
      <c r="I62" s="1796"/>
      <c r="J62" s="1796"/>
      <c r="K62" s="1796"/>
      <c r="L62" s="1796"/>
      <c r="M62" s="1796"/>
      <c r="N62" s="1796"/>
      <c r="O62" s="1796"/>
      <c r="P62" s="1796"/>
      <c r="Q62" s="1796"/>
      <c r="R62" s="1796"/>
      <c r="S62" s="1796"/>
      <c r="T62" s="1796"/>
      <c r="U62" s="1796"/>
      <c r="V62" s="1796"/>
      <c r="W62" s="1796"/>
      <c r="X62" s="1796"/>
      <c r="Y62" s="1796"/>
      <c r="Z62" s="1796"/>
      <c r="AA62" s="1796"/>
      <c r="AB62" s="1796"/>
      <c r="AC62" s="1796"/>
      <c r="AD62" s="1796"/>
      <c r="AE62" s="1796"/>
      <c r="AF62" s="1796"/>
      <c r="AG62" s="1796"/>
      <c r="AH62" s="1796"/>
      <c r="AI62" s="1796"/>
      <c r="AJ62" s="1796"/>
      <c r="AK62" s="1796"/>
      <c r="AL62" s="1796"/>
      <c r="AM62" s="1796"/>
      <c r="AN62" s="1796"/>
      <c r="AO62" s="1796"/>
      <c r="AP62" s="1796"/>
      <c r="AQ62" s="1796"/>
      <c r="AR62" s="1796"/>
      <c r="AS62" s="1796"/>
      <c r="AT62" s="1796"/>
      <c r="AU62" s="1796"/>
      <c r="AV62" s="1796"/>
      <c r="AW62" s="1796"/>
      <c r="AX62" s="1796"/>
      <c r="AY62" s="1796"/>
      <c r="AZ62" s="1796"/>
      <c r="BA62" s="1796"/>
      <c r="BB62" s="1796"/>
      <c r="BC62" s="1796"/>
      <c r="BD62" s="1796"/>
      <c r="BE62" s="1796"/>
      <c r="BF62" s="1796"/>
    </row>
    <row r="63" spans="2:59" x14ac:dyDescent="0.15">
      <c r="C63" s="1796"/>
      <c r="D63" s="1796"/>
      <c r="E63" s="1796"/>
      <c r="F63" s="1796"/>
      <c r="G63" s="1796"/>
      <c r="H63" s="1796"/>
      <c r="I63" s="1796"/>
      <c r="J63" s="1796"/>
      <c r="K63" s="1796"/>
      <c r="L63" s="1796"/>
      <c r="M63" s="1796"/>
      <c r="N63" s="1796"/>
      <c r="O63" s="1796"/>
      <c r="P63" s="1796"/>
      <c r="Q63" s="1796"/>
      <c r="R63" s="1796"/>
      <c r="S63" s="1796"/>
      <c r="T63" s="1796"/>
      <c r="U63" s="1796"/>
      <c r="V63" s="1796"/>
      <c r="W63" s="1796"/>
      <c r="X63" s="1796"/>
      <c r="Y63" s="1796"/>
      <c r="Z63" s="1796"/>
      <c r="AA63" s="1796"/>
      <c r="AB63" s="1796"/>
      <c r="AC63" s="1796"/>
      <c r="AD63" s="1796"/>
      <c r="AE63" s="1796"/>
      <c r="AF63" s="1796"/>
      <c r="AG63" s="1796"/>
      <c r="AH63" s="1796"/>
      <c r="AI63" s="1796"/>
      <c r="AJ63" s="1796"/>
      <c r="AK63" s="1796"/>
      <c r="AL63" s="1796"/>
      <c r="AM63" s="1796"/>
      <c r="AN63" s="1796"/>
      <c r="AO63" s="1796"/>
      <c r="AP63" s="1796"/>
      <c r="AQ63" s="1796"/>
      <c r="AR63" s="1796"/>
      <c r="AS63" s="1796"/>
      <c r="AT63" s="1796"/>
      <c r="AU63" s="1796"/>
      <c r="AV63" s="1796"/>
      <c r="AW63" s="1796"/>
      <c r="AX63" s="1796"/>
      <c r="AY63" s="1796"/>
      <c r="AZ63" s="1796"/>
      <c r="BA63" s="1796"/>
      <c r="BB63" s="1796"/>
      <c r="BC63" s="1796"/>
      <c r="BD63" s="1796"/>
      <c r="BE63" s="1796"/>
      <c r="BF63" s="1796"/>
    </row>
    <row r="64" spans="2:59" x14ac:dyDescent="0.15">
      <c r="C64" s="1796"/>
      <c r="D64" s="1796"/>
      <c r="E64" s="1796"/>
      <c r="F64" s="1796"/>
      <c r="G64" s="1796"/>
      <c r="H64" s="1796"/>
      <c r="I64" s="1796"/>
      <c r="J64" s="1796"/>
      <c r="K64" s="1796"/>
      <c r="L64" s="1796"/>
      <c r="M64" s="1796"/>
      <c r="N64" s="1796"/>
      <c r="O64" s="1796"/>
      <c r="P64" s="1796"/>
      <c r="Q64" s="1796"/>
      <c r="R64" s="1796"/>
      <c r="S64" s="1796"/>
      <c r="T64" s="1796"/>
      <c r="U64" s="1796"/>
      <c r="V64" s="1796"/>
      <c r="W64" s="1796"/>
      <c r="X64" s="1796"/>
      <c r="Y64" s="1796"/>
      <c r="Z64" s="1796"/>
      <c r="AA64" s="1796"/>
      <c r="AB64" s="1796"/>
      <c r="AC64" s="1796"/>
      <c r="AD64" s="1796"/>
      <c r="AE64" s="1796"/>
      <c r="AF64" s="1796"/>
      <c r="AG64" s="1796"/>
      <c r="AH64" s="1796"/>
      <c r="AI64" s="1796"/>
      <c r="AJ64" s="1796"/>
      <c r="AK64" s="1796"/>
      <c r="AL64" s="1796"/>
      <c r="AM64" s="1796"/>
      <c r="AN64" s="1796"/>
      <c r="AO64" s="1796"/>
      <c r="AP64" s="1796"/>
      <c r="AQ64" s="1796"/>
      <c r="AR64" s="1796"/>
      <c r="AS64" s="1796"/>
      <c r="AT64" s="1796"/>
      <c r="AU64" s="1796"/>
      <c r="AV64" s="1796"/>
      <c r="AW64" s="1796"/>
      <c r="AX64" s="1796"/>
      <c r="AY64" s="1796"/>
      <c r="AZ64" s="1796"/>
      <c r="BA64" s="1796"/>
      <c r="BB64" s="1796"/>
      <c r="BC64" s="1796"/>
      <c r="BD64" s="1796"/>
      <c r="BE64" s="1796"/>
      <c r="BF64" s="1796"/>
    </row>
    <row r="65" spans="3:58" x14ac:dyDescent="0.15">
      <c r="C65" s="1796"/>
      <c r="D65" s="1796"/>
      <c r="E65" s="1796"/>
      <c r="F65" s="1796"/>
      <c r="G65" s="1796"/>
      <c r="H65" s="1796"/>
      <c r="I65" s="1796"/>
      <c r="J65" s="1796"/>
      <c r="K65" s="1796"/>
      <c r="L65" s="1796"/>
      <c r="M65" s="1796"/>
      <c r="N65" s="1796"/>
      <c r="O65" s="1796"/>
      <c r="P65" s="1796"/>
      <c r="Q65" s="1796"/>
      <c r="R65" s="1796"/>
      <c r="S65" s="1796"/>
      <c r="T65" s="1796"/>
      <c r="U65" s="1796"/>
      <c r="V65" s="1796"/>
      <c r="W65" s="1796"/>
      <c r="X65" s="1796"/>
      <c r="Y65" s="1796"/>
      <c r="Z65" s="1796"/>
      <c r="AA65" s="1796"/>
      <c r="AB65" s="1796"/>
      <c r="AC65" s="1796"/>
      <c r="AD65" s="1796"/>
      <c r="AE65" s="1796"/>
      <c r="AF65" s="1796"/>
      <c r="AG65" s="1796"/>
      <c r="AH65" s="1796"/>
      <c r="AI65" s="1796"/>
      <c r="AJ65" s="1796"/>
      <c r="AK65" s="1796"/>
      <c r="AL65" s="1796"/>
      <c r="AM65" s="1796"/>
      <c r="AN65" s="1796"/>
      <c r="AO65" s="1796"/>
      <c r="AP65" s="1796"/>
      <c r="AQ65" s="1796"/>
      <c r="AR65" s="1796"/>
      <c r="AS65" s="1796"/>
      <c r="AT65" s="1796"/>
      <c r="AU65" s="1796"/>
      <c r="AV65" s="1796"/>
      <c r="AW65" s="1796"/>
      <c r="AX65" s="1796"/>
      <c r="AY65" s="1796"/>
      <c r="AZ65" s="1796"/>
      <c r="BA65" s="1796"/>
      <c r="BB65" s="1796"/>
      <c r="BC65" s="1796"/>
      <c r="BD65" s="1796"/>
      <c r="BE65" s="1796"/>
      <c r="BF65" s="1796"/>
    </row>
    <row r="66" spans="3:58" x14ac:dyDescent="0.15">
      <c r="C66" s="1796"/>
      <c r="D66" s="1796"/>
      <c r="E66" s="1796"/>
      <c r="F66" s="1796"/>
      <c r="G66" s="1796"/>
      <c r="H66" s="1796"/>
      <c r="I66" s="1796"/>
      <c r="J66" s="1796"/>
      <c r="K66" s="1796"/>
      <c r="L66" s="1796"/>
      <c r="M66" s="1796"/>
      <c r="N66" s="1796"/>
      <c r="O66" s="1796"/>
      <c r="P66" s="1796"/>
      <c r="Q66" s="1796"/>
      <c r="R66" s="1796"/>
      <c r="S66" s="1796"/>
      <c r="T66" s="1796"/>
      <c r="U66" s="1796"/>
      <c r="V66" s="1796"/>
      <c r="W66" s="1796"/>
      <c r="X66" s="1796"/>
      <c r="Y66" s="1796"/>
      <c r="Z66" s="1796"/>
      <c r="AA66" s="1796"/>
      <c r="AB66" s="1796"/>
      <c r="AC66" s="1796"/>
      <c r="AD66" s="1796"/>
      <c r="AE66" s="1796"/>
      <c r="AF66" s="1796"/>
      <c r="AG66" s="1796"/>
      <c r="AH66" s="1796"/>
      <c r="AI66" s="1796"/>
      <c r="AJ66" s="1796"/>
      <c r="AK66" s="1796"/>
      <c r="AL66" s="1796"/>
      <c r="AM66" s="1796"/>
      <c r="AN66" s="1796"/>
      <c r="AO66" s="1796"/>
      <c r="AP66" s="1796"/>
      <c r="AQ66" s="1796"/>
      <c r="AR66" s="1796"/>
      <c r="AS66" s="1796"/>
      <c r="AT66" s="1796"/>
      <c r="AU66" s="1796"/>
      <c r="AV66" s="1796"/>
      <c r="AW66" s="1796"/>
      <c r="AX66" s="1796"/>
      <c r="AY66" s="1796"/>
      <c r="AZ66" s="1796"/>
      <c r="BA66" s="1796"/>
      <c r="BB66" s="1796"/>
      <c r="BC66" s="1796"/>
      <c r="BD66" s="1796"/>
      <c r="BE66" s="1796"/>
      <c r="BF66" s="1796"/>
    </row>
    <row r="67" spans="3:58" x14ac:dyDescent="0.15">
      <c r="C67" s="1796"/>
      <c r="D67" s="1796"/>
      <c r="E67" s="1796"/>
      <c r="F67" s="1796"/>
      <c r="G67" s="1796"/>
      <c r="H67" s="1796"/>
      <c r="I67" s="1796"/>
      <c r="J67" s="1796"/>
      <c r="K67" s="1796"/>
      <c r="L67" s="1796"/>
      <c r="M67" s="1796"/>
      <c r="N67" s="1796"/>
      <c r="O67" s="1796"/>
      <c r="P67" s="1796"/>
      <c r="Q67" s="1796"/>
      <c r="R67" s="1796"/>
      <c r="S67" s="1796"/>
      <c r="T67" s="1796"/>
      <c r="U67" s="1796"/>
      <c r="V67" s="1796"/>
      <c r="W67" s="1796"/>
      <c r="X67" s="1796"/>
      <c r="Y67" s="1796"/>
      <c r="Z67" s="1796"/>
      <c r="AA67" s="1796"/>
      <c r="AB67" s="1796"/>
      <c r="AC67" s="1796"/>
      <c r="AD67" s="1796"/>
      <c r="AE67" s="1796"/>
      <c r="AF67" s="1796"/>
      <c r="AG67" s="1796"/>
      <c r="AH67" s="1796"/>
      <c r="AI67" s="1796"/>
      <c r="AJ67" s="1796"/>
      <c r="AK67" s="1796"/>
      <c r="AL67" s="1796"/>
      <c r="AM67" s="1796"/>
      <c r="AN67" s="1796"/>
      <c r="AO67" s="1796"/>
      <c r="AP67" s="1796"/>
      <c r="AQ67" s="1796"/>
      <c r="AR67" s="1796"/>
      <c r="AS67" s="1796"/>
      <c r="AT67" s="1796"/>
      <c r="AU67" s="1796"/>
      <c r="AV67" s="1796"/>
      <c r="AW67" s="1796"/>
      <c r="AX67" s="1796"/>
      <c r="AY67" s="1796"/>
      <c r="AZ67" s="1796"/>
      <c r="BA67" s="1796"/>
      <c r="BB67" s="1796"/>
      <c r="BC67" s="1796"/>
      <c r="BD67" s="1796"/>
      <c r="BE67" s="1796"/>
      <c r="BF67" s="1796"/>
    </row>
    <row r="68" spans="3:58" x14ac:dyDescent="0.15">
      <c r="C68" s="1796"/>
      <c r="D68" s="1796"/>
      <c r="E68" s="1796"/>
      <c r="F68" s="1796"/>
      <c r="G68" s="1796"/>
      <c r="H68" s="1796"/>
      <c r="I68" s="1796"/>
      <c r="J68" s="1796"/>
      <c r="K68" s="1796"/>
      <c r="L68" s="1796"/>
      <c r="M68" s="1796"/>
      <c r="N68" s="1796"/>
      <c r="O68" s="1796"/>
      <c r="P68" s="1796"/>
      <c r="Q68" s="1796"/>
      <c r="R68" s="1796"/>
      <c r="S68" s="1796"/>
      <c r="T68" s="1796"/>
      <c r="U68" s="1796"/>
      <c r="V68" s="1796"/>
      <c r="W68" s="1796"/>
      <c r="X68" s="1796"/>
      <c r="Y68" s="1796"/>
      <c r="Z68" s="1796"/>
      <c r="AA68" s="1796"/>
      <c r="AB68" s="1796"/>
      <c r="AC68" s="1796"/>
      <c r="AD68" s="1796"/>
      <c r="AE68" s="1796"/>
      <c r="AF68" s="1796"/>
      <c r="AG68" s="1796"/>
      <c r="AH68" s="1796"/>
      <c r="AI68" s="1796"/>
      <c r="AJ68" s="1796"/>
      <c r="AK68" s="1796"/>
      <c r="AL68" s="1796"/>
      <c r="AM68" s="1796"/>
      <c r="AN68" s="1796"/>
      <c r="AO68" s="1796"/>
      <c r="AP68" s="1796"/>
      <c r="AQ68" s="1796"/>
      <c r="AR68" s="1796"/>
      <c r="AS68" s="1796"/>
      <c r="AT68" s="1796"/>
      <c r="AU68" s="1796"/>
      <c r="AV68" s="1796"/>
      <c r="AW68" s="1796"/>
      <c r="AX68" s="1796"/>
      <c r="AY68" s="1796"/>
      <c r="AZ68" s="1796"/>
      <c r="BA68" s="1796"/>
      <c r="BB68" s="1796"/>
      <c r="BC68" s="1796"/>
      <c r="BD68" s="1796"/>
      <c r="BE68" s="1796"/>
      <c r="BF68" s="1796"/>
    </row>
    <row r="69" spans="3:58" x14ac:dyDescent="0.15">
      <c r="C69" s="1796"/>
      <c r="D69" s="1796"/>
      <c r="E69" s="1796"/>
      <c r="F69" s="1796"/>
      <c r="G69" s="1796"/>
      <c r="H69" s="1796"/>
      <c r="I69" s="1796"/>
      <c r="J69" s="1796"/>
      <c r="K69" s="1796"/>
      <c r="L69" s="1796"/>
      <c r="M69" s="1796"/>
      <c r="N69" s="1796"/>
      <c r="O69" s="1796"/>
      <c r="P69" s="1796"/>
      <c r="Q69" s="1796"/>
      <c r="R69" s="1796"/>
      <c r="S69" s="1796"/>
      <c r="T69" s="1796"/>
      <c r="U69" s="1796"/>
      <c r="V69" s="1796"/>
      <c r="W69" s="1796"/>
      <c r="X69" s="1796"/>
      <c r="Y69" s="1796"/>
      <c r="Z69" s="1796"/>
      <c r="AA69" s="1796"/>
      <c r="AB69" s="1796"/>
      <c r="AC69" s="1796"/>
      <c r="AD69" s="1796"/>
      <c r="AE69" s="1796"/>
      <c r="AF69" s="1796"/>
      <c r="AG69" s="1796"/>
      <c r="AH69" s="1796"/>
      <c r="AI69" s="1796"/>
      <c r="AJ69" s="1796"/>
      <c r="AK69" s="1796"/>
      <c r="AL69" s="1796"/>
      <c r="AM69" s="1796"/>
      <c r="AN69" s="1796"/>
      <c r="AO69" s="1796"/>
      <c r="AP69" s="1796"/>
      <c r="AQ69" s="1796"/>
      <c r="AR69" s="1796"/>
      <c r="AS69" s="1796"/>
      <c r="AT69" s="1796"/>
      <c r="AU69" s="1796"/>
      <c r="AV69" s="1796"/>
      <c r="AW69" s="1796"/>
      <c r="AX69" s="1796"/>
      <c r="AY69" s="1796"/>
      <c r="AZ69" s="1796"/>
      <c r="BA69" s="1796"/>
      <c r="BB69" s="1796"/>
      <c r="BC69" s="1796"/>
      <c r="BD69" s="1796"/>
      <c r="BE69" s="1796"/>
      <c r="BF69" s="1796"/>
    </row>
    <row r="70" spans="3:58" x14ac:dyDescent="0.15">
      <c r="C70" s="1796"/>
      <c r="D70" s="1796"/>
      <c r="E70" s="1796"/>
      <c r="F70" s="1796"/>
      <c r="G70" s="1796"/>
      <c r="H70" s="1796"/>
      <c r="I70" s="1796"/>
      <c r="J70" s="1796"/>
      <c r="K70" s="1796"/>
      <c r="L70" s="1796"/>
      <c r="M70" s="1796"/>
      <c r="N70" s="1796"/>
      <c r="O70" s="1796"/>
      <c r="P70" s="1796"/>
      <c r="Q70" s="1796"/>
      <c r="R70" s="1796"/>
      <c r="S70" s="1796"/>
      <c r="T70" s="1796"/>
      <c r="U70" s="1796"/>
      <c r="V70" s="1796"/>
      <c r="W70" s="1796"/>
      <c r="X70" s="1796"/>
      <c r="Y70" s="1796"/>
      <c r="Z70" s="1796"/>
      <c r="AA70" s="1796"/>
      <c r="AB70" s="1796"/>
      <c r="AC70" s="1796"/>
      <c r="AD70" s="1796"/>
      <c r="AE70" s="1796"/>
      <c r="AF70" s="1796"/>
      <c r="AG70" s="1796"/>
      <c r="AH70" s="1796"/>
      <c r="AI70" s="1796"/>
      <c r="AJ70" s="1796"/>
      <c r="AK70" s="1796"/>
      <c r="AL70" s="1796"/>
      <c r="AM70" s="1796"/>
      <c r="AN70" s="1796"/>
      <c r="AO70" s="1796"/>
      <c r="AP70" s="1796"/>
      <c r="AQ70" s="1796"/>
      <c r="AR70" s="1796"/>
      <c r="AS70" s="1796"/>
      <c r="AT70" s="1796"/>
      <c r="AU70" s="1796"/>
      <c r="AV70" s="1796"/>
      <c r="AW70" s="1796"/>
      <c r="AX70" s="1796"/>
      <c r="AY70" s="1796"/>
      <c r="AZ70" s="1796"/>
      <c r="BA70" s="1796"/>
      <c r="BB70" s="1796"/>
      <c r="BC70" s="1796"/>
      <c r="BD70" s="1796"/>
      <c r="BE70" s="1796"/>
      <c r="BF70" s="1796"/>
    </row>
    <row r="71" spans="3:58" x14ac:dyDescent="0.15">
      <c r="C71" s="1796"/>
      <c r="D71" s="1796"/>
      <c r="E71" s="1796"/>
      <c r="F71" s="1796"/>
      <c r="G71" s="1796"/>
      <c r="H71" s="1796"/>
      <c r="I71" s="1796"/>
      <c r="J71" s="1796"/>
      <c r="K71" s="1796"/>
      <c r="L71" s="1796"/>
      <c r="M71" s="1796"/>
      <c r="N71" s="1796"/>
      <c r="O71" s="1796"/>
      <c r="P71" s="1796"/>
      <c r="Q71" s="1796"/>
      <c r="R71" s="1796"/>
      <c r="S71" s="1796"/>
      <c r="T71" s="1796"/>
      <c r="U71" s="1796"/>
      <c r="V71" s="1796"/>
      <c r="W71" s="1796"/>
      <c r="X71" s="1796"/>
      <c r="Y71" s="1796"/>
      <c r="Z71" s="1796"/>
      <c r="AA71" s="1796"/>
      <c r="AB71" s="1796"/>
      <c r="AC71" s="1796"/>
      <c r="AD71" s="1796"/>
      <c r="AE71" s="1796"/>
      <c r="AF71" s="1796"/>
      <c r="AG71" s="1796"/>
      <c r="AH71" s="1796"/>
      <c r="AI71" s="1796"/>
      <c r="AJ71" s="1796"/>
      <c r="AK71" s="1796"/>
      <c r="AL71" s="1796"/>
      <c r="AM71" s="1796"/>
      <c r="AN71" s="1796"/>
      <c r="AO71" s="1796"/>
      <c r="AP71" s="1796"/>
      <c r="AQ71" s="1796"/>
      <c r="AR71" s="1796"/>
      <c r="AS71" s="1796"/>
      <c r="AT71" s="1796"/>
      <c r="AU71" s="1796"/>
      <c r="AV71" s="1796"/>
      <c r="AW71" s="1796"/>
      <c r="AX71" s="1796"/>
      <c r="AY71" s="1796"/>
      <c r="AZ71" s="1796"/>
      <c r="BA71" s="1796"/>
      <c r="BB71" s="1796"/>
      <c r="BC71" s="1796"/>
      <c r="BD71" s="1796"/>
      <c r="BE71" s="1796"/>
      <c r="BF71" s="1796"/>
    </row>
    <row r="72" spans="3:58" x14ac:dyDescent="0.15">
      <c r="C72" s="1796"/>
      <c r="D72" s="1796"/>
      <c r="E72" s="1796"/>
      <c r="F72" s="1796"/>
      <c r="G72" s="1796"/>
      <c r="H72" s="1796"/>
      <c r="I72" s="1796"/>
      <c r="J72" s="1796"/>
      <c r="K72" s="1796"/>
      <c r="L72" s="1796"/>
      <c r="M72" s="1796"/>
      <c r="N72" s="1796"/>
      <c r="O72" s="1796"/>
      <c r="P72" s="1796"/>
      <c r="Q72" s="1796"/>
      <c r="R72" s="1796"/>
      <c r="S72" s="1796"/>
      <c r="T72" s="1796"/>
      <c r="U72" s="1796"/>
      <c r="V72" s="1796"/>
      <c r="W72" s="1796"/>
      <c r="X72" s="1796"/>
      <c r="Y72" s="1796"/>
      <c r="Z72" s="1796"/>
      <c r="AA72" s="1796"/>
      <c r="AB72" s="1796"/>
      <c r="AC72" s="1796"/>
      <c r="AD72" s="1796"/>
      <c r="AE72" s="1796"/>
      <c r="AF72" s="1796"/>
      <c r="AG72" s="1796"/>
      <c r="AH72" s="1796"/>
      <c r="AI72" s="1796"/>
      <c r="AJ72" s="1796"/>
      <c r="AK72" s="1796"/>
      <c r="AL72" s="1796"/>
      <c r="AM72" s="1796"/>
      <c r="AN72" s="1796"/>
      <c r="AO72" s="1796"/>
      <c r="AP72" s="1796"/>
      <c r="AQ72" s="1796"/>
      <c r="AR72" s="1796"/>
      <c r="AS72" s="1796"/>
      <c r="AT72" s="1796"/>
      <c r="AU72" s="1796"/>
      <c r="AV72" s="1796"/>
      <c r="AW72" s="1796"/>
      <c r="AX72" s="1796"/>
      <c r="AY72" s="1796"/>
      <c r="AZ72" s="1796"/>
      <c r="BA72" s="1796"/>
      <c r="BB72" s="1796"/>
      <c r="BC72" s="1796"/>
      <c r="BD72" s="1796"/>
      <c r="BE72" s="1796"/>
      <c r="BF72" s="1796"/>
    </row>
    <row r="73" spans="3:58" x14ac:dyDescent="0.15">
      <c r="C73" s="1796"/>
      <c r="D73" s="1796"/>
      <c r="E73" s="1796"/>
      <c r="F73" s="1796"/>
      <c r="G73" s="1796"/>
      <c r="H73" s="1796"/>
      <c r="I73" s="1796"/>
      <c r="J73" s="1796"/>
      <c r="K73" s="1796"/>
      <c r="L73" s="1796"/>
      <c r="M73" s="1796"/>
      <c r="N73" s="1796"/>
      <c r="O73" s="1796"/>
      <c r="P73" s="1796"/>
      <c r="Q73" s="1796"/>
      <c r="R73" s="1796"/>
      <c r="S73" s="1796"/>
      <c r="T73" s="1796"/>
      <c r="U73" s="1796"/>
      <c r="V73" s="1796"/>
      <c r="W73" s="1796"/>
      <c r="X73" s="1796"/>
      <c r="Y73" s="1796"/>
      <c r="Z73" s="1796"/>
      <c r="AA73" s="1796"/>
      <c r="AB73" s="1796"/>
      <c r="AC73" s="1796"/>
      <c r="AD73" s="1796"/>
      <c r="AE73" s="1796"/>
      <c r="AF73" s="1796"/>
      <c r="AG73" s="1796"/>
      <c r="AH73" s="1796"/>
      <c r="AI73" s="1796"/>
      <c r="AJ73" s="1796"/>
      <c r="AK73" s="1796"/>
      <c r="AL73" s="1796"/>
      <c r="AM73" s="1796"/>
      <c r="AN73" s="1796"/>
      <c r="AO73" s="1796"/>
      <c r="AP73" s="1796"/>
      <c r="AQ73" s="1796"/>
      <c r="AR73" s="1796"/>
      <c r="AS73" s="1796"/>
      <c r="AT73" s="1796"/>
      <c r="AU73" s="1796"/>
      <c r="AV73" s="1796"/>
      <c r="AW73" s="1796"/>
      <c r="AX73" s="1796"/>
      <c r="AY73" s="1796"/>
      <c r="AZ73" s="1796"/>
      <c r="BA73" s="1796"/>
      <c r="BB73" s="1796"/>
      <c r="BC73" s="1796"/>
      <c r="BD73" s="1796"/>
      <c r="BE73" s="1796"/>
      <c r="BF73" s="1796"/>
    </row>
    <row r="74" spans="3:58" x14ac:dyDescent="0.15">
      <c r="C74" s="1796"/>
      <c r="D74" s="1796"/>
      <c r="E74" s="1796"/>
      <c r="F74" s="1796"/>
      <c r="G74" s="1796"/>
      <c r="H74" s="1796"/>
      <c r="I74" s="1796"/>
      <c r="J74" s="1796"/>
      <c r="K74" s="1796"/>
      <c r="L74" s="1796"/>
      <c r="M74" s="1796"/>
      <c r="N74" s="1796"/>
      <c r="O74" s="1796"/>
      <c r="P74" s="1796"/>
      <c r="Q74" s="1796"/>
      <c r="R74" s="1796"/>
      <c r="S74" s="1796"/>
      <c r="T74" s="1796"/>
      <c r="U74" s="1796"/>
      <c r="V74" s="1796"/>
      <c r="W74" s="1796"/>
      <c r="X74" s="1796"/>
      <c r="Y74" s="1796"/>
      <c r="Z74" s="1796"/>
      <c r="AA74" s="1796"/>
      <c r="AB74" s="1796"/>
      <c r="AC74" s="1796"/>
      <c r="AD74" s="1796"/>
      <c r="AE74" s="1796"/>
      <c r="AF74" s="1796"/>
      <c r="AG74" s="1796"/>
      <c r="AH74" s="1796"/>
      <c r="AI74" s="1796"/>
      <c r="AJ74" s="1796"/>
      <c r="AK74" s="1796"/>
      <c r="AL74" s="1796"/>
      <c r="AM74" s="1796"/>
      <c r="AN74" s="1796"/>
      <c r="AO74" s="1796"/>
      <c r="AP74" s="1796"/>
      <c r="AQ74" s="1796"/>
      <c r="AR74" s="1796"/>
      <c r="AS74" s="1796"/>
      <c r="AT74" s="1796"/>
      <c r="AU74" s="1796"/>
      <c r="AV74" s="1796"/>
      <c r="AW74" s="1796"/>
      <c r="AX74" s="1796"/>
      <c r="AY74" s="1796"/>
      <c r="AZ74" s="1796"/>
      <c r="BA74" s="1796"/>
      <c r="BB74" s="1796"/>
      <c r="BC74" s="1796"/>
      <c r="BD74" s="1796"/>
      <c r="BE74" s="1796"/>
      <c r="BF74" s="1796"/>
    </row>
    <row r="75" spans="3:58" x14ac:dyDescent="0.15">
      <c r="C75" s="1796"/>
      <c r="D75" s="1796"/>
      <c r="E75" s="1796"/>
      <c r="F75" s="1796"/>
      <c r="G75" s="1796"/>
      <c r="H75" s="1796"/>
      <c r="I75" s="1796"/>
      <c r="J75" s="1796"/>
      <c r="K75" s="1796"/>
      <c r="L75" s="1796"/>
      <c r="M75" s="1796"/>
      <c r="N75" s="1796"/>
      <c r="O75" s="1796"/>
      <c r="P75" s="1796"/>
      <c r="Q75" s="1796"/>
      <c r="R75" s="1796"/>
      <c r="S75" s="1796"/>
      <c r="T75" s="1796"/>
      <c r="U75" s="1796"/>
      <c r="V75" s="1796"/>
      <c r="W75" s="1796"/>
      <c r="X75" s="1796"/>
      <c r="Y75" s="1796"/>
      <c r="Z75" s="1796"/>
      <c r="AA75" s="1796"/>
      <c r="AB75" s="1796"/>
      <c r="AC75" s="1796"/>
      <c r="AD75" s="1796"/>
      <c r="AE75" s="1796"/>
      <c r="AF75" s="1796"/>
      <c r="AG75" s="1796"/>
      <c r="AH75" s="1796"/>
      <c r="AI75" s="1796"/>
      <c r="AJ75" s="1796"/>
      <c r="AK75" s="1796"/>
      <c r="AL75" s="1796"/>
      <c r="AM75" s="1796"/>
      <c r="AN75" s="1796"/>
      <c r="AO75" s="1796"/>
      <c r="AP75" s="1796"/>
      <c r="AQ75" s="1796"/>
      <c r="AR75" s="1796"/>
      <c r="AS75" s="1796"/>
      <c r="AT75" s="1796"/>
      <c r="AU75" s="1796"/>
      <c r="AV75" s="1796"/>
      <c r="AW75" s="1796"/>
      <c r="AX75" s="1796"/>
      <c r="AY75" s="1796"/>
      <c r="AZ75" s="1796"/>
      <c r="BA75" s="1796"/>
      <c r="BB75" s="1796"/>
      <c r="BC75" s="1796"/>
      <c r="BD75" s="1796"/>
      <c r="BE75" s="1796"/>
      <c r="BF75" s="1796"/>
    </row>
    <row r="76" spans="3:58" x14ac:dyDescent="0.15">
      <c r="C76" s="1796"/>
      <c r="D76" s="1796"/>
      <c r="E76" s="1796"/>
      <c r="F76" s="1796"/>
      <c r="G76" s="1796"/>
      <c r="H76" s="1796"/>
      <c r="I76" s="1796"/>
      <c r="J76" s="1796"/>
      <c r="K76" s="1796"/>
      <c r="L76" s="1796"/>
      <c r="M76" s="1796"/>
      <c r="N76" s="1796"/>
      <c r="O76" s="1796"/>
      <c r="P76" s="1796"/>
      <c r="Q76" s="1796"/>
      <c r="R76" s="1796"/>
      <c r="S76" s="1796"/>
      <c r="T76" s="1796"/>
      <c r="U76" s="1796"/>
      <c r="V76" s="1796"/>
      <c r="W76" s="1796"/>
      <c r="X76" s="1796"/>
      <c r="Y76" s="1796"/>
      <c r="Z76" s="1796"/>
      <c r="AA76" s="1796"/>
      <c r="AB76" s="1796"/>
      <c r="AC76" s="1796"/>
      <c r="AD76" s="1796"/>
      <c r="AE76" s="1796"/>
      <c r="AF76" s="1796"/>
      <c r="AG76" s="1796"/>
      <c r="AH76" s="1796"/>
      <c r="AI76" s="1796"/>
      <c r="AJ76" s="1796"/>
      <c r="AK76" s="1796"/>
      <c r="AL76" s="1796"/>
      <c r="AM76" s="1796"/>
      <c r="AN76" s="1796"/>
      <c r="AO76" s="1796"/>
      <c r="AP76" s="1796"/>
      <c r="AQ76" s="1796"/>
      <c r="AR76" s="1796"/>
      <c r="AS76" s="1796"/>
      <c r="AT76" s="1796"/>
      <c r="AU76" s="1796"/>
      <c r="AV76" s="1796"/>
      <c r="AW76" s="1796"/>
      <c r="AX76" s="1796"/>
      <c r="AY76" s="1796"/>
      <c r="AZ76" s="1796"/>
      <c r="BA76" s="1796"/>
      <c r="BB76" s="1796"/>
      <c r="BC76" s="1796"/>
      <c r="BD76" s="1796"/>
      <c r="BE76" s="1796"/>
      <c r="BF76" s="1796"/>
    </row>
    <row r="77" spans="3:58" x14ac:dyDescent="0.15">
      <c r="C77" s="1796"/>
      <c r="D77" s="1796"/>
      <c r="E77" s="1796"/>
      <c r="F77" s="1796"/>
      <c r="G77" s="1796"/>
      <c r="H77" s="1796"/>
      <c r="I77" s="1796"/>
      <c r="J77" s="1796"/>
      <c r="K77" s="1796"/>
      <c r="L77" s="1796"/>
      <c r="M77" s="1796"/>
      <c r="N77" s="1796"/>
      <c r="O77" s="1796"/>
      <c r="P77" s="1796"/>
      <c r="Q77" s="1796"/>
      <c r="R77" s="1796"/>
      <c r="S77" s="1796"/>
      <c r="T77" s="1796"/>
      <c r="U77" s="1796"/>
      <c r="V77" s="1796"/>
      <c r="W77" s="1796"/>
      <c r="X77" s="1796"/>
      <c r="Y77" s="1796"/>
      <c r="Z77" s="1796"/>
      <c r="AA77" s="1796"/>
      <c r="AB77" s="1796"/>
      <c r="AC77" s="1796"/>
      <c r="AD77" s="1796"/>
      <c r="AE77" s="1796"/>
      <c r="AF77" s="1796"/>
      <c r="AG77" s="1796"/>
      <c r="AH77" s="1796"/>
      <c r="AI77" s="1796"/>
      <c r="AJ77" s="1796"/>
      <c r="AK77" s="1796"/>
      <c r="AL77" s="1796"/>
      <c r="AM77" s="1796"/>
      <c r="AN77" s="1796"/>
      <c r="AO77" s="1796"/>
      <c r="AP77" s="1796"/>
      <c r="AQ77" s="1796"/>
      <c r="AR77" s="1796"/>
      <c r="AS77" s="1796"/>
      <c r="AT77" s="1796"/>
      <c r="AU77" s="1796"/>
      <c r="AV77" s="1796"/>
      <c r="AW77" s="1796"/>
      <c r="AX77" s="1796"/>
      <c r="AY77" s="1796"/>
      <c r="AZ77" s="1796"/>
      <c r="BA77" s="1796"/>
      <c r="BB77" s="1796"/>
      <c r="BC77" s="1796"/>
      <c r="BD77" s="1796"/>
      <c r="BE77" s="1796"/>
      <c r="BF77" s="1796"/>
    </row>
    <row r="78" spans="3:58" x14ac:dyDescent="0.15">
      <c r="C78" s="1796"/>
      <c r="D78" s="1796"/>
      <c r="E78" s="1796"/>
      <c r="F78" s="1796"/>
      <c r="G78" s="1796"/>
      <c r="H78" s="1796"/>
      <c r="I78" s="1796"/>
      <c r="J78" s="1796"/>
      <c r="K78" s="1796"/>
      <c r="L78" s="1796"/>
      <c r="M78" s="1796"/>
      <c r="N78" s="1796"/>
      <c r="O78" s="1796"/>
      <c r="P78" s="1796"/>
      <c r="Q78" s="1796"/>
      <c r="R78" s="1796"/>
      <c r="S78" s="1796"/>
      <c r="T78" s="1796"/>
      <c r="U78" s="1796"/>
      <c r="V78" s="1796"/>
      <c r="W78" s="1796"/>
      <c r="X78" s="1796"/>
      <c r="Y78" s="1796"/>
      <c r="Z78" s="1796"/>
      <c r="AA78" s="1796"/>
      <c r="AB78" s="1796"/>
      <c r="AC78" s="1796"/>
      <c r="AD78" s="1796"/>
      <c r="AE78" s="1796"/>
      <c r="AF78" s="1796"/>
      <c r="AG78" s="1796"/>
      <c r="AH78" s="1796"/>
      <c r="AI78" s="1796"/>
      <c r="AJ78" s="1796"/>
      <c r="AK78" s="1796"/>
      <c r="AL78" s="1796"/>
      <c r="AM78" s="1796"/>
      <c r="AN78" s="1796"/>
      <c r="AO78" s="1796"/>
      <c r="AP78" s="1796"/>
      <c r="AQ78" s="1796"/>
      <c r="AR78" s="1796"/>
      <c r="AS78" s="1796"/>
      <c r="AT78" s="1796"/>
      <c r="AU78" s="1796"/>
      <c r="AV78" s="1796"/>
      <c r="AW78" s="1796"/>
      <c r="AX78" s="1796"/>
      <c r="AY78" s="1796"/>
      <c r="AZ78" s="1796"/>
      <c r="BA78" s="1796"/>
      <c r="BB78" s="1796"/>
      <c r="BC78" s="1796"/>
      <c r="BD78" s="1796"/>
      <c r="BE78" s="1796"/>
      <c r="BF78" s="1796"/>
    </row>
    <row r="79" spans="3:58" x14ac:dyDescent="0.15">
      <c r="C79" s="1796"/>
      <c r="D79" s="1796"/>
      <c r="E79" s="1796"/>
      <c r="F79" s="1796"/>
      <c r="G79" s="1796"/>
      <c r="H79" s="1796"/>
      <c r="I79" s="1796"/>
      <c r="J79" s="1796"/>
      <c r="K79" s="1796"/>
      <c r="L79" s="1796"/>
      <c r="M79" s="1796"/>
      <c r="N79" s="1796"/>
      <c r="O79" s="1796"/>
      <c r="P79" s="1796"/>
      <c r="Q79" s="1796"/>
      <c r="R79" s="1796"/>
      <c r="S79" s="1796"/>
      <c r="T79" s="1796"/>
      <c r="U79" s="1796"/>
      <c r="V79" s="1796"/>
      <c r="W79" s="1796"/>
      <c r="X79" s="1796"/>
      <c r="Y79" s="1796"/>
      <c r="Z79" s="1796"/>
      <c r="AA79" s="1796"/>
      <c r="AB79" s="1796"/>
      <c r="AC79" s="1796"/>
      <c r="AD79" s="1796"/>
      <c r="AE79" s="1796"/>
      <c r="AF79" s="1796"/>
      <c r="AG79" s="1796"/>
      <c r="AH79" s="1796"/>
      <c r="AI79" s="1796"/>
      <c r="AJ79" s="1796"/>
      <c r="AK79" s="1796"/>
      <c r="AL79" s="1796"/>
      <c r="AM79" s="1796"/>
      <c r="AN79" s="1796"/>
      <c r="AO79" s="1796"/>
      <c r="AP79" s="1796"/>
      <c r="AQ79" s="1796"/>
      <c r="AR79" s="1796"/>
      <c r="AS79" s="1796"/>
      <c r="AT79" s="1796"/>
      <c r="AU79" s="1796"/>
      <c r="AV79" s="1796"/>
      <c r="AW79" s="1796"/>
      <c r="AX79" s="1796"/>
      <c r="AY79" s="1796"/>
      <c r="AZ79" s="1796"/>
      <c r="BA79" s="1796"/>
      <c r="BB79" s="1796"/>
      <c r="BC79" s="1796"/>
      <c r="BD79" s="1796"/>
      <c r="BE79" s="1796"/>
      <c r="BF79" s="1796"/>
    </row>
    <row r="80" spans="3:58" x14ac:dyDescent="0.15">
      <c r="C80" s="1796"/>
      <c r="D80" s="1796"/>
      <c r="E80" s="1796"/>
      <c r="F80" s="1796"/>
      <c r="G80" s="1796"/>
      <c r="H80" s="1796"/>
      <c r="I80" s="1796"/>
      <c r="J80" s="1796"/>
      <c r="K80" s="1796"/>
      <c r="L80" s="1796"/>
      <c r="M80" s="1796"/>
      <c r="N80" s="1796"/>
      <c r="O80" s="1796"/>
      <c r="P80" s="1796"/>
      <c r="Q80" s="1796"/>
      <c r="R80" s="1796"/>
      <c r="S80" s="1796"/>
      <c r="T80" s="1796"/>
      <c r="U80" s="1796"/>
      <c r="V80" s="1796"/>
      <c r="W80" s="1796"/>
      <c r="X80" s="1796"/>
      <c r="Y80" s="1796"/>
      <c r="Z80" s="1796"/>
      <c r="AA80" s="1796"/>
      <c r="AB80" s="1796"/>
      <c r="AC80" s="1796"/>
      <c r="AD80" s="1796"/>
      <c r="AE80" s="1796"/>
      <c r="AF80" s="1796"/>
      <c r="AG80" s="1796"/>
      <c r="AH80" s="1796"/>
      <c r="AI80" s="1796"/>
      <c r="AJ80" s="1796"/>
      <c r="AK80" s="1796"/>
      <c r="AL80" s="1796"/>
      <c r="AM80" s="1796"/>
      <c r="AN80" s="1796"/>
      <c r="AO80" s="1796"/>
      <c r="AP80" s="1796"/>
      <c r="AQ80" s="1796"/>
      <c r="AR80" s="1796"/>
      <c r="AS80" s="1796"/>
      <c r="AT80" s="1796"/>
      <c r="AU80" s="1796"/>
      <c r="AV80" s="1796"/>
      <c r="AW80" s="1796"/>
      <c r="AX80" s="1796"/>
      <c r="AY80" s="1796"/>
      <c r="AZ80" s="1796"/>
      <c r="BA80" s="1796"/>
      <c r="BB80" s="1796"/>
      <c r="BC80" s="1796"/>
      <c r="BD80" s="1796"/>
      <c r="BE80" s="1796"/>
      <c r="BF80" s="1796"/>
    </row>
    <row r="81" spans="3:58" x14ac:dyDescent="0.15">
      <c r="C81" s="1796"/>
      <c r="D81" s="1796"/>
      <c r="E81" s="1796"/>
      <c r="F81" s="1796"/>
      <c r="G81" s="1796"/>
      <c r="H81" s="1796"/>
      <c r="I81" s="1796"/>
      <c r="J81" s="1796"/>
      <c r="K81" s="1796"/>
      <c r="L81" s="1796"/>
      <c r="M81" s="1796"/>
      <c r="N81" s="1796"/>
      <c r="O81" s="1796"/>
      <c r="P81" s="1796"/>
      <c r="Q81" s="1796"/>
      <c r="R81" s="1796"/>
      <c r="S81" s="1796"/>
      <c r="T81" s="1796"/>
      <c r="U81" s="1796"/>
      <c r="V81" s="1796"/>
      <c r="W81" s="1796"/>
      <c r="X81" s="1796"/>
      <c r="Y81" s="1796"/>
      <c r="Z81" s="1796"/>
      <c r="AA81" s="1796"/>
      <c r="AB81" s="1796"/>
      <c r="AC81" s="1796"/>
      <c r="AD81" s="1796"/>
      <c r="AE81" s="1796"/>
      <c r="AF81" s="1796"/>
      <c r="AG81" s="1796"/>
      <c r="AH81" s="1796"/>
      <c r="AI81" s="1796"/>
      <c r="AJ81" s="1796"/>
      <c r="AK81" s="1796"/>
      <c r="AL81" s="1796"/>
      <c r="AM81" s="1796"/>
      <c r="AN81" s="1796"/>
      <c r="AO81" s="1796"/>
      <c r="AP81" s="1796"/>
      <c r="AQ81" s="1796"/>
      <c r="AR81" s="1796"/>
      <c r="AS81" s="1796"/>
      <c r="AT81" s="1796"/>
      <c r="AU81" s="1796"/>
      <c r="AV81" s="1796"/>
      <c r="AW81" s="1796"/>
      <c r="AX81" s="1796"/>
      <c r="AY81" s="1796"/>
      <c r="AZ81" s="1796"/>
      <c r="BA81" s="1796"/>
      <c r="BB81" s="1796"/>
      <c r="BC81" s="1796"/>
      <c r="BD81" s="1796"/>
      <c r="BE81" s="1796"/>
      <c r="BF81" s="1796"/>
    </row>
    <row r="82" spans="3:58" x14ac:dyDescent="0.15">
      <c r="C82" s="1796"/>
      <c r="D82" s="1796"/>
      <c r="E82" s="1796"/>
      <c r="F82" s="1796"/>
      <c r="G82" s="1796"/>
      <c r="H82" s="1796"/>
      <c r="I82" s="1796"/>
      <c r="J82" s="1796"/>
      <c r="K82" s="1796"/>
      <c r="L82" s="1796"/>
      <c r="M82" s="1796"/>
      <c r="N82" s="1796"/>
      <c r="O82" s="1796"/>
      <c r="P82" s="1796"/>
      <c r="Q82" s="1796"/>
      <c r="R82" s="1796"/>
      <c r="S82" s="1796"/>
      <c r="T82" s="1796"/>
      <c r="U82" s="1796"/>
      <c r="V82" s="1796"/>
      <c r="W82" s="1796"/>
      <c r="X82" s="1796"/>
      <c r="Y82" s="1796"/>
      <c r="Z82" s="1796"/>
      <c r="AA82" s="1796"/>
      <c r="AB82" s="1796"/>
      <c r="AC82" s="1796"/>
      <c r="AD82" s="1796"/>
      <c r="AE82" s="1796"/>
      <c r="AF82" s="1796"/>
      <c r="AG82" s="1796"/>
      <c r="AH82" s="1796"/>
      <c r="AI82" s="1796"/>
      <c r="AJ82" s="1796"/>
      <c r="AK82" s="1796"/>
      <c r="AL82" s="1796"/>
      <c r="AM82" s="1796"/>
      <c r="AN82" s="1796"/>
      <c r="AO82" s="1796"/>
      <c r="AP82" s="1796"/>
      <c r="AQ82" s="1796"/>
      <c r="AR82" s="1796"/>
      <c r="AS82" s="1796"/>
      <c r="AT82" s="1796"/>
      <c r="AU82" s="1796"/>
      <c r="AV82" s="1796"/>
      <c r="AW82" s="1796"/>
      <c r="AX82" s="1796"/>
      <c r="AY82" s="1796"/>
      <c r="AZ82" s="1796"/>
      <c r="BA82" s="1796"/>
      <c r="BB82" s="1796"/>
      <c r="BC82" s="1796"/>
      <c r="BD82" s="1796"/>
      <c r="BE82" s="1796"/>
      <c r="BF82" s="1796"/>
    </row>
    <row r="83" spans="3:58" x14ac:dyDescent="0.15">
      <c r="C83" s="1796"/>
      <c r="D83" s="1796"/>
      <c r="E83" s="1796"/>
      <c r="F83" s="1796"/>
      <c r="G83" s="1796"/>
      <c r="H83" s="1796"/>
      <c r="I83" s="1796"/>
      <c r="J83" s="1796"/>
      <c r="K83" s="1796"/>
      <c r="L83" s="1796"/>
      <c r="M83" s="1796"/>
      <c r="N83" s="1796"/>
      <c r="O83" s="1796"/>
      <c r="P83" s="1796"/>
      <c r="Q83" s="1796"/>
      <c r="R83" s="1796"/>
      <c r="S83" s="1796"/>
      <c r="T83" s="1796"/>
      <c r="U83" s="1796"/>
      <c r="V83" s="1796"/>
      <c r="W83" s="1796"/>
      <c r="X83" s="1796"/>
      <c r="Y83" s="1796"/>
      <c r="Z83" s="1796"/>
      <c r="AA83" s="1796"/>
      <c r="AB83" s="1796"/>
      <c r="AC83" s="1796"/>
      <c r="AD83" s="1796"/>
      <c r="AE83" s="1796"/>
      <c r="AF83" s="1796"/>
      <c r="AG83" s="1796"/>
      <c r="AH83" s="1796"/>
      <c r="AI83" s="1796"/>
      <c r="AJ83" s="1796"/>
      <c r="AK83" s="1796"/>
      <c r="AL83" s="1796"/>
      <c r="AM83" s="1796"/>
      <c r="AN83" s="1796"/>
      <c r="AO83" s="1796"/>
      <c r="AP83" s="1796"/>
      <c r="AQ83" s="1796"/>
      <c r="AR83" s="1796"/>
      <c r="AS83" s="1796"/>
      <c r="AT83" s="1796"/>
      <c r="AU83" s="1796"/>
      <c r="AV83" s="1796"/>
      <c r="AW83" s="1796"/>
      <c r="AX83" s="1796"/>
      <c r="AY83" s="1796"/>
      <c r="AZ83" s="1796"/>
      <c r="BA83" s="1796"/>
      <c r="BB83" s="1796"/>
      <c r="BC83" s="1796"/>
      <c r="BD83" s="1796"/>
      <c r="BE83" s="1796"/>
      <c r="BF83" s="1796"/>
    </row>
    <row r="84" spans="3:58" x14ac:dyDescent="0.15">
      <c r="C84" s="1796"/>
      <c r="D84" s="1796"/>
      <c r="E84" s="1796"/>
      <c r="F84" s="1796"/>
      <c r="G84" s="1796"/>
      <c r="H84" s="1796"/>
      <c r="I84" s="1796"/>
      <c r="J84" s="1796"/>
      <c r="K84" s="1796"/>
      <c r="L84" s="1796"/>
      <c r="M84" s="1796"/>
      <c r="N84" s="1796"/>
      <c r="O84" s="1796"/>
      <c r="P84" s="1796"/>
      <c r="Q84" s="1796"/>
      <c r="R84" s="1796"/>
      <c r="S84" s="1796"/>
      <c r="T84" s="1796"/>
      <c r="U84" s="1796"/>
      <c r="V84" s="1796"/>
      <c r="W84" s="1796"/>
      <c r="X84" s="1796"/>
      <c r="Y84" s="1796"/>
      <c r="Z84" s="1796"/>
      <c r="AA84" s="1796"/>
      <c r="AB84" s="1796"/>
      <c r="AC84" s="1796"/>
      <c r="AD84" s="1796"/>
      <c r="AE84" s="1796"/>
      <c r="AF84" s="1796"/>
      <c r="AG84" s="1796"/>
      <c r="AH84" s="1796"/>
      <c r="AI84" s="1796"/>
      <c r="AJ84" s="1796"/>
      <c r="AK84" s="1796"/>
      <c r="AL84" s="1796"/>
      <c r="AM84" s="1796"/>
      <c r="AN84" s="1796"/>
      <c r="AO84" s="1796"/>
      <c r="AP84" s="1796"/>
      <c r="AQ84" s="1796"/>
      <c r="AR84" s="1796"/>
      <c r="AS84" s="1796"/>
      <c r="AT84" s="1796"/>
      <c r="AU84" s="1796"/>
      <c r="AV84" s="1796"/>
      <c r="AW84" s="1796"/>
      <c r="AX84" s="1796"/>
      <c r="AY84" s="1796"/>
      <c r="AZ84" s="1796"/>
      <c r="BA84" s="1796"/>
      <c r="BB84" s="1796"/>
      <c r="BC84" s="1796"/>
      <c r="BD84" s="1796"/>
      <c r="BE84" s="1796"/>
      <c r="BF84" s="1796"/>
    </row>
    <row r="85" spans="3:58" x14ac:dyDescent="0.15">
      <c r="C85" s="1796"/>
      <c r="D85" s="1796"/>
      <c r="E85" s="1796"/>
      <c r="F85" s="1796"/>
      <c r="G85" s="1796"/>
      <c r="H85" s="1796"/>
      <c r="I85" s="1796"/>
      <c r="J85" s="1796"/>
      <c r="K85" s="1796"/>
      <c r="L85" s="1796"/>
      <c r="M85" s="1796"/>
      <c r="N85" s="1796"/>
      <c r="O85" s="1796"/>
      <c r="P85" s="1796"/>
      <c r="Q85" s="1796"/>
      <c r="R85" s="1796"/>
      <c r="S85" s="1796"/>
      <c r="T85" s="1796"/>
      <c r="U85" s="1796"/>
      <c r="V85" s="1796"/>
      <c r="W85" s="1796"/>
      <c r="X85" s="1796"/>
      <c r="Y85" s="1796"/>
      <c r="Z85" s="1796"/>
      <c r="AA85" s="1796"/>
      <c r="AB85" s="1796"/>
      <c r="AC85" s="1796"/>
      <c r="AD85" s="1796"/>
      <c r="AE85" s="1796"/>
      <c r="AF85" s="1796"/>
      <c r="AG85" s="1796"/>
      <c r="AH85" s="1796"/>
      <c r="AI85" s="1796"/>
      <c r="AJ85" s="1796"/>
      <c r="AK85" s="1796"/>
      <c r="AL85" s="1796"/>
      <c r="AM85" s="1796"/>
      <c r="AN85" s="1796"/>
      <c r="AO85" s="1796"/>
      <c r="AP85" s="1796"/>
      <c r="AQ85" s="1796"/>
      <c r="AR85" s="1796"/>
      <c r="AS85" s="1796"/>
      <c r="AT85" s="1796"/>
      <c r="AU85" s="1796"/>
      <c r="AV85" s="1796"/>
      <c r="AW85" s="1796"/>
      <c r="AX85" s="1796"/>
      <c r="AY85" s="1796"/>
      <c r="AZ85" s="1796"/>
      <c r="BA85" s="1796"/>
      <c r="BB85" s="1796"/>
      <c r="BC85" s="1796"/>
      <c r="BD85" s="1796"/>
      <c r="BE85" s="1796"/>
      <c r="BF85" s="1796"/>
    </row>
    <row r="86" spans="3:58" x14ac:dyDescent="0.15">
      <c r="C86" s="1796"/>
      <c r="D86" s="1796"/>
      <c r="E86" s="1796"/>
      <c r="F86" s="1796"/>
      <c r="G86" s="1796"/>
      <c r="H86" s="1796"/>
      <c r="I86" s="1796"/>
      <c r="J86" s="1796"/>
      <c r="K86" s="1796"/>
      <c r="L86" s="1796"/>
      <c r="M86" s="1796"/>
      <c r="N86" s="1796"/>
      <c r="O86" s="1796"/>
      <c r="P86" s="1796"/>
      <c r="Q86" s="1796"/>
      <c r="R86" s="1796"/>
      <c r="S86" s="1796"/>
      <c r="T86" s="1796"/>
      <c r="U86" s="1796"/>
      <c r="V86" s="1796"/>
      <c r="W86" s="1796"/>
      <c r="X86" s="1796"/>
      <c r="Y86" s="1796"/>
      <c r="Z86" s="1796"/>
      <c r="AA86" s="1796"/>
      <c r="AB86" s="1796"/>
      <c r="AC86" s="1796"/>
      <c r="AD86" s="1796"/>
      <c r="AE86" s="1796"/>
      <c r="AF86" s="1796"/>
      <c r="AG86" s="1796"/>
      <c r="AH86" s="1796"/>
      <c r="AI86" s="1796"/>
      <c r="AJ86" s="1796"/>
      <c r="AK86" s="1796"/>
      <c r="AL86" s="1796"/>
      <c r="AM86" s="1796"/>
      <c r="AN86" s="1796"/>
      <c r="AO86" s="1796"/>
      <c r="AP86" s="1796"/>
      <c r="AQ86" s="1796"/>
      <c r="AR86" s="1796"/>
      <c r="AS86" s="1796"/>
      <c r="AT86" s="1796"/>
      <c r="AU86" s="1796"/>
      <c r="AV86" s="1796"/>
      <c r="AW86" s="1796"/>
      <c r="AX86" s="1796"/>
      <c r="AY86" s="1796"/>
      <c r="AZ86" s="1796"/>
      <c r="BA86" s="1796"/>
      <c r="BB86" s="1796"/>
      <c r="BC86" s="1796"/>
      <c r="BD86" s="1796"/>
      <c r="BE86" s="1796"/>
      <c r="BF86" s="1796"/>
    </row>
    <row r="87" spans="3:58" x14ac:dyDescent="0.15">
      <c r="C87" s="1796"/>
      <c r="D87" s="1796"/>
      <c r="E87" s="1796"/>
      <c r="F87" s="1796"/>
      <c r="G87" s="1796"/>
      <c r="H87" s="1796"/>
      <c r="I87" s="1796"/>
      <c r="J87" s="1796"/>
      <c r="K87" s="1796"/>
      <c r="L87" s="1796"/>
      <c r="M87" s="1796"/>
      <c r="N87" s="1796"/>
      <c r="O87" s="1796"/>
      <c r="P87" s="1796"/>
      <c r="Q87" s="1796"/>
      <c r="R87" s="1796"/>
      <c r="S87" s="1796"/>
      <c r="T87" s="1796"/>
      <c r="U87" s="1796"/>
      <c r="V87" s="1796"/>
      <c r="W87" s="1796"/>
      <c r="X87" s="1796"/>
      <c r="Y87" s="1796"/>
      <c r="Z87" s="1796"/>
      <c r="AA87" s="1796"/>
      <c r="AB87" s="1796"/>
      <c r="AC87" s="1796"/>
      <c r="AD87" s="1796"/>
      <c r="AE87" s="1796"/>
      <c r="AF87" s="1796"/>
      <c r="AG87" s="1796"/>
      <c r="AH87" s="1796"/>
      <c r="AI87" s="1796"/>
      <c r="AJ87" s="1796"/>
      <c r="AK87" s="1796"/>
      <c r="AL87" s="1796"/>
      <c r="AM87" s="1796"/>
      <c r="AN87" s="1796"/>
      <c r="AO87" s="1796"/>
      <c r="AP87" s="1796"/>
      <c r="AQ87" s="1796"/>
      <c r="AR87" s="1796"/>
      <c r="AS87" s="1796"/>
      <c r="AT87" s="1796"/>
      <c r="AU87" s="1796"/>
      <c r="AV87" s="1796"/>
      <c r="AW87" s="1796"/>
      <c r="AX87" s="1796"/>
      <c r="AY87" s="1796"/>
      <c r="AZ87" s="1796"/>
      <c r="BA87" s="1796"/>
      <c r="BB87" s="1796"/>
      <c r="BC87" s="1796"/>
      <c r="BD87" s="1796"/>
      <c r="BE87" s="1796"/>
      <c r="BF87" s="1796"/>
    </row>
    <row r="88" spans="3:58" x14ac:dyDescent="0.15">
      <c r="C88" s="1796"/>
      <c r="D88" s="1796"/>
      <c r="E88" s="1796"/>
      <c r="F88" s="1796"/>
      <c r="G88" s="1796"/>
      <c r="H88" s="1796"/>
      <c r="I88" s="1796"/>
      <c r="J88" s="1796"/>
      <c r="K88" s="1796"/>
      <c r="L88" s="1796"/>
      <c r="M88" s="1796"/>
      <c r="N88" s="1796"/>
      <c r="O88" s="1796"/>
      <c r="P88" s="1796"/>
      <c r="Q88" s="1796"/>
      <c r="R88" s="1796"/>
      <c r="S88" s="1796"/>
      <c r="T88" s="1796"/>
      <c r="U88" s="1796"/>
      <c r="V88" s="1796"/>
      <c r="W88" s="1796"/>
      <c r="X88" s="1796"/>
      <c r="Y88" s="1796"/>
      <c r="Z88" s="1796"/>
      <c r="AA88" s="1796"/>
      <c r="AB88" s="1796"/>
      <c r="AC88" s="1796"/>
      <c r="AD88" s="1796"/>
      <c r="AE88" s="1796"/>
      <c r="AF88" s="1796"/>
      <c r="AG88" s="1796"/>
      <c r="AH88" s="1796"/>
      <c r="AI88" s="1796"/>
      <c r="AJ88" s="1796"/>
      <c r="AK88" s="1796"/>
      <c r="AL88" s="1796"/>
      <c r="AM88" s="1796"/>
      <c r="AN88" s="1796"/>
      <c r="AO88" s="1796"/>
      <c r="AP88" s="1796"/>
      <c r="AQ88" s="1796"/>
      <c r="AR88" s="1796"/>
      <c r="AS88" s="1796"/>
      <c r="AT88" s="1796"/>
      <c r="AU88" s="1796"/>
      <c r="AV88" s="1796"/>
      <c r="AW88" s="1796"/>
      <c r="AX88" s="1796"/>
      <c r="AY88" s="1796"/>
      <c r="AZ88" s="1796"/>
      <c r="BA88" s="1796"/>
      <c r="BB88" s="1796"/>
      <c r="BC88" s="1796"/>
      <c r="BD88" s="1796"/>
      <c r="BE88" s="1796"/>
      <c r="BF88" s="1796"/>
    </row>
    <row r="89" spans="3:58" x14ac:dyDescent="0.15">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96"/>
      <c r="AV89" s="1796"/>
      <c r="AW89" s="1796"/>
      <c r="AX89" s="1796"/>
      <c r="AY89" s="1796"/>
      <c r="AZ89" s="1796"/>
      <c r="BA89" s="1796"/>
      <c r="BB89" s="1796"/>
      <c r="BC89" s="1796"/>
      <c r="BD89" s="1796"/>
      <c r="BE89" s="1796"/>
      <c r="BF89" s="1796"/>
    </row>
    <row r="90" spans="3:58" x14ac:dyDescent="0.15">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96"/>
      <c r="AV90" s="1796"/>
      <c r="AW90" s="1796"/>
      <c r="AX90" s="1796"/>
      <c r="AY90" s="1796"/>
      <c r="AZ90" s="1796"/>
      <c r="BA90" s="1796"/>
      <c r="BB90" s="1796"/>
      <c r="BC90" s="1796"/>
      <c r="BD90" s="1796"/>
      <c r="BE90" s="1796"/>
      <c r="BF90" s="1796"/>
    </row>
    <row r="91" spans="3:58" x14ac:dyDescent="0.15">
      <c r="C91" s="1796"/>
      <c r="D91" s="1796"/>
      <c r="E91" s="1796"/>
      <c r="F91" s="1796"/>
      <c r="G91" s="1796"/>
      <c r="H91" s="1796"/>
      <c r="I91" s="1796"/>
      <c r="J91" s="1796"/>
      <c r="K91" s="1796"/>
      <c r="L91" s="1796"/>
      <c r="M91" s="1796"/>
      <c r="N91" s="1796"/>
      <c r="O91" s="1796"/>
      <c r="P91" s="1796"/>
      <c r="Q91" s="1796"/>
      <c r="R91" s="1796"/>
      <c r="S91" s="1796"/>
      <c r="T91" s="1796"/>
      <c r="U91" s="1796"/>
      <c r="V91" s="1796"/>
      <c r="W91" s="1796"/>
      <c r="X91" s="1796"/>
      <c r="Y91" s="1796"/>
      <c r="Z91" s="1796"/>
      <c r="AA91" s="1796"/>
      <c r="AB91" s="1796"/>
      <c r="AC91" s="1796"/>
      <c r="AD91" s="1796"/>
      <c r="AE91" s="1796"/>
      <c r="AF91" s="1796"/>
      <c r="AG91" s="1796"/>
      <c r="AH91" s="1796"/>
      <c r="AI91" s="1796"/>
      <c r="AJ91" s="1796"/>
      <c r="AK91" s="1796"/>
      <c r="AL91" s="1796"/>
      <c r="AM91" s="1796"/>
      <c r="AN91" s="1796"/>
      <c r="AO91" s="1796"/>
      <c r="AP91" s="1796"/>
      <c r="AQ91" s="1796"/>
      <c r="AR91" s="1796"/>
      <c r="AS91" s="1796"/>
      <c r="AT91" s="1796"/>
      <c r="AU91" s="1796"/>
      <c r="AV91" s="1796"/>
      <c r="AW91" s="1796"/>
      <c r="AX91" s="1796"/>
      <c r="AY91" s="1796"/>
      <c r="AZ91" s="1796"/>
      <c r="BA91" s="1796"/>
      <c r="BB91" s="1796"/>
      <c r="BC91" s="1796"/>
      <c r="BD91" s="1796"/>
      <c r="BE91" s="1796"/>
      <c r="BF91" s="1796"/>
    </row>
    <row r="92" spans="3:58" x14ac:dyDescent="0.15">
      <c r="C92" s="1796"/>
      <c r="D92" s="1796"/>
      <c r="E92" s="1796"/>
      <c r="F92" s="1796"/>
      <c r="G92" s="1796"/>
      <c r="H92" s="1796"/>
      <c r="I92" s="1796"/>
      <c r="J92" s="1796"/>
      <c r="K92" s="1796"/>
      <c r="L92" s="1796"/>
      <c r="M92" s="1796"/>
      <c r="N92" s="1796"/>
      <c r="O92" s="1796"/>
      <c r="P92" s="1796"/>
      <c r="Q92" s="1796"/>
      <c r="R92" s="1796"/>
      <c r="S92" s="1796"/>
      <c r="T92" s="1796"/>
      <c r="U92" s="1796"/>
      <c r="V92" s="1796"/>
      <c r="W92" s="1796"/>
      <c r="X92" s="1796"/>
      <c r="Y92" s="1796"/>
      <c r="Z92" s="1796"/>
      <c r="AA92" s="1796"/>
      <c r="AB92" s="1796"/>
      <c r="AC92" s="1796"/>
      <c r="AD92" s="1796"/>
      <c r="AE92" s="1796"/>
      <c r="AF92" s="1796"/>
      <c r="AG92" s="1796"/>
      <c r="AH92" s="1796"/>
      <c r="AI92" s="1796"/>
      <c r="AJ92" s="1796"/>
      <c r="AK92" s="1796"/>
      <c r="AL92" s="1796"/>
      <c r="AM92" s="1796"/>
      <c r="AN92" s="1796"/>
      <c r="AO92" s="1796"/>
      <c r="AP92" s="1796"/>
      <c r="AQ92" s="1796"/>
      <c r="AR92" s="1796"/>
      <c r="AS92" s="1796"/>
      <c r="AT92" s="1796"/>
      <c r="AU92" s="1796"/>
      <c r="AV92" s="1796"/>
      <c r="AW92" s="1796"/>
      <c r="AX92" s="1796"/>
      <c r="AY92" s="1796"/>
      <c r="AZ92" s="1796"/>
      <c r="BA92" s="1796"/>
      <c r="BB92" s="1796"/>
      <c r="BC92" s="1796"/>
      <c r="BD92" s="1796"/>
      <c r="BE92" s="1796"/>
      <c r="BF92" s="1796"/>
    </row>
    <row r="93" spans="3:58" x14ac:dyDescent="0.15">
      <c r="C93" s="1796"/>
      <c r="D93" s="1796"/>
      <c r="E93" s="1796"/>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6"/>
      <c r="AK93" s="1796"/>
      <c r="AL93" s="1796"/>
      <c r="AM93" s="1796"/>
      <c r="AN93" s="1796"/>
      <c r="AO93" s="1796"/>
      <c r="AP93" s="1796"/>
      <c r="AQ93" s="1796"/>
      <c r="AR93" s="1796"/>
      <c r="AS93" s="1796"/>
      <c r="AT93" s="1796"/>
      <c r="AU93" s="1796"/>
      <c r="AV93" s="1796"/>
      <c r="AW93" s="1796"/>
      <c r="AX93" s="1796"/>
      <c r="AY93" s="1796"/>
      <c r="AZ93" s="1796"/>
      <c r="BA93" s="1796"/>
      <c r="BB93" s="1796"/>
      <c r="BC93" s="1796"/>
      <c r="BD93" s="1796"/>
      <c r="BE93" s="1796"/>
      <c r="BF93" s="1796"/>
    </row>
    <row r="94" spans="3:58" x14ac:dyDescent="0.15">
      <c r="C94" s="1796"/>
      <c r="D94" s="1796"/>
      <c r="E94" s="1796"/>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6"/>
      <c r="AK94" s="1796"/>
      <c r="AL94" s="1796"/>
      <c r="AM94" s="1796"/>
      <c r="AN94" s="1796"/>
      <c r="AO94" s="1796"/>
      <c r="AP94" s="1796"/>
      <c r="AQ94" s="1796"/>
      <c r="AR94" s="1796"/>
      <c r="AS94" s="1796"/>
      <c r="AT94" s="1796"/>
      <c r="AU94" s="1796"/>
      <c r="AV94" s="1796"/>
      <c r="AW94" s="1796"/>
      <c r="AX94" s="1796"/>
      <c r="AY94" s="1796"/>
      <c r="AZ94" s="1796"/>
      <c r="BA94" s="1796"/>
      <c r="BB94" s="1796"/>
      <c r="BC94" s="1796"/>
      <c r="BD94" s="1796"/>
      <c r="BE94" s="1796"/>
      <c r="BF94" s="1796"/>
    </row>
    <row r="95" spans="3:58" x14ac:dyDescent="0.15">
      <c r="C95" s="1796"/>
      <c r="D95" s="1796"/>
      <c r="E95" s="1796"/>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6"/>
      <c r="AK95" s="1796"/>
      <c r="AL95" s="1796"/>
      <c r="AM95" s="1796"/>
      <c r="AN95" s="1796"/>
      <c r="AO95" s="1796"/>
      <c r="AP95" s="1796"/>
      <c r="AQ95" s="1796"/>
      <c r="AR95" s="1796"/>
      <c r="AS95" s="1796"/>
      <c r="AT95" s="1796"/>
      <c r="AU95" s="1796"/>
      <c r="AV95" s="1796"/>
      <c r="AW95" s="1796"/>
      <c r="AX95" s="1796"/>
      <c r="AY95" s="1796"/>
      <c r="AZ95" s="1796"/>
      <c r="BA95" s="1796"/>
      <c r="BB95" s="1796"/>
      <c r="BC95" s="1796"/>
      <c r="BD95" s="1796"/>
      <c r="BE95" s="1796"/>
      <c r="BF95" s="1796"/>
    </row>
    <row r="96" spans="3:58" x14ac:dyDescent="0.15">
      <c r="C96" s="1796"/>
      <c r="D96" s="1796"/>
      <c r="E96" s="1796"/>
      <c r="F96" s="1796"/>
      <c r="G96" s="1796"/>
      <c r="H96" s="1796"/>
      <c r="I96" s="1796"/>
      <c r="J96" s="1796"/>
      <c r="K96" s="1796"/>
      <c r="L96" s="1796"/>
      <c r="M96" s="1796"/>
      <c r="N96" s="1796"/>
      <c r="O96" s="1796"/>
      <c r="P96" s="1796"/>
      <c r="Q96" s="1796"/>
      <c r="R96" s="1796"/>
      <c r="S96" s="1796"/>
      <c r="T96" s="1796"/>
      <c r="U96" s="1796"/>
      <c r="V96" s="1796"/>
      <c r="W96" s="1796"/>
      <c r="X96" s="1796"/>
      <c r="Y96" s="1796"/>
      <c r="Z96" s="1796"/>
      <c r="AA96" s="1796"/>
      <c r="AB96" s="1796"/>
      <c r="AC96" s="1796"/>
      <c r="AD96" s="1796"/>
      <c r="AE96" s="1796"/>
      <c r="AF96" s="1796"/>
      <c r="AG96" s="1796"/>
      <c r="AH96" s="1796"/>
      <c r="AI96" s="1796"/>
      <c r="AJ96" s="1796"/>
      <c r="AK96" s="1796"/>
      <c r="AL96" s="1796"/>
      <c r="AM96" s="1796"/>
      <c r="AN96" s="1796"/>
      <c r="AO96" s="1796"/>
      <c r="AP96" s="1796"/>
      <c r="AQ96" s="1796"/>
      <c r="AR96" s="1796"/>
      <c r="AS96" s="1796"/>
      <c r="AT96" s="1796"/>
      <c r="AU96" s="1796"/>
      <c r="AV96" s="1796"/>
      <c r="AW96" s="1796"/>
      <c r="AX96" s="1796"/>
      <c r="AY96" s="1796"/>
      <c r="AZ96" s="1796"/>
      <c r="BA96" s="1796"/>
      <c r="BB96" s="1796"/>
      <c r="BC96" s="1796"/>
      <c r="BD96" s="1796"/>
      <c r="BE96" s="1796"/>
      <c r="BF96" s="1796"/>
    </row>
    <row r="97" spans="3:58" x14ac:dyDescent="0.15">
      <c r="C97" s="1796"/>
      <c r="D97" s="1796"/>
      <c r="E97" s="1796"/>
      <c r="F97" s="1796"/>
      <c r="G97" s="1796"/>
      <c r="H97" s="1796"/>
      <c r="I97" s="1796"/>
      <c r="J97" s="1796"/>
      <c r="K97" s="1796"/>
      <c r="L97" s="1796"/>
      <c r="M97" s="1796"/>
      <c r="N97" s="1796"/>
      <c r="O97" s="1796"/>
      <c r="P97" s="1796"/>
      <c r="Q97" s="1796"/>
      <c r="R97" s="1796"/>
      <c r="S97" s="1796"/>
      <c r="T97" s="1796"/>
      <c r="U97" s="1796"/>
      <c r="V97" s="1796"/>
      <c r="W97" s="1796"/>
      <c r="X97" s="1796"/>
      <c r="Y97" s="1796"/>
      <c r="Z97" s="1796"/>
      <c r="AA97" s="1796"/>
      <c r="AB97" s="1796"/>
      <c r="AC97" s="1796"/>
      <c r="AD97" s="1796"/>
      <c r="AE97" s="1796"/>
      <c r="AF97" s="1796"/>
      <c r="AG97" s="1796"/>
      <c r="AH97" s="1796"/>
      <c r="AI97" s="1796"/>
      <c r="AJ97" s="1796"/>
      <c r="AK97" s="1796"/>
      <c r="AL97" s="1796"/>
      <c r="AM97" s="1796"/>
      <c r="AN97" s="1796"/>
      <c r="AO97" s="1796"/>
      <c r="AP97" s="1796"/>
      <c r="AQ97" s="1796"/>
      <c r="AR97" s="1796"/>
      <c r="AS97" s="1796"/>
      <c r="AT97" s="1796"/>
      <c r="AU97" s="1796"/>
      <c r="AV97" s="1796"/>
      <c r="AW97" s="1796"/>
      <c r="AX97" s="1796"/>
      <c r="AY97" s="1796"/>
      <c r="AZ97" s="1796"/>
      <c r="BA97" s="1796"/>
      <c r="BB97" s="1796"/>
      <c r="BC97" s="1796"/>
      <c r="BD97" s="1796"/>
      <c r="BE97" s="1796"/>
      <c r="BF97" s="1796"/>
    </row>
    <row r="98" spans="3:58" x14ac:dyDescent="0.15">
      <c r="C98" s="1796"/>
      <c r="D98" s="1796"/>
      <c r="E98" s="1796"/>
      <c r="F98" s="1796"/>
      <c r="G98" s="1796"/>
      <c r="H98" s="1796"/>
      <c r="I98" s="1796"/>
      <c r="J98" s="1796"/>
      <c r="K98" s="1796"/>
      <c r="L98" s="1796"/>
      <c r="M98" s="1796"/>
      <c r="N98" s="1796"/>
      <c r="O98" s="1796"/>
      <c r="P98" s="1796"/>
      <c r="Q98" s="1796"/>
      <c r="R98" s="1796"/>
      <c r="S98" s="1796"/>
      <c r="T98" s="1796"/>
      <c r="U98" s="1796"/>
      <c r="V98" s="1796"/>
      <c r="W98" s="1796"/>
      <c r="X98" s="1796"/>
      <c r="Y98" s="1796"/>
      <c r="Z98" s="1796"/>
      <c r="AA98" s="1796"/>
      <c r="AB98" s="1796"/>
      <c r="AC98" s="1796"/>
      <c r="AD98" s="1796"/>
      <c r="AE98" s="1796"/>
      <c r="AF98" s="1796"/>
      <c r="AG98" s="1796"/>
      <c r="AH98" s="1796"/>
      <c r="AI98" s="1796"/>
      <c r="AJ98" s="1796"/>
      <c r="AK98" s="1796"/>
      <c r="AL98" s="1796"/>
      <c r="AM98" s="1796"/>
      <c r="AN98" s="1796"/>
      <c r="AO98" s="1796"/>
      <c r="AP98" s="1796"/>
      <c r="AQ98" s="1796"/>
      <c r="AR98" s="1796"/>
      <c r="AS98" s="1796"/>
      <c r="AT98" s="1796"/>
      <c r="AU98" s="1796"/>
      <c r="AV98" s="1796"/>
      <c r="AW98" s="1796"/>
      <c r="AX98" s="1796"/>
      <c r="AY98" s="1796"/>
      <c r="AZ98" s="1796"/>
      <c r="BA98" s="1796"/>
      <c r="BB98" s="1796"/>
      <c r="BC98" s="1796"/>
      <c r="BD98" s="1796"/>
      <c r="BE98" s="1796"/>
      <c r="BF98" s="1796"/>
    </row>
    <row r="99" spans="3:58" x14ac:dyDescent="0.15">
      <c r="C99" s="1796"/>
      <c r="D99" s="1796"/>
      <c r="E99" s="1796"/>
      <c r="F99" s="1796"/>
      <c r="G99" s="1796"/>
      <c r="H99" s="1796"/>
      <c r="I99" s="1796"/>
      <c r="J99" s="1796"/>
      <c r="K99" s="1796"/>
      <c r="L99" s="1796"/>
      <c r="M99" s="1796"/>
      <c r="N99" s="1796"/>
      <c r="O99" s="1796"/>
      <c r="P99" s="1796"/>
      <c r="Q99" s="1796"/>
      <c r="R99" s="1796"/>
      <c r="S99" s="1796"/>
      <c r="T99" s="1796"/>
      <c r="U99" s="1796"/>
      <c r="V99" s="1796"/>
      <c r="W99" s="1796"/>
      <c r="X99" s="1796"/>
      <c r="Y99" s="1796"/>
      <c r="Z99" s="1796"/>
      <c r="AA99" s="1796"/>
      <c r="AB99" s="1796"/>
      <c r="AC99" s="1796"/>
      <c r="AD99" s="1796"/>
      <c r="AE99" s="1796"/>
      <c r="AF99" s="1796"/>
      <c r="AG99" s="1796"/>
      <c r="AH99" s="1796"/>
      <c r="AI99" s="1796"/>
      <c r="AJ99" s="1796"/>
      <c r="AK99" s="1796"/>
      <c r="AL99" s="1796"/>
      <c r="AM99" s="1796"/>
      <c r="AN99" s="1796"/>
      <c r="AO99" s="1796"/>
      <c r="AP99" s="1796"/>
      <c r="AQ99" s="1796"/>
      <c r="AR99" s="1796"/>
      <c r="AS99" s="1796"/>
      <c r="AT99" s="1796"/>
      <c r="AU99" s="1796"/>
      <c r="AV99" s="1796"/>
      <c r="AW99" s="1796"/>
      <c r="AX99" s="1796"/>
      <c r="AY99" s="1796"/>
      <c r="AZ99" s="1796"/>
      <c r="BA99" s="1796"/>
      <c r="BB99" s="1796"/>
      <c r="BC99" s="1796"/>
      <c r="BD99" s="1796"/>
      <c r="BE99" s="1796"/>
      <c r="BF99" s="1796"/>
    </row>
    <row r="100" spans="3:58" x14ac:dyDescent="0.15">
      <c r="C100" s="1796"/>
      <c r="D100" s="1796"/>
      <c r="E100" s="1796"/>
      <c r="F100" s="1796"/>
      <c r="G100" s="1796"/>
      <c r="H100" s="1796"/>
      <c r="I100" s="1796"/>
      <c r="J100" s="1796"/>
      <c r="K100" s="1796"/>
      <c r="L100" s="1796"/>
      <c r="M100" s="1796"/>
      <c r="N100" s="1796"/>
      <c r="O100" s="1796"/>
      <c r="P100" s="1796"/>
      <c r="Q100" s="1796"/>
      <c r="R100" s="1796"/>
      <c r="S100" s="1796"/>
      <c r="T100" s="1796"/>
      <c r="U100" s="1796"/>
      <c r="V100" s="1796"/>
      <c r="W100" s="1796"/>
      <c r="X100" s="1796"/>
      <c r="Y100" s="1796"/>
      <c r="Z100" s="1796"/>
      <c r="AA100" s="1796"/>
      <c r="AB100" s="1796"/>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1796"/>
      <c r="AV100" s="1796"/>
      <c r="AW100" s="1796"/>
      <c r="AX100" s="1796"/>
      <c r="AY100" s="1796"/>
      <c r="AZ100" s="1796"/>
      <c r="BA100" s="1796"/>
      <c r="BB100" s="1796"/>
      <c r="BC100" s="1796"/>
      <c r="BD100" s="1796"/>
      <c r="BE100" s="1796"/>
      <c r="BF100" s="1796"/>
    </row>
    <row r="101" spans="3:58" x14ac:dyDescent="0.15">
      <c r="C101" s="1796"/>
      <c r="D101" s="1796"/>
      <c r="E101" s="1796"/>
      <c r="F101" s="1796"/>
      <c r="G101" s="1796"/>
      <c r="H101" s="1796"/>
      <c r="I101" s="1796"/>
      <c r="J101" s="1796"/>
      <c r="K101" s="1796"/>
      <c r="L101" s="1796"/>
      <c r="M101" s="1796"/>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1796"/>
      <c r="AV101" s="1796"/>
      <c r="AW101" s="1796"/>
      <c r="AX101" s="1796"/>
      <c r="AY101" s="1796"/>
      <c r="AZ101" s="1796"/>
      <c r="BA101" s="1796"/>
      <c r="BB101" s="1796"/>
      <c r="BC101" s="1796"/>
      <c r="BD101" s="1796"/>
      <c r="BE101" s="1796"/>
      <c r="BF101" s="1796"/>
    </row>
    <row r="102" spans="3:58" x14ac:dyDescent="0.15">
      <c r="C102" s="1796"/>
      <c r="D102" s="1796"/>
      <c r="E102" s="1796"/>
      <c r="F102" s="1796"/>
      <c r="G102" s="1796"/>
      <c r="H102" s="1796"/>
      <c r="I102" s="1796"/>
      <c r="J102" s="1796"/>
      <c r="K102" s="1796"/>
      <c r="L102" s="1796"/>
      <c r="M102" s="1796"/>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1796"/>
      <c r="AV102" s="1796"/>
      <c r="AW102" s="1796"/>
      <c r="AX102" s="1796"/>
      <c r="AY102" s="1796"/>
      <c r="AZ102" s="1796"/>
      <c r="BA102" s="1796"/>
      <c r="BB102" s="1796"/>
      <c r="BC102" s="1796"/>
      <c r="BD102" s="1796"/>
      <c r="BE102" s="1796"/>
      <c r="BF102" s="1796"/>
    </row>
    <row r="103" spans="3:58" x14ac:dyDescent="0.15">
      <c r="C103" s="1796"/>
      <c r="D103" s="1796"/>
      <c r="E103" s="1796"/>
      <c r="F103" s="1796"/>
      <c r="G103" s="1796"/>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1796"/>
      <c r="AV103" s="1796"/>
      <c r="AW103" s="1796"/>
      <c r="AX103" s="1796"/>
      <c r="AY103" s="1796"/>
      <c r="AZ103" s="1796"/>
      <c r="BA103" s="1796"/>
      <c r="BB103" s="1796"/>
      <c r="BC103" s="1796"/>
      <c r="BD103" s="1796"/>
      <c r="BE103" s="1796"/>
      <c r="BF103" s="1796"/>
    </row>
    <row r="104" spans="3:58" x14ac:dyDescent="0.15">
      <c r="C104" s="1796"/>
      <c r="D104" s="1796"/>
      <c r="E104" s="1796"/>
      <c r="F104" s="1796"/>
      <c r="G104" s="1796"/>
      <c r="H104" s="1796"/>
      <c r="I104" s="1796"/>
      <c r="J104" s="1796"/>
      <c r="K104" s="1796"/>
      <c r="L104" s="1796"/>
      <c r="M104" s="1796"/>
      <c r="N104" s="1796"/>
      <c r="O104" s="1796"/>
      <c r="P104" s="1796"/>
      <c r="Q104" s="1796"/>
      <c r="R104" s="1796"/>
      <c r="S104" s="1796"/>
      <c r="T104" s="1796"/>
      <c r="U104" s="1796"/>
      <c r="V104" s="1796"/>
      <c r="W104" s="1796"/>
      <c r="X104" s="1796"/>
      <c r="Y104" s="1796"/>
      <c r="Z104" s="1796"/>
      <c r="AA104" s="1796"/>
      <c r="AB104" s="1796"/>
      <c r="AC104" s="1796"/>
      <c r="AD104" s="1796"/>
      <c r="AE104" s="1796"/>
      <c r="AF104" s="1796"/>
      <c r="AG104" s="1796"/>
      <c r="AH104" s="1796"/>
      <c r="AI104" s="1796"/>
      <c r="AJ104" s="1796"/>
      <c r="AK104" s="1796"/>
      <c r="AL104" s="1796"/>
      <c r="AM104" s="1796"/>
      <c r="AN104" s="1796"/>
      <c r="AO104" s="1796"/>
      <c r="AP104" s="1796"/>
      <c r="AQ104" s="1796"/>
      <c r="AR104" s="1796"/>
      <c r="AS104" s="1796"/>
      <c r="AT104" s="1796"/>
      <c r="AU104" s="1796"/>
      <c r="AV104" s="1796"/>
      <c r="AW104" s="1796"/>
      <c r="AX104" s="1796"/>
      <c r="AY104" s="1796"/>
      <c r="AZ104" s="1796"/>
      <c r="BA104" s="1796"/>
      <c r="BB104" s="1796"/>
      <c r="BC104" s="1796"/>
      <c r="BD104" s="1796"/>
      <c r="BE104" s="1796"/>
      <c r="BF104" s="1796"/>
    </row>
    <row r="105" spans="3:58" x14ac:dyDescent="0.15">
      <c r="C105" s="1796"/>
      <c r="D105" s="1796"/>
      <c r="E105" s="1796"/>
      <c r="F105" s="1796"/>
      <c r="G105" s="1796"/>
      <c r="H105" s="1796"/>
      <c r="I105" s="1796"/>
      <c r="J105" s="1796"/>
      <c r="K105" s="1796"/>
      <c r="L105" s="1796"/>
      <c r="M105" s="1796"/>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1796"/>
      <c r="AV105" s="1796"/>
      <c r="AW105" s="1796"/>
      <c r="AX105" s="1796"/>
      <c r="AY105" s="1796"/>
      <c r="AZ105" s="1796"/>
      <c r="BA105" s="1796"/>
      <c r="BB105" s="1796"/>
      <c r="BC105" s="1796"/>
      <c r="BD105" s="1796"/>
      <c r="BE105" s="1796"/>
      <c r="BF105" s="1796"/>
    </row>
    <row r="106" spans="3:58" x14ac:dyDescent="0.15">
      <c r="C106" s="1796"/>
      <c r="D106" s="1796"/>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1796"/>
      <c r="AV106" s="1796"/>
      <c r="AW106" s="1796"/>
      <c r="AX106" s="1796"/>
      <c r="AY106" s="1796"/>
      <c r="AZ106" s="1796"/>
      <c r="BA106" s="1796"/>
      <c r="BB106" s="1796"/>
      <c r="BC106" s="1796"/>
      <c r="BD106" s="1796"/>
      <c r="BE106" s="1796"/>
      <c r="BF106" s="1796"/>
    </row>
    <row r="107" spans="3:58" x14ac:dyDescent="0.15">
      <c r="C107" s="1796"/>
      <c r="D107" s="1796"/>
      <c r="E107" s="1796"/>
      <c r="F107" s="1796"/>
      <c r="G107" s="1796"/>
      <c r="H107" s="1796"/>
      <c r="I107" s="1796"/>
      <c r="J107" s="1796"/>
      <c r="K107" s="1796"/>
      <c r="L107" s="1796"/>
      <c r="M107" s="1796"/>
      <c r="N107" s="1796"/>
      <c r="O107" s="1796"/>
      <c r="P107" s="1796"/>
      <c r="Q107" s="1796"/>
      <c r="R107" s="1796"/>
      <c r="S107" s="1796"/>
      <c r="T107" s="1796"/>
      <c r="U107" s="1796"/>
      <c r="V107" s="1796"/>
      <c r="W107" s="1796"/>
      <c r="X107" s="1796"/>
      <c r="Y107" s="1796"/>
      <c r="Z107" s="1796"/>
      <c r="AA107" s="1796"/>
      <c r="AB107" s="1796"/>
      <c r="AC107" s="1796"/>
      <c r="AD107" s="1796"/>
      <c r="AE107" s="1796"/>
      <c r="AF107" s="1796"/>
      <c r="AG107" s="1796"/>
      <c r="AH107" s="1796"/>
      <c r="AI107" s="1796"/>
      <c r="AJ107" s="1796"/>
      <c r="AK107" s="1796"/>
      <c r="AL107" s="1796"/>
      <c r="AM107" s="1796"/>
      <c r="AN107" s="1796"/>
      <c r="AO107" s="1796"/>
      <c r="AP107" s="1796"/>
      <c r="AQ107" s="1796"/>
      <c r="AR107" s="1796"/>
      <c r="AS107" s="1796"/>
      <c r="AT107" s="1796"/>
      <c r="AU107" s="1796"/>
      <c r="AV107" s="1796"/>
      <c r="AW107" s="1796"/>
      <c r="AX107" s="1796"/>
      <c r="AY107" s="1796"/>
      <c r="AZ107" s="1796"/>
      <c r="BA107" s="1796"/>
      <c r="BB107" s="1796"/>
      <c r="BC107" s="1796"/>
      <c r="BD107" s="1796"/>
      <c r="BE107" s="1796"/>
      <c r="BF107" s="1796"/>
    </row>
    <row r="108" spans="3:58" x14ac:dyDescent="0.15">
      <c r="C108" s="1796"/>
      <c r="D108" s="1796"/>
      <c r="E108" s="1796"/>
      <c r="F108" s="1796"/>
      <c r="G108" s="1796"/>
      <c r="H108" s="1796"/>
      <c r="I108" s="1796"/>
      <c r="J108" s="1796"/>
      <c r="K108" s="1796"/>
      <c r="L108" s="1796"/>
      <c r="M108" s="1796"/>
      <c r="N108" s="1796"/>
      <c r="O108" s="1796"/>
      <c r="P108" s="1796"/>
      <c r="Q108" s="1796"/>
      <c r="R108" s="1796"/>
      <c r="S108" s="1796"/>
      <c r="T108" s="1796"/>
      <c r="U108" s="1796"/>
      <c r="V108" s="1796"/>
      <c r="W108" s="1796"/>
      <c r="X108" s="1796"/>
      <c r="Y108" s="1796"/>
      <c r="Z108" s="1796"/>
      <c r="AA108" s="1796"/>
      <c r="AB108" s="1796"/>
      <c r="AC108" s="1796"/>
      <c r="AD108" s="1796"/>
      <c r="AE108" s="1796"/>
      <c r="AF108" s="1796"/>
      <c r="AG108" s="1796"/>
      <c r="AH108" s="1796"/>
      <c r="AI108" s="1796"/>
      <c r="AJ108" s="1796"/>
      <c r="AK108" s="1796"/>
      <c r="AL108" s="1796"/>
      <c r="AM108" s="1796"/>
      <c r="AN108" s="1796"/>
      <c r="AO108" s="1796"/>
      <c r="AP108" s="1796"/>
      <c r="AQ108" s="1796"/>
      <c r="AR108" s="1796"/>
      <c r="AS108" s="1796"/>
      <c r="AT108" s="1796"/>
      <c r="AU108" s="1796"/>
      <c r="AV108" s="1796"/>
      <c r="AW108" s="1796"/>
      <c r="AX108" s="1796"/>
      <c r="AY108" s="1796"/>
      <c r="AZ108" s="1796"/>
      <c r="BA108" s="1796"/>
      <c r="BB108" s="1796"/>
      <c r="BC108" s="1796"/>
      <c r="BD108" s="1796"/>
      <c r="BE108" s="1796"/>
      <c r="BF108" s="1796"/>
    </row>
    <row r="109" spans="3:58" x14ac:dyDescent="0.15">
      <c r="C109" s="1796"/>
      <c r="D109" s="1796"/>
      <c r="E109" s="1796"/>
      <c r="F109" s="1796"/>
      <c r="G109" s="1796"/>
      <c r="H109" s="1796"/>
      <c r="I109" s="1796"/>
      <c r="J109" s="1796"/>
      <c r="K109" s="1796"/>
      <c r="L109" s="1796"/>
      <c r="M109" s="1796"/>
      <c r="N109" s="1796"/>
      <c r="O109" s="1796"/>
      <c r="P109" s="1796"/>
      <c r="Q109" s="1796"/>
      <c r="R109" s="1796"/>
      <c r="S109" s="1796"/>
      <c r="T109" s="1796"/>
      <c r="U109" s="1796"/>
      <c r="V109" s="1796"/>
      <c r="W109" s="1796"/>
      <c r="X109" s="1796"/>
      <c r="Y109" s="1796"/>
      <c r="Z109" s="1796"/>
      <c r="AA109" s="1796"/>
      <c r="AB109" s="1796"/>
      <c r="AC109" s="1796"/>
      <c r="AD109" s="1796"/>
      <c r="AE109" s="1796"/>
      <c r="AF109" s="1796"/>
      <c r="AG109" s="1796"/>
      <c r="AH109" s="1796"/>
      <c r="AI109" s="1796"/>
      <c r="AJ109" s="1796"/>
      <c r="AK109" s="1796"/>
      <c r="AL109" s="1796"/>
      <c r="AM109" s="1796"/>
      <c r="AN109" s="1796"/>
      <c r="AO109" s="1796"/>
      <c r="AP109" s="1796"/>
      <c r="AQ109" s="1796"/>
      <c r="AR109" s="1796"/>
      <c r="AS109" s="1796"/>
      <c r="AT109" s="1796"/>
      <c r="AU109" s="1796"/>
      <c r="AV109" s="1796"/>
      <c r="AW109" s="1796"/>
      <c r="AX109" s="1796"/>
      <c r="AY109" s="1796"/>
      <c r="AZ109" s="1796"/>
      <c r="BA109" s="1796"/>
      <c r="BB109" s="1796"/>
      <c r="BC109" s="1796"/>
      <c r="BD109" s="1796"/>
      <c r="BE109" s="1796"/>
      <c r="BF109" s="1796"/>
    </row>
    <row r="110" spans="3:58" x14ac:dyDescent="0.15">
      <c r="C110" s="1796"/>
      <c r="D110" s="1796"/>
      <c r="E110" s="1796"/>
      <c r="F110" s="1796"/>
      <c r="G110" s="1796"/>
      <c r="H110" s="1796"/>
      <c r="I110" s="1796"/>
      <c r="J110" s="1796"/>
      <c r="K110" s="1796"/>
      <c r="L110" s="1796"/>
      <c r="M110" s="1796"/>
      <c r="N110" s="1796"/>
      <c r="O110" s="1796"/>
      <c r="P110" s="1796"/>
      <c r="Q110" s="1796"/>
      <c r="R110" s="1796"/>
      <c r="S110" s="1796"/>
      <c r="T110" s="1796"/>
      <c r="U110" s="1796"/>
      <c r="V110" s="1796"/>
      <c r="W110" s="1796"/>
      <c r="X110" s="1796"/>
      <c r="Y110" s="1796"/>
      <c r="Z110" s="1796"/>
      <c r="AA110" s="1796"/>
      <c r="AB110" s="1796"/>
      <c r="AC110" s="1796"/>
      <c r="AD110" s="1796"/>
      <c r="AE110" s="1796"/>
      <c r="AF110" s="1796"/>
      <c r="AG110" s="1796"/>
      <c r="AH110" s="1796"/>
      <c r="AI110" s="1796"/>
      <c r="AJ110" s="1796"/>
      <c r="AK110" s="1796"/>
      <c r="AL110" s="1796"/>
      <c r="AM110" s="1796"/>
      <c r="AN110" s="1796"/>
      <c r="AO110" s="1796"/>
      <c r="AP110" s="1796"/>
      <c r="AQ110" s="1796"/>
      <c r="AR110" s="1796"/>
      <c r="AS110" s="1796"/>
      <c r="AT110" s="1796"/>
      <c r="AU110" s="1796"/>
      <c r="AV110" s="1796"/>
      <c r="AW110" s="1796"/>
      <c r="AX110" s="1796"/>
      <c r="AY110" s="1796"/>
      <c r="AZ110" s="1796"/>
      <c r="BA110" s="1796"/>
      <c r="BB110" s="1796"/>
      <c r="BC110" s="1796"/>
      <c r="BD110" s="1796"/>
      <c r="BE110" s="1796"/>
      <c r="BF110" s="1796"/>
    </row>
    <row r="111" spans="3:58" x14ac:dyDescent="0.15">
      <c r="C111" s="1796"/>
      <c r="D111" s="1796"/>
      <c r="E111" s="1796"/>
      <c r="F111" s="1796"/>
      <c r="G111" s="1796"/>
      <c r="H111" s="1796"/>
      <c r="I111" s="1796"/>
      <c r="J111" s="1796"/>
      <c r="K111" s="1796"/>
      <c r="L111" s="1796"/>
      <c r="M111" s="1796"/>
      <c r="N111" s="1796"/>
      <c r="O111" s="1796"/>
      <c r="P111" s="1796"/>
      <c r="Q111" s="1796"/>
      <c r="R111" s="1796"/>
      <c r="S111" s="1796"/>
      <c r="T111" s="1796"/>
      <c r="U111" s="1796"/>
      <c r="V111" s="1796"/>
      <c r="W111" s="1796"/>
      <c r="X111" s="1796"/>
      <c r="Y111" s="1796"/>
      <c r="Z111" s="1796"/>
      <c r="AA111" s="1796"/>
      <c r="AB111" s="1796"/>
      <c r="AC111" s="1796"/>
      <c r="AD111" s="1796"/>
      <c r="AE111" s="1796"/>
      <c r="AF111" s="1796"/>
      <c r="AG111" s="1796"/>
      <c r="AH111" s="1796"/>
      <c r="AI111" s="1796"/>
      <c r="AJ111" s="1796"/>
      <c r="AK111" s="1796"/>
      <c r="AL111" s="1796"/>
      <c r="AM111" s="1796"/>
      <c r="AN111" s="1796"/>
      <c r="AO111" s="1796"/>
      <c r="AP111" s="1796"/>
      <c r="AQ111" s="1796"/>
      <c r="AR111" s="1796"/>
      <c r="AS111" s="1796"/>
      <c r="AT111" s="1796"/>
      <c r="AU111" s="1796"/>
      <c r="AV111" s="1796"/>
      <c r="AW111" s="1796"/>
      <c r="AX111" s="1796"/>
      <c r="AY111" s="1796"/>
      <c r="AZ111" s="1796"/>
      <c r="BA111" s="1796"/>
      <c r="BB111" s="1796"/>
      <c r="BC111" s="1796"/>
      <c r="BD111" s="1796"/>
      <c r="BE111" s="1796"/>
      <c r="BF111" s="1796"/>
    </row>
    <row r="112" spans="3:58" x14ac:dyDescent="0.15">
      <c r="C112" s="1796"/>
      <c r="D112" s="1796"/>
      <c r="E112" s="1796"/>
      <c r="F112" s="1796"/>
      <c r="G112" s="1796"/>
      <c r="H112" s="1796"/>
      <c r="I112" s="1796"/>
      <c r="J112" s="1796"/>
      <c r="K112" s="1796"/>
      <c r="L112" s="1796"/>
      <c r="M112" s="1796"/>
      <c r="N112" s="1796"/>
      <c r="O112" s="1796"/>
      <c r="P112" s="1796"/>
      <c r="Q112" s="1796"/>
      <c r="R112" s="1796"/>
      <c r="S112" s="1796"/>
      <c r="T112" s="1796"/>
      <c r="U112" s="1796"/>
      <c r="V112" s="1796"/>
      <c r="W112" s="1796"/>
      <c r="X112" s="1796"/>
      <c r="Y112" s="1796"/>
      <c r="Z112" s="1796"/>
      <c r="AA112" s="1796"/>
      <c r="AB112" s="1796"/>
      <c r="AC112" s="1796"/>
      <c r="AD112" s="1796"/>
      <c r="AE112" s="1796"/>
      <c r="AF112" s="1796"/>
      <c r="AG112" s="1796"/>
      <c r="AH112" s="1796"/>
      <c r="AI112" s="1796"/>
      <c r="AJ112" s="1796"/>
      <c r="AK112" s="1796"/>
      <c r="AL112" s="1796"/>
      <c r="AM112" s="1796"/>
      <c r="AN112" s="1796"/>
      <c r="AO112" s="1796"/>
      <c r="AP112" s="1796"/>
      <c r="AQ112" s="1796"/>
      <c r="AR112" s="1796"/>
      <c r="AS112" s="1796"/>
      <c r="AT112" s="1796"/>
      <c r="AU112" s="1796"/>
      <c r="AV112" s="1796"/>
      <c r="AW112" s="1796"/>
      <c r="AX112" s="1796"/>
      <c r="AY112" s="1796"/>
      <c r="AZ112" s="1796"/>
      <c r="BA112" s="1796"/>
      <c r="BB112" s="1796"/>
      <c r="BC112" s="1796"/>
      <c r="BD112" s="1796"/>
      <c r="BE112" s="1796"/>
      <c r="BF112" s="1796"/>
    </row>
    <row r="113" spans="3:58" x14ac:dyDescent="0.15">
      <c r="C113" s="1796"/>
      <c r="D113" s="1796"/>
      <c r="E113" s="1796"/>
      <c r="F113" s="1796"/>
      <c r="G113" s="1796"/>
      <c r="H113" s="1796"/>
      <c r="I113" s="1796"/>
      <c r="J113" s="1796"/>
      <c r="K113" s="1796"/>
      <c r="L113" s="1796"/>
      <c r="M113" s="1796"/>
      <c r="N113" s="1796"/>
      <c r="O113" s="1796"/>
      <c r="P113" s="1796"/>
      <c r="Q113" s="1796"/>
      <c r="R113" s="1796"/>
      <c r="S113" s="1796"/>
      <c r="T113" s="1796"/>
      <c r="U113" s="1796"/>
      <c r="V113" s="1796"/>
      <c r="W113" s="1796"/>
      <c r="X113" s="1796"/>
      <c r="Y113" s="1796"/>
      <c r="Z113" s="1796"/>
      <c r="AA113" s="1796"/>
      <c r="AB113" s="1796"/>
      <c r="AC113" s="1796"/>
      <c r="AD113" s="1796"/>
      <c r="AE113" s="1796"/>
      <c r="AF113" s="1796"/>
      <c r="AG113" s="1796"/>
      <c r="AH113" s="1796"/>
      <c r="AI113" s="1796"/>
      <c r="AJ113" s="1796"/>
      <c r="AK113" s="1796"/>
      <c r="AL113" s="1796"/>
      <c r="AM113" s="1796"/>
      <c r="AN113" s="1796"/>
      <c r="AO113" s="1796"/>
      <c r="AP113" s="1796"/>
      <c r="AQ113" s="1796"/>
      <c r="AR113" s="1796"/>
      <c r="AS113" s="1796"/>
      <c r="AT113" s="1796"/>
      <c r="AU113" s="1796"/>
      <c r="AV113" s="1796"/>
      <c r="AW113" s="1796"/>
      <c r="AX113" s="1796"/>
      <c r="AY113" s="1796"/>
      <c r="AZ113" s="1796"/>
      <c r="BA113" s="1796"/>
      <c r="BB113" s="1796"/>
      <c r="BC113" s="1796"/>
      <c r="BD113" s="1796"/>
      <c r="BE113" s="1796"/>
      <c r="BF113" s="1796"/>
    </row>
    <row r="114" spans="3:58" x14ac:dyDescent="0.15">
      <c r="C114" s="1796"/>
      <c r="D114" s="1796"/>
      <c r="E114" s="1796"/>
      <c r="F114" s="1796"/>
      <c r="G114" s="1796"/>
      <c r="H114" s="1796"/>
      <c r="I114" s="1796"/>
      <c r="J114" s="1796"/>
      <c r="K114" s="1796"/>
      <c r="L114" s="1796"/>
      <c r="M114" s="1796"/>
      <c r="N114" s="1796"/>
      <c r="O114" s="1796"/>
      <c r="P114" s="1796"/>
      <c r="Q114" s="1796"/>
      <c r="R114" s="1796"/>
      <c r="S114" s="1796"/>
      <c r="T114" s="1796"/>
      <c r="U114" s="1796"/>
      <c r="V114" s="1796"/>
      <c r="W114" s="1796"/>
      <c r="X114" s="1796"/>
      <c r="Y114" s="1796"/>
      <c r="Z114" s="1796"/>
      <c r="AA114" s="1796"/>
      <c r="AB114" s="1796"/>
      <c r="AC114" s="1796"/>
      <c r="AD114" s="1796"/>
      <c r="AE114" s="1796"/>
      <c r="AF114" s="1796"/>
      <c r="AG114" s="1796"/>
      <c r="AH114" s="1796"/>
      <c r="AI114" s="1796"/>
      <c r="AJ114" s="1796"/>
      <c r="AK114" s="1796"/>
      <c r="AL114" s="1796"/>
      <c r="AM114" s="1796"/>
      <c r="AN114" s="1796"/>
      <c r="AO114" s="1796"/>
      <c r="AP114" s="1796"/>
      <c r="AQ114" s="1796"/>
      <c r="AR114" s="1796"/>
      <c r="AS114" s="1796"/>
      <c r="AT114" s="1796"/>
      <c r="AU114" s="1796"/>
      <c r="AV114" s="1796"/>
      <c r="AW114" s="1796"/>
      <c r="AX114" s="1796"/>
      <c r="AY114" s="1796"/>
      <c r="AZ114" s="1796"/>
      <c r="BA114" s="1796"/>
      <c r="BB114" s="1796"/>
      <c r="BC114" s="1796"/>
      <c r="BD114" s="1796"/>
      <c r="BE114" s="1796"/>
      <c r="BF114" s="1796"/>
    </row>
    <row r="115" spans="3:58" x14ac:dyDescent="0.15">
      <c r="C115" s="1796"/>
      <c r="D115" s="1796"/>
      <c r="E115" s="1796"/>
      <c r="F115" s="1796"/>
      <c r="G115" s="1796"/>
      <c r="H115" s="1796"/>
      <c r="I115" s="1796"/>
      <c r="J115" s="1796"/>
      <c r="K115" s="1796"/>
      <c r="L115" s="1796"/>
      <c r="M115" s="1796"/>
      <c r="N115" s="1796"/>
      <c r="O115" s="1796"/>
      <c r="P115" s="1796"/>
      <c r="Q115" s="1796"/>
      <c r="R115" s="1796"/>
      <c r="S115" s="1796"/>
      <c r="T115" s="1796"/>
      <c r="U115" s="1796"/>
      <c r="V115" s="1796"/>
      <c r="W115" s="1796"/>
      <c r="X115" s="1796"/>
      <c r="Y115" s="1796"/>
      <c r="Z115" s="1796"/>
      <c r="AA115" s="1796"/>
      <c r="AB115" s="1796"/>
      <c r="AC115" s="1796"/>
      <c r="AD115" s="1796"/>
      <c r="AE115" s="1796"/>
      <c r="AF115" s="1796"/>
      <c r="AG115" s="1796"/>
      <c r="AH115" s="1796"/>
      <c r="AI115" s="1796"/>
      <c r="AJ115" s="1796"/>
      <c r="AK115" s="1796"/>
      <c r="AL115" s="1796"/>
      <c r="AM115" s="1796"/>
      <c r="AN115" s="1796"/>
      <c r="AO115" s="1796"/>
      <c r="AP115" s="1796"/>
      <c r="AQ115" s="1796"/>
      <c r="AR115" s="1796"/>
      <c r="AS115" s="1796"/>
      <c r="AT115" s="1796"/>
      <c r="AU115" s="1796"/>
      <c r="AV115" s="1796"/>
      <c r="AW115" s="1796"/>
      <c r="AX115" s="1796"/>
      <c r="AY115" s="1796"/>
      <c r="AZ115" s="1796"/>
      <c r="BA115" s="1796"/>
      <c r="BB115" s="1796"/>
      <c r="BC115" s="1796"/>
      <c r="BD115" s="1796"/>
      <c r="BE115" s="1796"/>
      <c r="BF115" s="1796"/>
    </row>
    <row r="116" spans="3:58" x14ac:dyDescent="0.15">
      <c r="C116" s="1796"/>
      <c r="D116" s="1796"/>
      <c r="E116" s="1796"/>
      <c r="F116" s="1796"/>
      <c r="G116" s="1796"/>
      <c r="H116" s="1796"/>
      <c r="I116" s="1796"/>
      <c r="J116" s="1796"/>
      <c r="K116" s="1796"/>
      <c r="L116" s="1796"/>
      <c r="M116" s="1796"/>
      <c r="N116" s="1796"/>
      <c r="O116" s="1796"/>
      <c r="P116" s="1796"/>
      <c r="Q116" s="1796"/>
      <c r="R116" s="1796"/>
      <c r="S116" s="1796"/>
      <c r="T116" s="1796"/>
      <c r="U116" s="1796"/>
      <c r="V116" s="1796"/>
      <c r="W116" s="1796"/>
      <c r="X116" s="1796"/>
      <c r="Y116" s="1796"/>
      <c r="Z116" s="1796"/>
      <c r="AA116" s="1796"/>
      <c r="AB116" s="1796"/>
      <c r="AC116" s="1796"/>
      <c r="AD116" s="1796"/>
      <c r="AE116" s="1796"/>
      <c r="AF116" s="1796"/>
      <c r="AG116" s="1796"/>
      <c r="AH116" s="1796"/>
      <c r="AI116" s="1796"/>
      <c r="AJ116" s="1796"/>
      <c r="AK116" s="1796"/>
      <c r="AL116" s="1796"/>
      <c r="AM116" s="1796"/>
      <c r="AN116" s="1796"/>
      <c r="AO116" s="1796"/>
      <c r="AP116" s="1796"/>
      <c r="AQ116" s="1796"/>
      <c r="AR116" s="1796"/>
      <c r="AS116" s="1796"/>
      <c r="AT116" s="1796"/>
      <c r="AU116" s="1796"/>
      <c r="AV116" s="1796"/>
      <c r="AW116" s="1796"/>
      <c r="AX116" s="1796"/>
      <c r="AY116" s="1796"/>
      <c r="AZ116" s="1796"/>
      <c r="BA116" s="1796"/>
      <c r="BB116" s="1796"/>
      <c r="BC116" s="1796"/>
      <c r="BD116" s="1796"/>
      <c r="BE116" s="1796"/>
      <c r="BF116" s="1796"/>
    </row>
    <row r="117" spans="3:58" x14ac:dyDescent="0.15">
      <c r="C117" s="1796"/>
      <c r="D117" s="1796"/>
      <c r="E117" s="1796"/>
      <c r="F117" s="1796"/>
      <c r="G117" s="1796"/>
      <c r="H117" s="1796"/>
      <c r="I117" s="1796"/>
      <c r="J117" s="1796"/>
      <c r="K117" s="1796"/>
      <c r="L117" s="1796"/>
      <c r="M117" s="1796"/>
      <c r="N117" s="1796"/>
      <c r="O117" s="1796"/>
      <c r="P117" s="1796"/>
      <c r="Q117" s="1796"/>
      <c r="R117" s="1796"/>
      <c r="S117" s="1796"/>
      <c r="T117" s="1796"/>
      <c r="U117" s="1796"/>
      <c r="V117" s="1796"/>
      <c r="W117" s="1796"/>
      <c r="X117" s="1796"/>
      <c r="Y117" s="1796"/>
      <c r="Z117" s="1796"/>
      <c r="AA117" s="1796"/>
      <c r="AB117" s="1796"/>
      <c r="AC117" s="1796"/>
      <c r="AD117" s="1796"/>
      <c r="AE117" s="1796"/>
      <c r="AF117" s="1796"/>
      <c r="AG117" s="1796"/>
      <c r="AH117" s="1796"/>
      <c r="AI117" s="1796"/>
      <c r="AJ117" s="1796"/>
      <c r="AK117" s="1796"/>
      <c r="AL117" s="1796"/>
      <c r="AM117" s="1796"/>
      <c r="AN117" s="1796"/>
      <c r="AO117" s="1796"/>
      <c r="AP117" s="1796"/>
      <c r="AQ117" s="1796"/>
      <c r="AR117" s="1796"/>
      <c r="AS117" s="1796"/>
      <c r="AT117" s="1796"/>
      <c r="AU117" s="1796"/>
      <c r="AV117" s="1796"/>
      <c r="AW117" s="1796"/>
      <c r="AX117" s="1796"/>
      <c r="AY117" s="1796"/>
      <c r="AZ117" s="1796"/>
      <c r="BA117" s="1796"/>
      <c r="BB117" s="1796"/>
      <c r="BC117" s="1796"/>
      <c r="BD117" s="1796"/>
      <c r="BE117" s="1796"/>
      <c r="BF117" s="1796"/>
    </row>
    <row r="118" spans="3:58" x14ac:dyDescent="0.15">
      <c r="C118" s="1796"/>
      <c r="D118" s="1796"/>
      <c r="E118" s="1796"/>
      <c r="F118" s="1796"/>
      <c r="G118" s="1796"/>
      <c r="H118" s="1796"/>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F118" s="1796"/>
      <c r="AG118" s="1796"/>
      <c r="AH118" s="1796"/>
      <c r="AI118" s="1796"/>
      <c r="AJ118" s="1796"/>
      <c r="AK118" s="1796"/>
      <c r="AL118" s="1796"/>
      <c r="AM118" s="1796"/>
      <c r="AN118" s="1796"/>
      <c r="AO118" s="1796"/>
      <c r="AP118" s="1796"/>
      <c r="AQ118" s="1796"/>
      <c r="AR118" s="1796"/>
      <c r="AS118" s="1796"/>
      <c r="AT118" s="1796"/>
      <c r="AU118" s="1796"/>
      <c r="AV118" s="1796"/>
      <c r="AW118" s="1796"/>
      <c r="AX118" s="1796"/>
      <c r="AY118" s="1796"/>
      <c r="AZ118" s="1796"/>
      <c r="BA118" s="1796"/>
      <c r="BB118" s="1796"/>
      <c r="BC118" s="1796"/>
      <c r="BD118" s="1796"/>
      <c r="BE118" s="1796"/>
      <c r="BF118" s="1796"/>
    </row>
    <row r="119" spans="3:58" x14ac:dyDescent="0.15">
      <c r="C119" s="1796"/>
      <c r="D119" s="1796"/>
      <c r="E119" s="1796"/>
      <c r="F119" s="1796"/>
      <c r="G119" s="1796"/>
      <c r="H119" s="1796"/>
      <c r="I119" s="1796"/>
      <c r="J119" s="1796"/>
      <c r="K119" s="1796"/>
      <c r="L119" s="1796"/>
      <c r="M119" s="1796"/>
      <c r="N119" s="1796"/>
      <c r="O119" s="1796"/>
      <c r="P119" s="1796"/>
      <c r="Q119" s="1796"/>
      <c r="R119" s="1796"/>
      <c r="S119" s="1796"/>
      <c r="T119" s="1796"/>
      <c r="U119" s="1796"/>
      <c r="V119" s="1796"/>
      <c r="W119" s="1796"/>
      <c r="X119" s="1796"/>
      <c r="Y119" s="1796"/>
      <c r="Z119" s="1796"/>
      <c r="AA119" s="1796"/>
      <c r="AB119" s="1796"/>
      <c r="AC119" s="1796"/>
      <c r="AD119" s="1796"/>
      <c r="AE119" s="1796"/>
      <c r="AF119" s="1796"/>
      <c r="AG119" s="1796"/>
      <c r="AH119" s="1796"/>
      <c r="AI119" s="1796"/>
      <c r="AJ119" s="1796"/>
      <c r="AK119" s="1796"/>
      <c r="AL119" s="1796"/>
      <c r="AM119" s="1796"/>
      <c r="AN119" s="1796"/>
      <c r="AO119" s="1796"/>
      <c r="AP119" s="1796"/>
      <c r="AQ119" s="1796"/>
      <c r="AR119" s="1796"/>
      <c r="AS119" s="1796"/>
      <c r="AT119" s="1796"/>
      <c r="AU119" s="1796"/>
      <c r="AV119" s="1796"/>
      <c r="AW119" s="1796"/>
      <c r="AX119" s="1796"/>
      <c r="AY119" s="1796"/>
      <c r="AZ119" s="1796"/>
      <c r="BA119" s="1796"/>
      <c r="BB119" s="1796"/>
      <c r="BC119" s="1796"/>
      <c r="BD119" s="1796"/>
      <c r="BE119" s="1796"/>
      <c r="BF119" s="1796"/>
    </row>
    <row r="120" spans="3:58" x14ac:dyDescent="0.15">
      <c r="C120" s="1796"/>
      <c r="D120" s="1796"/>
      <c r="E120" s="1796"/>
      <c r="F120" s="1796"/>
      <c r="G120" s="1796"/>
      <c r="H120" s="1796"/>
      <c r="I120" s="1796"/>
      <c r="J120" s="1796"/>
      <c r="K120" s="1796"/>
      <c r="L120" s="1796"/>
      <c r="M120" s="1796"/>
      <c r="N120" s="1796"/>
      <c r="O120" s="1796"/>
      <c r="P120" s="1796"/>
      <c r="Q120" s="1796"/>
      <c r="R120" s="1796"/>
      <c r="S120" s="1796"/>
      <c r="T120" s="1796"/>
      <c r="U120" s="1796"/>
      <c r="V120" s="1796"/>
      <c r="W120" s="1796"/>
      <c r="X120" s="1796"/>
      <c r="Y120" s="1796"/>
      <c r="Z120" s="1796"/>
      <c r="AA120" s="1796"/>
      <c r="AB120" s="1796"/>
      <c r="AC120" s="1796"/>
      <c r="AD120" s="1796"/>
      <c r="AE120" s="1796"/>
      <c r="AF120" s="1796"/>
      <c r="AG120" s="1796"/>
      <c r="AH120" s="1796"/>
      <c r="AI120" s="1796"/>
      <c r="AJ120" s="1796"/>
      <c r="AK120" s="1796"/>
      <c r="AL120" s="1796"/>
      <c r="AM120" s="1796"/>
      <c r="AN120" s="1796"/>
      <c r="AO120" s="1796"/>
      <c r="AP120" s="1796"/>
      <c r="AQ120" s="1796"/>
      <c r="AR120" s="1796"/>
      <c r="AS120" s="1796"/>
      <c r="AT120" s="1796"/>
      <c r="AU120" s="1796"/>
      <c r="AV120" s="1796"/>
      <c r="AW120" s="1796"/>
      <c r="AX120" s="1796"/>
      <c r="AY120" s="1796"/>
      <c r="AZ120" s="1796"/>
      <c r="BA120" s="1796"/>
      <c r="BB120" s="1796"/>
      <c r="BC120" s="1796"/>
      <c r="BD120" s="1796"/>
      <c r="BE120" s="1796"/>
      <c r="BF120" s="1796"/>
    </row>
    <row r="121" spans="3:58" x14ac:dyDescent="0.15">
      <c r="C121" s="1796"/>
      <c r="D121" s="1796"/>
      <c r="E121" s="1796"/>
      <c r="F121" s="1796"/>
      <c r="G121" s="1796"/>
      <c r="H121" s="1796"/>
      <c r="I121" s="1796"/>
      <c r="J121" s="1796"/>
      <c r="K121" s="1796"/>
      <c r="L121" s="1796"/>
      <c r="M121" s="1796"/>
      <c r="N121" s="1796"/>
      <c r="O121" s="1796"/>
      <c r="P121" s="1796"/>
      <c r="Q121" s="1796"/>
      <c r="R121" s="1796"/>
      <c r="S121" s="1796"/>
      <c r="T121" s="1796"/>
      <c r="U121" s="1796"/>
      <c r="V121" s="1796"/>
      <c r="W121" s="1796"/>
      <c r="X121" s="1796"/>
      <c r="Y121" s="1796"/>
      <c r="Z121" s="1796"/>
      <c r="AA121" s="1796"/>
      <c r="AB121" s="1796"/>
      <c r="AC121" s="1796"/>
      <c r="AD121" s="1796"/>
      <c r="AE121" s="1796"/>
      <c r="AF121" s="1796"/>
      <c r="AG121" s="1796"/>
      <c r="AH121" s="1796"/>
      <c r="AI121" s="1796"/>
      <c r="AJ121" s="1796"/>
      <c r="AK121" s="1796"/>
      <c r="AL121" s="1796"/>
      <c r="AM121" s="1796"/>
      <c r="AN121" s="1796"/>
      <c r="AO121" s="1796"/>
      <c r="AP121" s="1796"/>
      <c r="AQ121" s="1796"/>
      <c r="AR121" s="1796"/>
      <c r="AS121" s="1796"/>
      <c r="AT121" s="1796"/>
      <c r="AU121" s="1796"/>
      <c r="AV121" s="1796"/>
      <c r="AW121" s="1796"/>
      <c r="AX121" s="1796"/>
      <c r="AY121" s="1796"/>
      <c r="AZ121" s="1796"/>
      <c r="BA121" s="1796"/>
      <c r="BB121" s="1796"/>
      <c r="BC121" s="1796"/>
      <c r="BD121" s="1796"/>
      <c r="BE121" s="1796"/>
      <c r="BF121" s="1796"/>
    </row>
    <row r="122" spans="3:58" x14ac:dyDescent="0.15">
      <c r="C122" s="1796"/>
      <c r="D122" s="1796"/>
      <c r="E122" s="1796"/>
      <c r="F122" s="1796"/>
      <c r="G122" s="1796"/>
      <c r="H122" s="1796"/>
      <c r="I122" s="1796"/>
      <c r="J122" s="1796"/>
      <c r="K122" s="1796"/>
      <c r="L122" s="1796"/>
      <c r="M122" s="1796"/>
      <c r="N122" s="1796"/>
      <c r="O122" s="1796"/>
      <c r="P122" s="1796"/>
      <c r="Q122" s="1796"/>
      <c r="R122" s="1796"/>
      <c r="S122" s="1796"/>
      <c r="T122" s="1796"/>
      <c r="U122" s="1796"/>
      <c r="V122" s="1796"/>
      <c r="W122" s="1796"/>
      <c r="X122" s="1796"/>
      <c r="Y122" s="1796"/>
      <c r="Z122" s="1796"/>
      <c r="AA122" s="1796"/>
      <c r="AB122" s="1796"/>
      <c r="AC122" s="1796"/>
      <c r="AD122" s="1796"/>
      <c r="AE122" s="1796"/>
      <c r="AF122" s="1796"/>
      <c r="AG122" s="1796"/>
      <c r="AH122" s="1796"/>
      <c r="AI122" s="1796"/>
      <c r="AJ122" s="1796"/>
      <c r="AK122" s="1796"/>
      <c r="AL122" s="1796"/>
      <c r="AM122" s="1796"/>
      <c r="AN122" s="1796"/>
      <c r="AO122" s="1796"/>
      <c r="AP122" s="1796"/>
      <c r="AQ122" s="1796"/>
      <c r="AR122" s="1796"/>
      <c r="AS122" s="1796"/>
      <c r="AT122" s="1796"/>
      <c r="AU122" s="1796"/>
      <c r="AV122" s="1796"/>
      <c r="AW122" s="1796"/>
      <c r="AX122" s="1796"/>
      <c r="AY122" s="1796"/>
      <c r="AZ122" s="1796"/>
      <c r="BA122" s="1796"/>
      <c r="BB122" s="1796"/>
      <c r="BC122" s="1796"/>
      <c r="BD122" s="1796"/>
      <c r="BE122" s="1796"/>
      <c r="BF122" s="1796"/>
    </row>
    <row r="123" spans="3:58" x14ac:dyDescent="0.15">
      <c r="C123" s="1796"/>
      <c r="D123" s="1796"/>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1796"/>
      <c r="AI123" s="1796"/>
      <c r="AJ123" s="1796"/>
      <c r="AK123" s="1796"/>
      <c r="AL123" s="1796"/>
      <c r="AM123" s="1796"/>
      <c r="AN123" s="1796"/>
      <c r="AO123" s="1796"/>
      <c r="AP123" s="1796"/>
      <c r="AQ123" s="1796"/>
      <c r="AR123" s="1796"/>
      <c r="AS123" s="1796"/>
      <c r="AT123" s="1796"/>
      <c r="AU123" s="1796"/>
      <c r="AV123" s="1796"/>
      <c r="AW123" s="1796"/>
      <c r="AX123" s="1796"/>
      <c r="AY123" s="1796"/>
      <c r="AZ123" s="1796"/>
      <c r="BA123" s="1796"/>
      <c r="BB123" s="1796"/>
      <c r="BC123" s="1796"/>
      <c r="BD123" s="1796"/>
      <c r="BE123" s="1796"/>
      <c r="BF123" s="1796"/>
    </row>
    <row r="124" spans="3:58" x14ac:dyDescent="0.15">
      <c r="C124" s="1796"/>
      <c r="D124" s="1796"/>
      <c r="E124" s="1796"/>
      <c r="F124" s="1796"/>
      <c r="G124" s="1796"/>
      <c r="H124" s="1796"/>
      <c r="I124" s="1796"/>
      <c r="J124" s="1796"/>
      <c r="K124" s="1796"/>
      <c r="L124" s="1796"/>
      <c r="M124" s="1796"/>
      <c r="N124" s="1796"/>
      <c r="O124" s="1796"/>
      <c r="P124" s="1796"/>
      <c r="Q124" s="1796"/>
      <c r="R124" s="1796"/>
      <c r="S124" s="1796"/>
      <c r="T124" s="1796"/>
      <c r="U124" s="1796"/>
      <c r="V124" s="1796"/>
      <c r="W124" s="1796"/>
      <c r="X124" s="1796"/>
      <c r="Y124" s="1796"/>
      <c r="Z124" s="1796"/>
      <c r="AA124" s="1796"/>
      <c r="AB124" s="1796"/>
      <c r="AC124" s="1796"/>
      <c r="AD124" s="1796"/>
      <c r="AE124" s="1796"/>
      <c r="AF124" s="1796"/>
      <c r="AG124" s="1796"/>
      <c r="AH124" s="1796"/>
      <c r="AI124" s="1796"/>
      <c r="AJ124" s="1796"/>
      <c r="AK124" s="1796"/>
      <c r="AL124" s="1796"/>
      <c r="AM124" s="1796"/>
      <c r="AN124" s="1796"/>
      <c r="AO124" s="1796"/>
      <c r="AP124" s="1796"/>
      <c r="AQ124" s="1796"/>
      <c r="AR124" s="1796"/>
      <c r="AS124" s="1796"/>
      <c r="AT124" s="1796"/>
      <c r="AU124" s="1796"/>
      <c r="AV124" s="1796"/>
      <c r="AW124" s="1796"/>
      <c r="AX124" s="1796"/>
      <c r="AY124" s="1796"/>
      <c r="AZ124" s="1796"/>
      <c r="BA124" s="1796"/>
      <c r="BB124" s="1796"/>
      <c r="BC124" s="1796"/>
      <c r="BD124" s="1796"/>
      <c r="BE124" s="1796"/>
      <c r="BF124" s="1796"/>
    </row>
    <row r="125" spans="3:58" x14ac:dyDescent="0.15">
      <c r="C125" s="1796"/>
      <c r="D125" s="1796"/>
      <c r="E125" s="1796"/>
      <c r="F125" s="1796"/>
      <c r="G125" s="1796"/>
      <c r="H125" s="1796"/>
      <c r="I125" s="1796"/>
      <c r="J125" s="1796"/>
      <c r="K125" s="1796"/>
      <c r="L125" s="1796"/>
      <c r="M125" s="1796"/>
      <c r="N125" s="1796"/>
      <c r="O125" s="1796"/>
      <c r="P125" s="1796"/>
      <c r="Q125" s="1796"/>
      <c r="R125" s="1796"/>
      <c r="S125" s="1796"/>
      <c r="T125" s="1796"/>
      <c r="U125" s="1796"/>
      <c r="V125" s="1796"/>
      <c r="W125" s="1796"/>
      <c r="X125" s="1796"/>
      <c r="Y125" s="1796"/>
      <c r="Z125" s="1796"/>
      <c r="AA125" s="1796"/>
      <c r="AB125" s="1796"/>
      <c r="AC125" s="1796"/>
      <c r="AD125" s="1796"/>
      <c r="AE125" s="1796"/>
      <c r="AF125" s="1796"/>
      <c r="AG125" s="1796"/>
      <c r="AH125" s="1796"/>
      <c r="AI125" s="1796"/>
      <c r="AJ125" s="1796"/>
      <c r="AK125" s="1796"/>
      <c r="AL125" s="1796"/>
      <c r="AM125" s="1796"/>
      <c r="AN125" s="1796"/>
      <c r="AO125" s="1796"/>
      <c r="AP125" s="1796"/>
      <c r="AQ125" s="1796"/>
      <c r="AR125" s="1796"/>
      <c r="AS125" s="1796"/>
      <c r="AT125" s="1796"/>
      <c r="AU125" s="1796"/>
      <c r="AV125" s="1796"/>
      <c r="AW125" s="1796"/>
      <c r="AX125" s="1796"/>
      <c r="AY125" s="1796"/>
      <c r="AZ125" s="1796"/>
      <c r="BA125" s="1796"/>
      <c r="BB125" s="1796"/>
      <c r="BC125" s="1796"/>
      <c r="BD125" s="1796"/>
      <c r="BE125" s="1796"/>
      <c r="BF125" s="1796"/>
    </row>
    <row r="126" spans="3:58" x14ac:dyDescent="0.15">
      <c r="C126" s="1796"/>
      <c r="D126" s="1796"/>
      <c r="E126" s="1796"/>
      <c r="F126" s="1796"/>
      <c r="G126" s="1796"/>
      <c r="H126" s="1796"/>
      <c r="I126" s="1796"/>
      <c r="J126" s="1796"/>
      <c r="K126" s="1796"/>
      <c r="L126" s="1796"/>
      <c r="M126" s="1796"/>
      <c r="N126" s="1796"/>
      <c r="O126" s="1796"/>
      <c r="P126" s="1796"/>
      <c r="Q126" s="1796"/>
      <c r="R126" s="1796"/>
      <c r="S126" s="1796"/>
      <c r="T126" s="1796"/>
      <c r="U126" s="1796"/>
      <c r="V126" s="1796"/>
      <c r="W126" s="1796"/>
      <c r="X126" s="1796"/>
      <c r="Y126" s="1796"/>
      <c r="Z126" s="1796"/>
      <c r="AA126" s="1796"/>
      <c r="AB126" s="1796"/>
      <c r="AC126" s="1796"/>
      <c r="AD126" s="1796"/>
      <c r="AE126" s="1796"/>
      <c r="AF126" s="1796"/>
      <c r="AG126" s="1796"/>
      <c r="AH126" s="1796"/>
      <c r="AI126" s="1796"/>
      <c r="AJ126" s="1796"/>
      <c r="AK126" s="1796"/>
      <c r="AL126" s="1796"/>
      <c r="AM126" s="1796"/>
      <c r="AN126" s="1796"/>
      <c r="AO126" s="1796"/>
      <c r="AP126" s="1796"/>
      <c r="AQ126" s="1796"/>
      <c r="AR126" s="1796"/>
      <c r="AS126" s="1796"/>
      <c r="AT126" s="1796"/>
      <c r="AU126" s="1796"/>
      <c r="AV126" s="1796"/>
      <c r="AW126" s="1796"/>
      <c r="AX126" s="1796"/>
      <c r="AY126" s="1796"/>
      <c r="AZ126" s="1796"/>
      <c r="BA126" s="1796"/>
      <c r="BB126" s="1796"/>
      <c r="BC126" s="1796"/>
      <c r="BD126" s="1796"/>
      <c r="BE126" s="1796"/>
      <c r="BF126" s="1796"/>
    </row>
    <row r="127" spans="3:58" x14ac:dyDescent="0.15">
      <c r="C127" s="1796"/>
      <c r="D127" s="1796"/>
      <c r="E127" s="1796"/>
      <c r="F127" s="1796"/>
      <c r="G127" s="1796"/>
      <c r="H127" s="1796"/>
      <c r="I127" s="1796"/>
      <c r="J127" s="1796"/>
      <c r="K127" s="1796"/>
      <c r="L127" s="1796"/>
      <c r="M127" s="1796"/>
      <c r="N127" s="1796"/>
      <c r="O127" s="1796"/>
      <c r="P127" s="1796"/>
      <c r="Q127" s="1796"/>
      <c r="R127" s="1796"/>
      <c r="S127" s="1796"/>
      <c r="T127" s="1796"/>
      <c r="U127" s="1796"/>
      <c r="V127" s="1796"/>
      <c r="W127" s="1796"/>
      <c r="X127" s="1796"/>
      <c r="Y127" s="1796"/>
      <c r="Z127" s="1796"/>
      <c r="AA127" s="1796"/>
      <c r="AB127" s="1796"/>
      <c r="AC127" s="1796"/>
      <c r="AD127" s="1796"/>
      <c r="AE127" s="1796"/>
      <c r="AF127" s="1796"/>
      <c r="AG127" s="1796"/>
      <c r="AH127" s="1796"/>
      <c r="AI127" s="1796"/>
      <c r="AJ127" s="1796"/>
      <c r="AK127" s="1796"/>
      <c r="AL127" s="1796"/>
      <c r="AM127" s="1796"/>
      <c r="AN127" s="1796"/>
      <c r="AO127" s="1796"/>
      <c r="AP127" s="1796"/>
      <c r="AQ127" s="1796"/>
      <c r="AR127" s="1796"/>
      <c r="AS127" s="1796"/>
      <c r="AT127" s="1796"/>
      <c r="AU127" s="1796"/>
      <c r="AV127" s="1796"/>
      <c r="AW127" s="1796"/>
      <c r="AX127" s="1796"/>
      <c r="AY127" s="1796"/>
      <c r="AZ127" s="1796"/>
      <c r="BA127" s="1796"/>
      <c r="BB127" s="1796"/>
      <c r="BC127" s="1796"/>
      <c r="BD127" s="1796"/>
      <c r="BE127" s="1796"/>
      <c r="BF127" s="1796"/>
    </row>
    <row r="128" spans="3:58" x14ac:dyDescent="0.15">
      <c r="C128" s="1796"/>
      <c r="D128" s="1796"/>
      <c r="E128" s="1796"/>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E128" s="1796"/>
      <c r="AF128" s="1796"/>
      <c r="AG128" s="1796"/>
      <c r="AH128" s="1796"/>
      <c r="AI128" s="1796"/>
      <c r="AJ128" s="1796"/>
      <c r="AK128" s="1796"/>
      <c r="AL128" s="1796"/>
      <c r="AM128" s="1796"/>
      <c r="AN128" s="1796"/>
      <c r="AO128" s="1796"/>
      <c r="AP128" s="1796"/>
      <c r="AQ128" s="1796"/>
      <c r="AR128" s="1796"/>
      <c r="AS128" s="1796"/>
      <c r="AT128" s="1796"/>
      <c r="AU128" s="1796"/>
      <c r="AV128" s="1796"/>
      <c r="AW128" s="1796"/>
      <c r="AX128" s="1796"/>
      <c r="AY128" s="1796"/>
      <c r="AZ128" s="1796"/>
      <c r="BA128" s="1796"/>
      <c r="BB128" s="1796"/>
      <c r="BC128" s="1796"/>
      <c r="BD128" s="1796"/>
      <c r="BE128" s="1796"/>
      <c r="BF128" s="1796"/>
    </row>
    <row r="129" spans="3:58" x14ac:dyDescent="0.15">
      <c r="C129" s="1796"/>
      <c r="D129" s="179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E129" s="1796"/>
      <c r="AF129" s="1796"/>
      <c r="AG129" s="1796"/>
      <c r="AH129" s="1796"/>
      <c r="AI129" s="1796"/>
      <c r="AJ129" s="1796"/>
      <c r="AK129" s="1796"/>
      <c r="AL129" s="1796"/>
      <c r="AM129" s="1796"/>
      <c r="AN129" s="1796"/>
      <c r="AO129" s="1796"/>
      <c r="AP129" s="1796"/>
      <c r="AQ129" s="1796"/>
      <c r="AR129" s="1796"/>
      <c r="AS129" s="1796"/>
      <c r="AT129" s="1796"/>
      <c r="AU129" s="1796"/>
      <c r="AV129" s="1796"/>
      <c r="AW129" s="1796"/>
      <c r="AX129" s="1796"/>
      <c r="AY129" s="1796"/>
      <c r="AZ129" s="1796"/>
      <c r="BA129" s="1796"/>
      <c r="BB129" s="1796"/>
      <c r="BC129" s="1796"/>
      <c r="BD129" s="1796"/>
      <c r="BE129" s="1796"/>
      <c r="BF129" s="1796"/>
    </row>
    <row r="130" spans="3:58" x14ac:dyDescent="0.15">
      <c r="C130" s="1796"/>
      <c r="D130" s="179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E130" s="1796"/>
      <c r="AF130" s="1796"/>
      <c r="AG130" s="1796"/>
      <c r="AH130" s="1796"/>
      <c r="AI130" s="1796"/>
      <c r="AJ130" s="1796"/>
      <c r="AK130" s="1796"/>
      <c r="AL130" s="1796"/>
      <c r="AM130" s="1796"/>
      <c r="AN130" s="1796"/>
      <c r="AO130" s="1796"/>
      <c r="AP130" s="1796"/>
      <c r="AQ130" s="1796"/>
      <c r="AR130" s="1796"/>
      <c r="AS130" s="1796"/>
      <c r="AT130" s="1796"/>
      <c r="AU130" s="1796"/>
      <c r="AV130" s="1796"/>
      <c r="AW130" s="1796"/>
      <c r="AX130" s="1796"/>
      <c r="AY130" s="1796"/>
      <c r="AZ130" s="1796"/>
      <c r="BA130" s="1796"/>
      <c r="BB130" s="1796"/>
      <c r="BC130" s="1796"/>
      <c r="BD130" s="1796"/>
      <c r="BE130" s="1796"/>
      <c r="BF130" s="1796"/>
    </row>
    <row r="131" spans="3:58" x14ac:dyDescent="0.15">
      <c r="C131" s="1796"/>
      <c r="D131" s="179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796"/>
      <c r="AF131" s="1796"/>
      <c r="AG131" s="1796"/>
      <c r="AH131" s="1796"/>
      <c r="AI131" s="1796"/>
      <c r="AJ131" s="1796"/>
      <c r="AK131" s="1796"/>
      <c r="AL131" s="1796"/>
      <c r="AM131" s="1796"/>
      <c r="AN131" s="1796"/>
      <c r="AO131" s="1796"/>
      <c r="AP131" s="1796"/>
      <c r="AQ131" s="1796"/>
      <c r="AR131" s="1796"/>
      <c r="AS131" s="1796"/>
      <c r="AT131" s="1796"/>
      <c r="AU131" s="1796"/>
      <c r="AV131" s="1796"/>
      <c r="AW131" s="1796"/>
      <c r="AX131" s="1796"/>
      <c r="AY131" s="1796"/>
      <c r="AZ131" s="1796"/>
      <c r="BA131" s="1796"/>
      <c r="BB131" s="1796"/>
      <c r="BC131" s="1796"/>
      <c r="BD131" s="1796"/>
      <c r="BE131" s="1796"/>
      <c r="BF131" s="1796"/>
    </row>
    <row r="132" spans="3:58" x14ac:dyDescent="0.15">
      <c r="C132" s="1796"/>
      <c r="D132" s="179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796"/>
      <c r="AF132" s="1796"/>
      <c r="AG132" s="1796"/>
      <c r="AH132" s="1796"/>
      <c r="AI132" s="1796"/>
      <c r="AJ132" s="1796"/>
      <c r="AK132" s="1796"/>
      <c r="AL132" s="1796"/>
      <c r="AM132" s="1796"/>
      <c r="AN132" s="1796"/>
      <c r="AO132" s="1796"/>
      <c r="AP132" s="1796"/>
      <c r="AQ132" s="1796"/>
      <c r="AR132" s="1796"/>
      <c r="AS132" s="1796"/>
      <c r="AT132" s="1796"/>
      <c r="AU132" s="1796"/>
      <c r="AV132" s="1796"/>
      <c r="AW132" s="1796"/>
      <c r="AX132" s="1796"/>
      <c r="AY132" s="1796"/>
      <c r="AZ132" s="1796"/>
      <c r="BA132" s="1796"/>
      <c r="BB132" s="1796"/>
      <c r="BC132" s="1796"/>
      <c r="BD132" s="1796"/>
      <c r="BE132" s="1796"/>
      <c r="BF132" s="1796"/>
    </row>
  </sheetData>
  <sheetProtection password="C613" sheet="1" objects="1" scenarios="1"/>
  <mergeCells count="118">
    <mergeCell ref="B2:BG3"/>
    <mergeCell ref="AR16:BD18"/>
    <mergeCell ref="C21:BF24"/>
    <mergeCell ref="C127:BF127"/>
    <mergeCell ref="C128:BF128"/>
    <mergeCell ref="C129:BF129"/>
    <mergeCell ref="C130:BF130"/>
    <mergeCell ref="C131:BF131"/>
    <mergeCell ref="C109:BF109"/>
    <mergeCell ref="C110:BF110"/>
    <mergeCell ref="C111:BF111"/>
    <mergeCell ref="C112:BF112"/>
    <mergeCell ref="C113:BF113"/>
    <mergeCell ref="C114:BF114"/>
    <mergeCell ref="C103:BF103"/>
    <mergeCell ref="C104:BF104"/>
    <mergeCell ref="C105:BF105"/>
    <mergeCell ref="C106:BF106"/>
    <mergeCell ref="C107:BF107"/>
    <mergeCell ref="C108:BF108"/>
    <mergeCell ref="C97:BF97"/>
    <mergeCell ref="C98:BF98"/>
    <mergeCell ref="C99:BF99"/>
    <mergeCell ref="C100:BF100"/>
    <mergeCell ref="C132:BF132"/>
    <mergeCell ref="C121:BF121"/>
    <mergeCell ref="C122:BF122"/>
    <mergeCell ref="C123:BF123"/>
    <mergeCell ref="C124:BF124"/>
    <mergeCell ref="C125:BF125"/>
    <mergeCell ref="C126:BF126"/>
    <mergeCell ref="C115:BF115"/>
    <mergeCell ref="C116:BF116"/>
    <mergeCell ref="C117:BF117"/>
    <mergeCell ref="C118:BF118"/>
    <mergeCell ref="C119:BF119"/>
    <mergeCell ref="C120:BF120"/>
    <mergeCell ref="C101:BF101"/>
    <mergeCell ref="C102:BF102"/>
    <mergeCell ref="C91:BF91"/>
    <mergeCell ref="C92:BF92"/>
    <mergeCell ref="C93:BF93"/>
    <mergeCell ref="C94:BF94"/>
    <mergeCell ref="C95:BF95"/>
    <mergeCell ref="C96:BF96"/>
    <mergeCell ref="C85:BF85"/>
    <mergeCell ref="C86:BF86"/>
    <mergeCell ref="C87:BF87"/>
    <mergeCell ref="C88:BF88"/>
    <mergeCell ref="C89:BF89"/>
    <mergeCell ref="C90:BF90"/>
    <mergeCell ref="C79:BF79"/>
    <mergeCell ref="C80:BF80"/>
    <mergeCell ref="C81:BF81"/>
    <mergeCell ref="C82:BF82"/>
    <mergeCell ref="C83:BF83"/>
    <mergeCell ref="C84:BF84"/>
    <mergeCell ref="C73:BF73"/>
    <mergeCell ref="C74:BF74"/>
    <mergeCell ref="C75:BF75"/>
    <mergeCell ref="C76:BF76"/>
    <mergeCell ref="C77:BF77"/>
    <mergeCell ref="C78:BF78"/>
    <mergeCell ref="C67:BF67"/>
    <mergeCell ref="C68:BF68"/>
    <mergeCell ref="C69:BF69"/>
    <mergeCell ref="C70:BF70"/>
    <mergeCell ref="C71:BF71"/>
    <mergeCell ref="C72:BF72"/>
    <mergeCell ref="C61:BF61"/>
    <mergeCell ref="C62:BF62"/>
    <mergeCell ref="C63:BF63"/>
    <mergeCell ref="C64:BF64"/>
    <mergeCell ref="C65:BF65"/>
    <mergeCell ref="C66:BF66"/>
    <mergeCell ref="C55:BF55"/>
    <mergeCell ref="C56:BF56"/>
    <mergeCell ref="C57:BF57"/>
    <mergeCell ref="C58:BF58"/>
    <mergeCell ref="C59:BF59"/>
    <mergeCell ref="C60:BF60"/>
    <mergeCell ref="C49:BF49"/>
    <mergeCell ref="C50:BF50"/>
    <mergeCell ref="C51:BF51"/>
    <mergeCell ref="C52:BF52"/>
    <mergeCell ref="C53:BF53"/>
    <mergeCell ref="C54:BF54"/>
    <mergeCell ref="N44:X44"/>
    <mergeCell ref="AN44:AX44"/>
    <mergeCell ref="J47:AB47"/>
    <mergeCell ref="AJ47:BB47"/>
    <mergeCell ref="N48:X48"/>
    <mergeCell ref="AN48:AX48"/>
    <mergeCell ref="J39:AB39"/>
    <mergeCell ref="AJ39:BB39"/>
    <mergeCell ref="N40:X40"/>
    <mergeCell ref="AN40:AX40"/>
    <mergeCell ref="J43:AB43"/>
    <mergeCell ref="AJ43:BB43"/>
    <mergeCell ref="AM29:BD29"/>
    <mergeCell ref="AO30:BB30"/>
    <mergeCell ref="J35:AB35"/>
    <mergeCell ref="AJ35:BB35"/>
    <mergeCell ref="N36:X36"/>
    <mergeCell ref="AN36:AX36"/>
    <mergeCell ref="Q5:AN5"/>
    <mergeCell ref="C26:BF26"/>
    <mergeCell ref="H27:T27"/>
    <mergeCell ref="B19:BG19"/>
    <mergeCell ref="P18:S18"/>
    <mergeCell ref="Q7:AO7"/>
    <mergeCell ref="B10:BG10"/>
    <mergeCell ref="C12:BF12"/>
    <mergeCell ref="C15:T15"/>
    <mergeCell ref="X15:AN15"/>
    <mergeCell ref="AR15:BD15"/>
    <mergeCell ref="P8:AP8"/>
    <mergeCell ref="F27:G27"/>
  </mergeCells>
  <pageMargins left="0" right="0" top="0" bottom="0" header="0" footer="0"/>
  <pageSetup paperSize="9" scale="53" orientation="portrait" r:id="rId1"/>
  <extLst>
    <ext xmlns:x14="http://schemas.microsoft.com/office/spreadsheetml/2009/9/main" uri="{78C0D931-6437-407d-A8EE-F0AAD7539E65}">
      <x14:conditionalFormattings>
        <x14:conditionalFormatting xmlns:xm="http://schemas.microsoft.com/office/excel/2006/main">
          <x14:cfRule type="expression" priority="1" id="{AA2D9E7B-A035-4CB2-90E3-F2FC46D54591}">
            <xm:f>+'Refinanszírozás célja'!$U$49:$BF$49&lt;&gt;"Patika Hitelprogram"</xm:f>
            <x14:dxf>
              <fill>
                <patternFill patternType="gray0625">
                  <bgColor theme="0"/>
                </patternFill>
              </fill>
            </x14:dxf>
          </x14:cfRule>
          <xm:sqref>B1:BG1048576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Munka15">
    <tabColor theme="3" tint="0.79998168889431442"/>
    <pageSetUpPr fitToPage="1"/>
  </sheetPr>
  <dimension ref="A1:BG112"/>
  <sheetViews>
    <sheetView view="pageBreakPreview" zoomScale="80" zoomScaleNormal="70" zoomScaleSheetLayoutView="80" workbookViewId="0">
      <selection activeCell="S5" sqref="S5:AQ5"/>
    </sheetView>
  </sheetViews>
  <sheetFormatPr baseColWidth="10" defaultColWidth="9.1640625" defaultRowHeight="15" x14ac:dyDescent="0.2"/>
  <cols>
    <col min="1" max="1" width="1.5" style="59" customWidth="1"/>
    <col min="2" max="39" width="3.1640625" style="59" customWidth="1"/>
    <col min="40" max="49" width="5.33203125" style="59" customWidth="1"/>
    <col min="50" max="58" width="3.1640625" style="59" customWidth="1"/>
    <col min="59" max="59" width="6" style="59" customWidth="1"/>
    <col min="60" max="16384" width="9.1640625" style="59"/>
  </cols>
  <sheetData>
    <row r="1" spans="1:59" ht="18" x14ac:dyDescent="0.2">
      <c r="A1" s="223"/>
      <c r="B1" s="530"/>
      <c r="C1" s="530"/>
      <c r="D1" s="530"/>
      <c r="E1" s="530"/>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row>
    <row r="2" spans="1:59" x14ac:dyDescent="0.2">
      <c r="A2" s="223"/>
      <c r="B2" s="1708" t="str">
        <f>+IF(Hitelprog_Rovid="kitöltendő legördülő cella","",Hitelprog_Rovid)</f>
        <v/>
      </c>
      <c r="C2" s="1708"/>
      <c r="D2" s="1708"/>
      <c r="E2" s="1708"/>
      <c r="F2" s="1708"/>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708"/>
      <c r="AZ2" s="1708"/>
      <c r="BA2" s="1708"/>
      <c r="BB2" s="1708"/>
      <c r="BC2" s="1708"/>
      <c r="BD2" s="1708"/>
      <c r="BE2" s="1708"/>
      <c r="BF2" s="1708"/>
      <c r="BG2" s="1708"/>
    </row>
    <row r="3" spans="1:59" x14ac:dyDescent="0.2">
      <c r="A3" s="223"/>
      <c r="B3" s="1708"/>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708"/>
      <c r="AZ3" s="1708"/>
      <c r="BA3" s="1708"/>
      <c r="BB3" s="1708"/>
      <c r="BC3" s="1708"/>
      <c r="BD3" s="1708"/>
      <c r="BE3" s="1708"/>
      <c r="BF3" s="1708"/>
      <c r="BG3" s="1708"/>
    </row>
    <row r="4" spans="1:59" ht="16" thickBot="1" x14ac:dyDescent="0.25">
      <c r="A4" s="1691"/>
      <c r="B4" s="1691"/>
      <c r="C4" s="1691"/>
      <c r="D4" s="1691"/>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row>
    <row r="5" spans="1:59" ht="19" thickBot="1" x14ac:dyDescent="0.25">
      <c r="A5" s="1691"/>
      <c r="B5" s="1691"/>
      <c r="C5" s="1691"/>
      <c r="D5" s="1691"/>
      <c r="E5" s="223"/>
      <c r="F5" s="223"/>
      <c r="G5" s="223"/>
      <c r="H5" s="223"/>
      <c r="I5" s="223"/>
      <c r="J5" s="223"/>
      <c r="K5" s="223"/>
      <c r="L5" s="223"/>
      <c r="M5" s="223"/>
      <c r="N5" s="223"/>
      <c r="O5" s="223"/>
      <c r="P5" s="223"/>
      <c r="Q5" s="223"/>
      <c r="R5" s="223"/>
      <c r="S5" s="1192" t="s">
        <v>996</v>
      </c>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4"/>
      <c r="AR5" s="223"/>
      <c r="AS5" s="223"/>
      <c r="AT5" s="223"/>
      <c r="AU5" s="223"/>
      <c r="AV5" s="223"/>
      <c r="AW5" s="223"/>
      <c r="AX5" s="223"/>
      <c r="AY5" s="223"/>
      <c r="AZ5" s="223"/>
      <c r="BA5" s="223"/>
      <c r="BB5" s="223"/>
      <c r="BC5" s="223"/>
      <c r="BD5" s="223"/>
      <c r="BE5" s="223"/>
      <c r="BF5" s="223"/>
      <c r="BG5" s="223"/>
    </row>
    <row r="6" spans="1:59" x14ac:dyDescent="0.2">
      <c r="A6" s="1691"/>
      <c r="B6" s="1691"/>
      <c r="C6" s="1691"/>
      <c r="D6" s="1691"/>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row>
    <row r="7" spans="1:59" x14ac:dyDescent="0.2">
      <c r="A7" s="1691"/>
      <c r="B7" s="1691"/>
      <c r="C7" s="1691"/>
      <c r="D7" s="1691"/>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row>
    <row r="8" spans="1:59" x14ac:dyDescent="0.2">
      <c r="A8" s="250"/>
      <c r="B8" s="1673" t="s">
        <v>841</v>
      </c>
      <c r="C8" s="1674"/>
      <c r="D8" s="1674"/>
      <c r="E8" s="1674"/>
      <c r="F8" s="1674"/>
      <c r="G8" s="1674"/>
      <c r="H8" s="1674"/>
      <c r="I8" s="1674"/>
      <c r="J8" s="1674"/>
      <c r="K8" s="1674"/>
      <c r="L8" s="1674"/>
      <c r="M8" s="1674"/>
      <c r="N8" s="1674"/>
      <c r="O8" s="1674"/>
      <c r="P8" s="1674"/>
      <c r="Q8" s="1674"/>
      <c r="R8" s="1674"/>
      <c r="S8" s="1674"/>
      <c r="T8" s="1674"/>
      <c r="U8" s="1674"/>
      <c r="V8" s="1674"/>
      <c r="W8" s="1674"/>
      <c r="X8" s="1674"/>
      <c r="Y8" s="1674"/>
      <c r="Z8" s="1674"/>
      <c r="AA8" s="1674"/>
      <c r="AB8" s="1674"/>
      <c r="AC8" s="1674"/>
      <c r="AD8" s="1674"/>
      <c r="AE8" s="1674"/>
      <c r="AF8" s="1674"/>
      <c r="AG8" s="1674"/>
      <c r="AH8" s="1674"/>
      <c r="AI8" s="1674"/>
      <c r="AJ8" s="1674"/>
      <c r="AK8" s="1674"/>
      <c r="AL8" s="1674"/>
      <c r="AM8" s="1674"/>
      <c r="AN8" s="1674"/>
      <c r="AO8" s="1674"/>
      <c r="AP8" s="1674"/>
      <c r="AQ8" s="1674"/>
      <c r="AR8" s="1674"/>
      <c r="AS8" s="1674"/>
      <c r="AT8" s="1674"/>
      <c r="AU8" s="1674"/>
      <c r="AV8" s="1674"/>
      <c r="AW8" s="1674"/>
      <c r="AX8" s="1674"/>
      <c r="AY8" s="1674"/>
      <c r="AZ8" s="1674"/>
      <c r="BA8" s="1674"/>
      <c r="BB8" s="1674"/>
      <c r="BC8" s="1674"/>
      <c r="BD8" s="1674"/>
      <c r="BE8" s="1674"/>
      <c r="BF8" s="1674"/>
      <c r="BG8" s="1675"/>
    </row>
    <row r="9" spans="1:59" ht="16" thickBot="1" x14ac:dyDescent="0.25">
      <c r="A9" s="250"/>
      <c r="B9" s="306"/>
      <c r="C9" s="307"/>
      <c r="D9" s="307"/>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8"/>
      <c r="BG9" s="309"/>
    </row>
    <row r="10" spans="1:59" ht="16" thickBot="1" x14ac:dyDescent="0.25">
      <c r="A10" s="250"/>
      <c r="B10" s="310"/>
      <c r="C10" s="1695" t="str">
        <f>+IF('Refinanszírozási kérelem'!C28:BF28="","",'Refinanszírozási kérelem'!C28:BF28)</f>
        <v/>
      </c>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c r="AA10" s="1696"/>
      <c r="AB10" s="1696"/>
      <c r="AC10" s="1696"/>
      <c r="AD10" s="1696"/>
      <c r="AE10" s="1696"/>
      <c r="AF10" s="1696"/>
      <c r="AG10" s="1696"/>
      <c r="AH10" s="1696"/>
      <c r="AI10" s="1696"/>
      <c r="AJ10" s="1696"/>
      <c r="AK10" s="1696"/>
      <c r="AL10" s="1696"/>
      <c r="AM10" s="1696"/>
      <c r="AN10" s="1696"/>
      <c r="AO10" s="1696"/>
      <c r="AP10" s="1696"/>
      <c r="AQ10" s="1696"/>
      <c r="AR10" s="1696"/>
      <c r="AS10" s="1696"/>
      <c r="AT10" s="1696"/>
      <c r="AU10" s="1696"/>
      <c r="AV10" s="1696"/>
      <c r="AW10" s="1696"/>
      <c r="AX10" s="1696"/>
      <c r="AY10" s="1696"/>
      <c r="AZ10" s="1696"/>
      <c r="BA10" s="1696"/>
      <c r="BB10" s="1696"/>
      <c r="BC10" s="1696"/>
      <c r="BD10" s="1696"/>
      <c r="BE10" s="1696"/>
      <c r="BF10" s="1697"/>
      <c r="BG10" s="311"/>
    </row>
    <row r="11" spans="1:59" x14ac:dyDescent="0.2">
      <c r="A11" s="250"/>
      <c r="B11" s="310"/>
      <c r="C11" s="289"/>
      <c r="D11" s="274" t="s">
        <v>370</v>
      </c>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311"/>
    </row>
    <row r="12" spans="1:59" ht="16" thickBot="1" x14ac:dyDescent="0.25">
      <c r="A12" s="250"/>
      <c r="B12" s="310"/>
      <c r="C12" s="289"/>
      <c r="D12" s="289"/>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311"/>
    </row>
    <row r="13" spans="1:59" ht="16" thickBot="1" x14ac:dyDescent="0.25">
      <c r="A13" s="250"/>
      <c r="B13" s="310"/>
      <c r="C13" s="1627" t="str">
        <f>+IF('Refinanszírozás célja'!C14:T14="","",'Refinanszírozás célja'!C14:T14)</f>
        <v/>
      </c>
      <c r="D13" s="1628"/>
      <c r="E13" s="1628"/>
      <c r="F13" s="1628"/>
      <c r="G13" s="1628"/>
      <c r="H13" s="1628"/>
      <c r="I13" s="1628"/>
      <c r="J13" s="1628"/>
      <c r="K13" s="1628"/>
      <c r="L13" s="1628"/>
      <c r="M13" s="1628"/>
      <c r="N13" s="1628"/>
      <c r="O13" s="1628"/>
      <c r="P13" s="1628"/>
      <c r="Q13" s="1628"/>
      <c r="R13" s="1628"/>
      <c r="S13" s="1628"/>
      <c r="T13" s="1629"/>
      <c r="U13" s="290"/>
      <c r="V13" s="290"/>
      <c r="W13" s="290"/>
      <c r="X13" s="1627" t="str">
        <f>+IF('Refinanszírozás célja'!X14:AN14="","",'Refinanszírozás célja'!X14:AN14)</f>
        <v/>
      </c>
      <c r="Y13" s="1628"/>
      <c r="Z13" s="1628"/>
      <c r="AA13" s="1628"/>
      <c r="AB13" s="1628"/>
      <c r="AC13" s="1628"/>
      <c r="AD13" s="1628"/>
      <c r="AE13" s="1628"/>
      <c r="AF13" s="1628"/>
      <c r="AG13" s="1628"/>
      <c r="AH13" s="1628"/>
      <c r="AI13" s="1628"/>
      <c r="AJ13" s="1628"/>
      <c r="AK13" s="1628"/>
      <c r="AL13" s="1628"/>
      <c r="AM13" s="1628"/>
      <c r="AN13" s="1629"/>
      <c r="AO13" s="289"/>
      <c r="AP13" s="289"/>
      <c r="AQ13" s="290"/>
      <c r="AR13" s="1627" t="str">
        <f>+IF('Refinanszírozás célja'!AR14:BD14="","",'Refinanszírozás célja'!AR14:BD14)</f>
        <v/>
      </c>
      <c r="AS13" s="1628"/>
      <c r="AT13" s="1628"/>
      <c r="AU13" s="1628"/>
      <c r="AV13" s="1628"/>
      <c r="AW13" s="1628"/>
      <c r="AX13" s="1628"/>
      <c r="AY13" s="1628"/>
      <c r="AZ13" s="1628"/>
      <c r="BA13" s="1628"/>
      <c r="BB13" s="1628"/>
      <c r="BC13" s="1628"/>
      <c r="BD13" s="1629"/>
      <c r="BE13" s="290"/>
      <c r="BF13" s="290"/>
      <c r="BG13" s="311"/>
    </row>
    <row r="14" spans="1:59" x14ac:dyDescent="0.2">
      <c r="A14" s="250"/>
      <c r="B14" s="310"/>
      <c r="C14" s="289" t="s">
        <v>581</v>
      </c>
      <c r="D14" s="289"/>
      <c r="E14" s="290"/>
      <c r="F14" s="290"/>
      <c r="G14" s="290"/>
      <c r="H14" s="290"/>
      <c r="I14" s="290"/>
      <c r="J14" s="290"/>
      <c r="K14" s="290"/>
      <c r="L14" s="290"/>
      <c r="M14" s="290"/>
      <c r="N14" s="290"/>
      <c r="O14" s="290"/>
      <c r="P14" s="290"/>
      <c r="Q14" s="290"/>
      <c r="R14" s="290"/>
      <c r="S14" s="290"/>
      <c r="T14" s="290"/>
      <c r="U14" s="290"/>
      <c r="V14" s="290"/>
      <c r="W14" s="290"/>
      <c r="X14" s="290" t="s">
        <v>582</v>
      </c>
      <c r="Y14" s="290"/>
      <c r="Z14" s="290"/>
      <c r="AA14" s="290"/>
      <c r="AB14" s="290"/>
      <c r="AC14" s="290"/>
      <c r="AD14" s="290"/>
      <c r="AE14" s="290"/>
      <c r="AF14" s="290"/>
      <c r="AG14" s="290"/>
      <c r="AH14" s="290"/>
      <c r="AI14" s="290"/>
      <c r="AJ14" s="290"/>
      <c r="AK14" s="290"/>
      <c r="AL14" s="290"/>
      <c r="AM14" s="290"/>
      <c r="AN14" s="290"/>
      <c r="AO14" s="290"/>
      <c r="AP14" s="290"/>
      <c r="AQ14" s="290"/>
      <c r="AR14" s="290" t="s">
        <v>583</v>
      </c>
      <c r="AS14" s="290"/>
      <c r="AT14" s="290"/>
      <c r="AU14" s="290"/>
      <c r="AV14" s="290"/>
      <c r="AW14" s="290"/>
      <c r="AX14" s="290"/>
      <c r="AY14" s="290"/>
      <c r="AZ14" s="290"/>
      <c r="BA14" s="290"/>
      <c r="BB14" s="290"/>
      <c r="BC14" s="290"/>
      <c r="BD14" s="290"/>
      <c r="BE14" s="290"/>
      <c r="BF14" s="290"/>
      <c r="BG14" s="311"/>
    </row>
    <row r="15" spans="1:59" ht="16" thickBot="1" x14ac:dyDescent="0.25">
      <c r="A15" s="250"/>
      <c r="B15" s="310"/>
      <c r="C15" s="289"/>
      <c r="D15" s="289"/>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311"/>
    </row>
    <row r="16" spans="1:59" ht="16" thickBot="1" x14ac:dyDescent="0.25">
      <c r="A16" s="250"/>
      <c r="B16" s="310"/>
      <c r="C16" s="289"/>
      <c r="D16" s="289"/>
      <c r="E16" s="290"/>
      <c r="F16" s="290"/>
      <c r="G16" s="290"/>
      <c r="H16" s="290"/>
      <c r="I16" s="290"/>
      <c r="J16" s="290"/>
      <c r="K16" s="290"/>
      <c r="L16" s="290"/>
      <c r="M16" s="290"/>
      <c r="N16" s="290"/>
      <c r="O16" s="290"/>
      <c r="P16" s="1627" t="s">
        <v>296</v>
      </c>
      <c r="Q16" s="1628"/>
      <c r="R16" s="1628"/>
      <c r="S16" s="1629"/>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311"/>
    </row>
    <row r="17" spans="1:59" ht="16" thickBot="1" x14ac:dyDescent="0.25">
      <c r="A17" s="250"/>
      <c r="B17" s="310"/>
      <c r="C17" s="289"/>
      <c r="D17" s="1188" t="s">
        <v>584</v>
      </c>
      <c r="E17" s="1188"/>
      <c r="F17" s="1188"/>
      <c r="G17" s="1188"/>
      <c r="H17" s="1188"/>
      <c r="I17" s="1188"/>
      <c r="J17" s="1188"/>
      <c r="K17" s="1188"/>
      <c r="L17" s="1188"/>
      <c r="M17" s="1188"/>
      <c r="N17" s="1188"/>
      <c r="O17" s="276"/>
      <c r="P17" s="276" t="s">
        <v>297</v>
      </c>
      <c r="Q17" s="276"/>
      <c r="R17" s="276"/>
      <c r="S17" s="274"/>
      <c r="T17" s="276"/>
      <c r="U17" s="276"/>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311"/>
    </row>
    <row r="18" spans="1:59" ht="16" thickBot="1" x14ac:dyDescent="0.25">
      <c r="A18" s="250"/>
      <c r="B18" s="310"/>
      <c r="C18" s="289"/>
      <c r="D18" s="1188"/>
      <c r="E18" s="1188"/>
      <c r="F18" s="1188"/>
      <c r="G18" s="1188"/>
      <c r="H18" s="1188"/>
      <c r="I18" s="1188"/>
      <c r="J18" s="1188"/>
      <c r="K18" s="1188"/>
      <c r="L18" s="1188"/>
      <c r="M18" s="1188"/>
      <c r="N18" s="1188"/>
      <c r="O18" s="291"/>
      <c r="P18" s="1692" t="str">
        <f>+IF('Refinanszírozási kérelem'!P31:S31="","",'Refinanszírozási kérelem'!P31:S31)</f>
        <v/>
      </c>
      <c r="Q18" s="1693"/>
      <c r="R18" s="1693"/>
      <c r="S18" s="1694"/>
      <c r="T18" s="274"/>
      <c r="U18" s="1692" t="str">
        <f>+IF('Refinanszírozási kérelem'!U31:AY31="","",'Refinanszírozási kérelem'!U31:AY31)</f>
        <v/>
      </c>
      <c r="V18" s="1693"/>
      <c r="W18" s="1693"/>
      <c r="X18" s="1693"/>
      <c r="Y18" s="1693"/>
      <c r="Z18" s="1693"/>
      <c r="AA18" s="1693"/>
      <c r="AB18" s="1693"/>
      <c r="AC18" s="1693"/>
      <c r="AD18" s="1693"/>
      <c r="AE18" s="1693"/>
      <c r="AF18" s="1693"/>
      <c r="AG18" s="1693"/>
      <c r="AH18" s="1693"/>
      <c r="AI18" s="1693"/>
      <c r="AJ18" s="1693"/>
      <c r="AK18" s="1693"/>
      <c r="AL18" s="1693"/>
      <c r="AM18" s="1693"/>
      <c r="AN18" s="1693"/>
      <c r="AO18" s="1693"/>
      <c r="AP18" s="1693"/>
      <c r="AQ18" s="1693"/>
      <c r="AR18" s="1693"/>
      <c r="AS18" s="1693"/>
      <c r="AT18" s="1693"/>
      <c r="AU18" s="1693"/>
      <c r="AV18" s="1693"/>
      <c r="AW18" s="1693"/>
      <c r="AX18" s="1693"/>
      <c r="AY18" s="1694"/>
      <c r="AZ18" s="274"/>
      <c r="BA18" s="1692" t="str">
        <f>+IF('Refinanszírozási kérelem'!BA31:BF31="","",'Refinanszírozási kérelem'!BA31:BF31)</f>
        <v/>
      </c>
      <c r="BB18" s="1693"/>
      <c r="BC18" s="1693"/>
      <c r="BD18" s="1693"/>
      <c r="BE18" s="1693"/>
      <c r="BF18" s="1694"/>
      <c r="BG18" s="311"/>
    </row>
    <row r="19" spans="1:59" x14ac:dyDescent="0.2">
      <c r="A19" s="250"/>
      <c r="B19" s="310"/>
      <c r="C19" s="289"/>
      <c r="D19" s="1188"/>
      <c r="E19" s="1188"/>
      <c r="F19" s="1188"/>
      <c r="G19" s="1188"/>
      <c r="H19" s="1188"/>
      <c r="I19" s="1188"/>
      <c r="J19" s="1188"/>
      <c r="K19" s="1188"/>
      <c r="L19" s="1188"/>
      <c r="M19" s="1188"/>
      <c r="N19" s="1188"/>
      <c r="O19" s="274"/>
      <c r="P19" s="274" t="s">
        <v>146</v>
      </c>
      <c r="Q19" s="274"/>
      <c r="R19" s="274"/>
      <c r="S19" s="274"/>
      <c r="T19" s="274"/>
      <c r="U19" s="274" t="s">
        <v>147</v>
      </c>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t="s">
        <v>148</v>
      </c>
      <c r="BB19" s="274"/>
      <c r="BC19" s="274"/>
      <c r="BD19" s="274"/>
      <c r="BE19" s="274"/>
      <c r="BF19" s="274"/>
      <c r="BG19" s="311"/>
    </row>
    <row r="20" spans="1:59" ht="16" thickBot="1" x14ac:dyDescent="0.25">
      <c r="A20" s="250"/>
      <c r="B20" s="310"/>
      <c r="C20" s="289"/>
      <c r="D20" s="228"/>
      <c r="E20" s="228"/>
      <c r="F20" s="228"/>
      <c r="G20" s="228"/>
      <c r="H20" s="228"/>
      <c r="I20" s="228"/>
      <c r="J20" s="228"/>
      <c r="K20" s="228"/>
      <c r="L20" s="228"/>
      <c r="M20" s="228"/>
      <c r="N20" s="228"/>
      <c r="O20" s="226"/>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311"/>
    </row>
    <row r="21" spans="1:59" ht="16" thickBot="1" x14ac:dyDescent="0.25">
      <c r="A21" s="250"/>
      <c r="B21" s="310"/>
      <c r="C21" s="289"/>
      <c r="D21" s="1692" t="str">
        <f>+IF('Refinanszírozási kérelem'!D34:AC34="","",'Refinanszírozási kérelem'!D34:AC34)</f>
        <v/>
      </c>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4"/>
      <c r="AD21" s="523"/>
      <c r="AE21" s="277"/>
      <c r="AF21" s="1692" t="str">
        <f>+IF('Refinanszírozási kérelem'!AF34:AP34="","",'Refinanszírozási kérelem'!AF34:AP34)</f>
        <v>legördülő cella</v>
      </c>
      <c r="AG21" s="1693"/>
      <c r="AH21" s="1693"/>
      <c r="AI21" s="1693"/>
      <c r="AJ21" s="1693"/>
      <c r="AK21" s="1693"/>
      <c r="AL21" s="1693"/>
      <c r="AM21" s="1693"/>
      <c r="AN21" s="1693"/>
      <c r="AO21" s="1693"/>
      <c r="AP21" s="1694"/>
      <c r="AQ21" s="523"/>
      <c r="AR21" s="291"/>
      <c r="AS21" s="291"/>
      <c r="AT21" s="1624" t="str">
        <f>+IF(hazszam="","",hazszam)</f>
        <v/>
      </c>
      <c r="AU21" s="1625"/>
      <c r="AV21" s="1625"/>
      <c r="AW21" s="1625"/>
      <c r="AX21" s="1625"/>
      <c r="AY21" s="1625"/>
      <c r="AZ21" s="1625"/>
      <c r="BA21" s="1625"/>
      <c r="BB21" s="1625"/>
      <c r="BC21" s="1625"/>
      <c r="BD21" s="1625"/>
      <c r="BE21" s="1625"/>
      <c r="BF21" s="1626"/>
      <c r="BG21" s="311"/>
    </row>
    <row r="22" spans="1:59" x14ac:dyDescent="0.2">
      <c r="A22" s="250"/>
      <c r="B22" s="310"/>
      <c r="C22" s="289"/>
      <c r="D22" s="274" t="s">
        <v>149</v>
      </c>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t="s">
        <v>150</v>
      </c>
      <c r="AG22" s="274"/>
      <c r="AH22" s="274"/>
      <c r="AI22" s="274"/>
      <c r="AJ22" s="277"/>
      <c r="AK22" s="274"/>
      <c r="AL22" s="274"/>
      <c r="AM22" s="274"/>
      <c r="AN22" s="274"/>
      <c r="AO22" s="274"/>
      <c r="AP22" s="274"/>
      <c r="AQ22" s="277"/>
      <c r="AR22" s="274"/>
      <c r="AS22" s="274"/>
      <c r="AT22" s="274"/>
      <c r="AU22" s="274"/>
      <c r="AV22" s="274"/>
      <c r="AW22" s="274"/>
      <c r="AX22" s="276" t="s">
        <v>151</v>
      </c>
      <c r="AY22" s="276"/>
      <c r="AZ22" s="276"/>
      <c r="BA22" s="276"/>
      <c r="BB22" s="276"/>
      <c r="BC22" s="276"/>
      <c r="BD22" s="276"/>
      <c r="BE22" s="276"/>
      <c r="BF22" s="276"/>
      <c r="BG22" s="311"/>
    </row>
    <row r="23" spans="1:59" ht="16" thickBot="1" x14ac:dyDescent="0.25">
      <c r="A23" s="223"/>
      <c r="B23" s="312"/>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311"/>
    </row>
    <row r="24" spans="1:59" ht="16" thickBot="1" x14ac:dyDescent="0.25">
      <c r="A24" s="223"/>
      <c r="B24" s="312"/>
      <c r="C24" s="1627" t="str">
        <f>+IF('Refinanszírozás célja'!C25:T25="","",'Refinanszírozás célja'!C25:T25)</f>
        <v/>
      </c>
      <c r="D24" s="1628"/>
      <c r="E24" s="1628"/>
      <c r="F24" s="1628"/>
      <c r="G24" s="1628"/>
      <c r="H24" s="1628"/>
      <c r="I24" s="1628"/>
      <c r="J24" s="1628"/>
      <c r="K24" s="1628"/>
      <c r="L24" s="1628"/>
      <c r="M24" s="1628"/>
      <c r="N24" s="1628"/>
      <c r="O24" s="1628"/>
      <c r="P24" s="1628"/>
      <c r="Q24" s="1628"/>
      <c r="R24" s="1628"/>
      <c r="S24" s="1628"/>
      <c r="T24" s="1629"/>
      <c r="U24" s="290"/>
      <c r="V24" s="290"/>
      <c r="W24" s="290"/>
      <c r="X24" s="1627" t="str">
        <f>+IF('Refinanszírozás célja'!X25:AL25="","",'Refinanszírozás célja'!X25:AL25)</f>
        <v/>
      </c>
      <c r="Y24" s="1628"/>
      <c r="Z24" s="1628"/>
      <c r="AA24" s="1628"/>
      <c r="AB24" s="1628"/>
      <c r="AC24" s="1628"/>
      <c r="AD24" s="1628"/>
      <c r="AE24" s="1628"/>
      <c r="AF24" s="1628"/>
      <c r="AG24" s="1628"/>
      <c r="AH24" s="1628"/>
      <c r="AI24" s="1628"/>
      <c r="AJ24" s="1628"/>
      <c r="AK24" s="1628"/>
      <c r="AL24" s="1629"/>
      <c r="AM24" s="290"/>
      <c r="AN24" s="290"/>
      <c r="AO24" s="1627" t="str">
        <f>+IF('Refinanszírozás célja'!AO25:BF25="","",'Refinanszírozás célja'!AO25:BF25)</f>
        <v/>
      </c>
      <c r="AP24" s="1628"/>
      <c r="AQ24" s="1628"/>
      <c r="AR24" s="1628"/>
      <c r="AS24" s="1628"/>
      <c r="AT24" s="1628"/>
      <c r="AU24" s="1628"/>
      <c r="AV24" s="1628"/>
      <c r="AW24" s="1628"/>
      <c r="AX24" s="1628"/>
      <c r="AY24" s="1628"/>
      <c r="AZ24" s="1628"/>
      <c r="BA24" s="1628"/>
      <c r="BB24" s="1628"/>
      <c r="BC24" s="1628"/>
      <c r="BD24" s="1628"/>
      <c r="BE24" s="1628"/>
      <c r="BF24" s="1629"/>
      <c r="BG24" s="311"/>
    </row>
    <row r="25" spans="1:59" x14ac:dyDescent="0.2">
      <c r="A25" s="223"/>
      <c r="B25" s="312"/>
      <c r="C25" s="290" t="s">
        <v>590</v>
      </c>
      <c r="D25" s="290"/>
      <c r="E25" s="290"/>
      <c r="F25" s="290"/>
      <c r="G25" s="290"/>
      <c r="H25" s="290"/>
      <c r="I25" s="290"/>
      <c r="J25" s="290"/>
      <c r="K25" s="290"/>
      <c r="L25" s="290"/>
      <c r="M25" s="290"/>
      <c r="N25" s="290"/>
      <c r="O25" s="290"/>
      <c r="P25" s="290"/>
      <c r="Q25" s="290"/>
      <c r="R25" s="290"/>
      <c r="S25" s="290"/>
      <c r="T25" s="290"/>
      <c r="U25" s="290"/>
      <c r="V25" s="290"/>
      <c r="W25" s="290"/>
      <c r="X25" s="290" t="s">
        <v>591</v>
      </c>
      <c r="Y25" s="290"/>
      <c r="Z25" s="290"/>
      <c r="AA25" s="290"/>
      <c r="AB25" s="290"/>
      <c r="AC25" s="290"/>
      <c r="AD25" s="290"/>
      <c r="AE25" s="290"/>
      <c r="AF25" s="290"/>
      <c r="AG25" s="290"/>
      <c r="AH25" s="290"/>
      <c r="AI25" s="290"/>
      <c r="AJ25" s="290"/>
      <c r="AK25" s="290"/>
      <c r="AL25" s="290"/>
      <c r="AM25" s="290"/>
      <c r="AN25" s="290"/>
      <c r="AO25" s="290" t="s">
        <v>592</v>
      </c>
      <c r="AP25" s="290"/>
      <c r="AQ25" s="290"/>
      <c r="AR25" s="290"/>
      <c r="AS25" s="290"/>
      <c r="AT25" s="290"/>
      <c r="AU25" s="290"/>
      <c r="AV25" s="290"/>
      <c r="AW25" s="290"/>
      <c r="AX25" s="290"/>
      <c r="AY25" s="290"/>
      <c r="AZ25" s="290"/>
      <c r="BA25" s="290"/>
      <c r="BB25" s="290"/>
      <c r="BC25" s="290"/>
      <c r="BD25" s="290"/>
      <c r="BE25" s="290"/>
      <c r="BF25" s="290"/>
      <c r="BG25" s="311"/>
    </row>
    <row r="26" spans="1:59" ht="16" thickBot="1" x14ac:dyDescent="0.25">
      <c r="A26" s="223"/>
      <c r="B26" s="312"/>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311"/>
    </row>
    <row r="27" spans="1:59" ht="16" thickBot="1" x14ac:dyDescent="0.25">
      <c r="A27" s="223"/>
      <c r="B27" s="312"/>
      <c r="C27" s="1627" t="str">
        <f>+IF('Refinanszírozás célja'!C28:T28="kitöltendő legördülő cella","",'Refinanszírozás célja'!C28:T28)</f>
        <v>legördülő cella</v>
      </c>
      <c r="D27" s="1628"/>
      <c r="E27" s="1628"/>
      <c r="F27" s="1628"/>
      <c r="G27" s="1628"/>
      <c r="H27" s="1628"/>
      <c r="I27" s="1628"/>
      <c r="J27" s="1628"/>
      <c r="K27" s="1628"/>
      <c r="L27" s="1628"/>
      <c r="M27" s="1628"/>
      <c r="N27" s="1628"/>
      <c r="O27" s="1628"/>
      <c r="P27" s="1628"/>
      <c r="Q27" s="1628"/>
      <c r="R27" s="1628"/>
      <c r="S27" s="1628"/>
      <c r="T27" s="1629"/>
      <c r="U27" s="290"/>
      <c r="V27" s="290"/>
      <c r="W27" s="290"/>
      <c r="X27" s="1627" t="str">
        <f>+IF('Refinanszírozás célja'!X28:AL28="kitöltendő legördülő cella","",'Refinanszírozás célja'!X28:AL28)</f>
        <v>legördülő cella</v>
      </c>
      <c r="Y27" s="1628"/>
      <c r="Z27" s="1628"/>
      <c r="AA27" s="1628"/>
      <c r="AB27" s="1628"/>
      <c r="AC27" s="1628"/>
      <c r="AD27" s="1628"/>
      <c r="AE27" s="1628"/>
      <c r="AF27" s="1628"/>
      <c r="AG27" s="1628"/>
      <c r="AH27" s="1628"/>
      <c r="AI27" s="1628"/>
      <c r="AJ27" s="1628"/>
      <c r="AK27" s="1628"/>
      <c r="AL27" s="1629"/>
      <c r="AM27" s="290"/>
      <c r="AN27" s="290"/>
      <c r="AO27" s="290"/>
      <c r="AP27" s="290"/>
      <c r="AQ27" s="290"/>
      <c r="AR27" s="290"/>
      <c r="AS27" s="290"/>
      <c r="AT27" s="290"/>
      <c r="AU27" s="290"/>
      <c r="AV27" s="290"/>
      <c r="AW27" s="290"/>
      <c r="AX27" s="290"/>
      <c r="AY27" s="290"/>
      <c r="AZ27" s="290"/>
      <c r="BA27" s="290"/>
      <c r="BB27" s="290"/>
      <c r="BC27" s="290"/>
      <c r="BD27" s="290"/>
      <c r="BE27" s="290"/>
      <c r="BF27" s="290"/>
      <c r="BG27" s="311"/>
    </row>
    <row r="28" spans="1:59" x14ac:dyDescent="0.2">
      <c r="A28" s="223"/>
      <c r="B28" s="312"/>
      <c r="C28" s="290" t="s">
        <v>593</v>
      </c>
      <c r="D28" s="290"/>
      <c r="E28" s="290"/>
      <c r="F28" s="290"/>
      <c r="G28" s="290"/>
      <c r="H28" s="290"/>
      <c r="I28" s="290"/>
      <c r="J28" s="290"/>
      <c r="K28" s="290"/>
      <c r="L28" s="290"/>
      <c r="M28" s="290"/>
      <c r="N28" s="290"/>
      <c r="O28" s="290"/>
      <c r="P28" s="290"/>
      <c r="Q28" s="290"/>
      <c r="R28" s="290"/>
      <c r="S28" s="290"/>
      <c r="T28" s="290"/>
      <c r="U28" s="290"/>
      <c r="V28" s="290"/>
      <c r="W28" s="290"/>
      <c r="X28" s="290" t="s">
        <v>594</v>
      </c>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311"/>
    </row>
    <row r="29" spans="1:59" ht="16" thickBot="1" x14ac:dyDescent="0.25">
      <c r="A29" s="223"/>
      <c r="B29" s="312"/>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311"/>
    </row>
    <row r="30" spans="1:59" ht="16" thickBot="1" x14ac:dyDescent="0.25">
      <c r="A30" s="223"/>
      <c r="B30" s="312"/>
      <c r="C30" s="1627" t="str">
        <f>+IF('Refinanszírozás célja'!C31:T31="","",'Refinanszírozás célja'!C31:T31)</f>
        <v/>
      </c>
      <c r="D30" s="1628"/>
      <c r="E30" s="1628"/>
      <c r="F30" s="1628"/>
      <c r="G30" s="1628"/>
      <c r="H30" s="1628"/>
      <c r="I30" s="1628"/>
      <c r="J30" s="1628"/>
      <c r="K30" s="1628"/>
      <c r="L30" s="1628"/>
      <c r="M30" s="1628"/>
      <c r="N30" s="1628"/>
      <c r="O30" s="1628"/>
      <c r="P30" s="1628"/>
      <c r="Q30" s="1628"/>
      <c r="R30" s="1628"/>
      <c r="S30" s="1628"/>
      <c r="T30" s="1629"/>
      <c r="U30" s="290"/>
      <c r="V30" s="290"/>
      <c r="W30" s="290"/>
      <c r="X30" s="1627" t="str">
        <f>+IF('Refinanszírozás célja'!X31:AL31="","",'Refinanszírozás célja'!X31:AL31)</f>
        <v/>
      </c>
      <c r="Y30" s="1628"/>
      <c r="Z30" s="1628"/>
      <c r="AA30" s="1628"/>
      <c r="AB30" s="1628"/>
      <c r="AC30" s="1628"/>
      <c r="AD30" s="1628"/>
      <c r="AE30" s="1628"/>
      <c r="AF30" s="1628"/>
      <c r="AG30" s="1628"/>
      <c r="AH30" s="1628"/>
      <c r="AI30" s="1628"/>
      <c r="AJ30" s="1628"/>
      <c r="AK30" s="1628"/>
      <c r="AL30" s="1629"/>
      <c r="AM30" s="290"/>
      <c r="AN30" s="290"/>
      <c r="AO30" s="1627" t="str">
        <f>+IF('Refinanszírozás célja'!AO31:BF31="","",'Refinanszírozás célja'!AO31:BF31)</f>
        <v/>
      </c>
      <c r="AP30" s="1628"/>
      <c r="AQ30" s="1628"/>
      <c r="AR30" s="1628"/>
      <c r="AS30" s="1628"/>
      <c r="AT30" s="1628"/>
      <c r="AU30" s="1628"/>
      <c r="AV30" s="1628"/>
      <c r="AW30" s="1628"/>
      <c r="AX30" s="1628"/>
      <c r="AY30" s="1628"/>
      <c r="AZ30" s="1628"/>
      <c r="BA30" s="1628"/>
      <c r="BB30" s="1628"/>
      <c r="BC30" s="1628"/>
      <c r="BD30" s="1628"/>
      <c r="BE30" s="1628"/>
      <c r="BF30" s="1629"/>
      <c r="BG30" s="311"/>
    </row>
    <row r="31" spans="1:59" x14ac:dyDescent="0.2">
      <c r="A31" s="223"/>
      <c r="B31" s="312"/>
      <c r="C31" s="290" t="s">
        <v>587</v>
      </c>
      <c r="D31" s="290"/>
      <c r="E31" s="290"/>
      <c r="F31" s="290"/>
      <c r="G31" s="290"/>
      <c r="H31" s="290"/>
      <c r="I31" s="290"/>
      <c r="J31" s="290"/>
      <c r="K31" s="290"/>
      <c r="L31" s="290"/>
      <c r="M31" s="290"/>
      <c r="N31" s="290"/>
      <c r="O31" s="290"/>
      <c r="P31" s="290"/>
      <c r="Q31" s="290"/>
      <c r="R31" s="290"/>
      <c r="S31" s="290"/>
      <c r="T31" s="290"/>
      <c r="U31" s="290"/>
      <c r="V31" s="290"/>
      <c r="W31" s="290"/>
      <c r="X31" s="290" t="s">
        <v>586</v>
      </c>
      <c r="Y31" s="290"/>
      <c r="Z31" s="290"/>
      <c r="AA31" s="290"/>
      <c r="AB31" s="290"/>
      <c r="AC31" s="290"/>
      <c r="AD31" s="290"/>
      <c r="AE31" s="290"/>
      <c r="AF31" s="290"/>
      <c r="AG31" s="290"/>
      <c r="AH31" s="290"/>
      <c r="AI31" s="290"/>
      <c r="AJ31" s="290"/>
      <c r="AK31" s="290"/>
      <c r="AL31" s="290"/>
      <c r="AM31" s="290"/>
      <c r="AN31" s="290"/>
      <c r="AO31" s="290" t="s">
        <v>585</v>
      </c>
      <c r="AP31" s="290"/>
      <c r="AQ31" s="290"/>
      <c r="AR31" s="290"/>
      <c r="AS31" s="290"/>
      <c r="AT31" s="290"/>
      <c r="AU31" s="290"/>
      <c r="AV31" s="290"/>
      <c r="AW31" s="290"/>
      <c r="AX31" s="290"/>
      <c r="AY31" s="290"/>
      <c r="AZ31" s="290"/>
      <c r="BA31" s="290"/>
      <c r="BB31" s="290"/>
      <c r="BC31" s="290"/>
      <c r="BD31" s="290"/>
      <c r="BE31" s="290"/>
      <c r="BF31" s="290"/>
      <c r="BG31" s="311"/>
    </row>
    <row r="32" spans="1:59" ht="16" thickBot="1" x14ac:dyDescent="0.25">
      <c r="A32" s="223"/>
      <c r="B32" s="312"/>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311"/>
    </row>
    <row r="33" spans="1:59" ht="16" thickBot="1" x14ac:dyDescent="0.25">
      <c r="A33" s="223"/>
      <c r="B33" s="312"/>
      <c r="C33" s="1627" t="str">
        <f>+IF('Refinanszírozás célja'!C34:T34="","",'Refinanszírozás célja'!C34:T34)</f>
        <v/>
      </c>
      <c r="D33" s="1628"/>
      <c r="E33" s="1628"/>
      <c r="F33" s="1628"/>
      <c r="G33" s="1628"/>
      <c r="H33" s="1628"/>
      <c r="I33" s="1628"/>
      <c r="J33" s="1628"/>
      <c r="K33" s="1628"/>
      <c r="L33" s="1628"/>
      <c r="M33" s="1628"/>
      <c r="N33" s="1628"/>
      <c r="O33" s="1628"/>
      <c r="P33" s="1628"/>
      <c r="Q33" s="1628"/>
      <c r="R33" s="1628"/>
      <c r="S33" s="1628"/>
      <c r="T33" s="1629"/>
      <c r="U33" s="290"/>
      <c r="V33" s="290"/>
      <c r="W33" s="290"/>
      <c r="X33" s="1627" t="str">
        <f>+IF('Refinanszírozás célja'!X34:AL34="","",'Refinanszírozás célja'!X34:AL34)</f>
        <v/>
      </c>
      <c r="Y33" s="1628"/>
      <c r="Z33" s="1628"/>
      <c r="AA33" s="1628"/>
      <c r="AB33" s="1628"/>
      <c r="AC33" s="1628"/>
      <c r="AD33" s="1628"/>
      <c r="AE33" s="1628"/>
      <c r="AF33" s="1628"/>
      <c r="AG33" s="1628"/>
      <c r="AH33" s="1628"/>
      <c r="AI33" s="1628"/>
      <c r="AJ33" s="1628"/>
      <c r="AK33" s="1628"/>
      <c r="AL33" s="1629"/>
      <c r="AM33" s="290"/>
      <c r="AN33" s="290"/>
      <c r="AO33" s="290"/>
      <c r="AP33" s="290"/>
      <c r="AQ33" s="290"/>
      <c r="AR33" s="290"/>
      <c r="AS33" s="290"/>
      <c r="AT33" s="290"/>
      <c r="AU33" s="290"/>
      <c r="AV33" s="290"/>
      <c r="AW33" s="290"/>
      <c r="AX33" s="290"/>
      <c r="AY33" s="290"/>
      <c r="AZ33" s="290"/>
      <c r="BA33" s="290"/>
      <c r="BB33" s="290"/>
      <c r="BC33" s="290"/>
      <c r="BD33" s="290"/>
      <c r="BE33" s="290"/>
      <c r="BF33" s="290"/>
      <c r="BG33" s="311"/>
    </row>
    <row r="34" spans="1:59" x14ac:dyDescent="0.2">
      <c r="A34" s="223"/>
      <c r="B34" s="312"/>
      <c r="C34" s="290" t="s">
        <v>588</v>
      </c>
      <c r="D34" s="290"/>
      <c r="E34" s="290"/>
      <c r="F34" s="290"/>
      <c r="G34" s="290"/>
      <c r="H34" s="290"/>
      <c r="I34" s="290"/>
      <c r="J34" s="290"/>
      <c r="K34" s="290"/>
      <c r="L34" s="290"/>
      <c r="M34" s="290"/>
      <c r="N34" s="290"/>
      <c r="O34" s="290"/>
      <c r="P34" s="290"/>
      <c r="Q34" s="290"/>
      <c r="R34" s="290"/>
      <c r="S34" s="290"/>
      <c r="T34" s="290"/>
      <c r="U34" s="290"/>
      <c r="V34" s="290"/>
      <c r="W34" s="290"/>
      <c r="X34" s="290" t="s">
        <v>589</v>
      </c>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311"/>
    </row>
    <row r="35" spans="1:59" x14ac:dyDescent="0.2">
      <c r="A35" s="223"/>
      <c r="B35" s="312"/>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311"/>
    </row>
    <row r="36" spans="1:59" x14ac:dyDescent="0.2">
      <c r="B36" s="1800" t="s">
        <v>846</v>
      </c>
      <c r="C36" s="1801"/>
      <c r="D36" s="1801"/>
      <c r="E36" s="1801"/>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1"/>
      <c r="AF36" s="1801"/>
      <c r="AG36" s="1801"/>
      <c r="AH36" s="1801"/>
      <c r="AI36" s="1801"/>
      <c r="AJ36" s="1801"/>
      <c r="AK36" s="1801"/>
      <c r="AL36" s="1801"/>
      <c r="AM36" s="1801"/>
      <c r="AN36" s="1801"/>
      <c r="AO36" s="1801"/>
      <c r="AP36" s="1801"/>
      <c r="AQ36" s="1801"/>
      <c r="AR36" s="1801"/>
      <c r="AS36" s="1801"/>
      <c r="AT36" s="1801"/>
      <c r="AU36" s="1801"/>
      <c r="AV36" s="1801"/>
      <c r="AW36" s="1801"/>
      <c r="AX36" s="1801"/>
      <c r="AY36" s="1801"/>
      <c r="AZ36" s="1801"/>
      <c r="BA36" s="1801"/>
      <c r="BB36" s="1801"/>
      <c r="BC36" s="1801"/>
      <c r="BD36" s="1801"/>
      <c r="BE36" s="1801"/>
      <c r="BF36" s="1801"/>
      <c r="BG36" s="1802"/>
    </row>
    <row r="37" spans="1:59" x14ac:dyDescent="0.2">
      <c r="B37" s="1011"/>
      <c r="C37" s="1012"/>
      <c r="D37" s="1012"/>
      <c r="E37" s="1012"/>
      <c r="F37" s="1012"/>
      <c r="G37" s="1012"/>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2"/>
      <c r="AG37" s="1012"/>
      <c r="AH37" s="1012"/>
      <c r="AI37" s="1012"/>
      <c r="AJ37" s="1012"/>
      <c r="AK37" s="1012"/>
      <c r="AL37" s="1012"/>
      <c r="AM37" s="1012"/>
      <c r="AN37" s="1012"/>
      <c r="AO37" s="1012"/>
      <c r="AP37" s="1012"/>
      <c r="AQ37" s="1012"/>
      <c r="AR37" s="1012"/>
      <c r="AS37" s="1012"/>
      <c r="AT37" s="1012"/>
      <c r="AU37" s="1012"/>
      <c r="AV37" s="1012"/>
      <c r="AW37" s="1012"/>
      <c r="AX37" s="1012"/>
      <c r="AY37" s="1012"/>
      <c r="AZ37" s="1012"/>
      <c r="BA37" s="1012"/>
      <c r="BB37" s="1012"/>
      <c r="BC37" s="1012"/>
      <c r="BD37" s="1012"/>
      <c r="BE37" s="1012"/>
      <c r="BF37" s="1012"/>
      <c r="BG37" s="1013"/>
    </row>
    <row r="38" spans="1:59" x14ac:dyDescent="0.2">
      <c r="B38" s="1014"/>
      <c r="C38" s="1015"/>
      <c r="D38" s="1015"/>
      <c r="E38" s="1015"/>
      <c r="F38" s="1015"/>
      <c r="G38" s="1015"/>
      <c r="H38" s="1015"/>
      <c r="I38" s="1015"/>
      <c r="J38" s="1015"/>
      <c r="K38" s="1015"/>
      <c r="L38" s="1015"/>
      <c r="M38" s="1015"/>
      <c r="N38" s="1015"/>
      <c r="O38" s="1015"/>
      <c r="P38" s="1015"/>
      <c r="Q38" s="1015"/>
      <c r="R38" s="1015"/>
      <c r="S38" s="1015"/>
      <c r="T38" s="1015"/>
      <c r="U38" s="1015"/>
      <c r="V38" s="1015"/>
      <c r="W38" s="1015"/>
      <c r="X38" s="1015"/>
      <c r="Y38" s="1015"/>
      <c r="Z38" s="1015"/>
      <c r="AA38" s="1015"/>
      <c r="AB38" s="1015"/>
      <c r="AC38" s="1015"/>
      <c r="AD38" s="1015"/>
      <c r="AE38" s="1015"/>
      <c r="AF38" s="1015"/>
      <c r="AG38" s="1015"/>
      <c r="AH38" s="1015"/>
      <c r="AI38" s="1015"/>
      <c r="AJ38" s="1015"/>
      <c r="AK38" s="1015"/>
      <c r="AL38" s="1015"/>
      <c r="AM38" s="1015"/>
      <c r="AN38" s="1015"/>
      <c r="AO38" s="1015"/>
      <c r="AP38" s="1015"/>
      <c r="AQ38" s="1015"/>
      <c r="AR38" s="1015"/>
      <c r="AS38" s="1015"/>
      <c r="AT38" s="1015"/>
      <c r="AU38" s="1015"/>
      <c r="AV38" s="1015"/>
      <c r="AW38" s="1015"/>
      <c r="AX38" s="1015"/>
      <c r="AY38" s="1015"/>
      <c r="AZ38" s="1015"/>
      <c r="BA38" s="1015"/>
      <c r="BB38" s="1015"/>
      <c r="BC38" s="1015"/>
      <c r="BD38" s="1015"/>
      <c r="BE38" s="1015"/>
      <c r="BF38" s="1015"/>
      <c r="BG38" s="1016"/>
    </row>
    <row r="39" spans="1:59" ht="27" customHeight="1" x14ac:dyDescent="0.2">
      <c r="B39" s="1014"/>
      <c r="C39" s="1632" t="s">
        <v>981</v>
      </c>
      <c r="D39" s="1632"/>
      <c r="E39" s="1632"/>
      <c r="F39" s="1632"/>
      <c r="G39" s="1632"/>
      <c r="H39" s="1632"/>
      <c r="I39" s="1632"/>
      <c r="J39" s="1632"/>
      <c r="K39" s="1632"/>
      <c r="L39" s="1632"/>
      <c r="M39" s="1632"/>
      <c r="N39" s="1632"/>
      <c r="O39" s="1632"/>
      <c r="P39" s="1632"/>
      <c r="Q39" s="1632"/>
      <c r="R39" s="1632"/>
      <c r="S39" s="1632"/>
      <c r="T39" s="1632"/>
      <c r="U39" s="1632"/>
      <c r="V39" s="1632"/>
      <c r="W39" s="1632"/>
      <c r="X39" s="1632"/>
      <c r="Y39" s="1632"/>
      <c r="Z39" s="1632"/>
      <c r="AA39" s="1632"/>
      <c r="AB39" s="1632"/>
      <c r="AC39" s="1632"/>
      <c r="AD39" s="1632"/>
      <c r="AE39" s="1632"/>
      <c r="AF39" s="1632"/>
      <c r="AG39" s="1632"/>
      <c r="AH39" s="1632"/>
      <c r="AI39" s="1632"/>
      <c r="AJ39" s="1632"/>
      <c r="AK39" s="1632"/>
      <c r="AL39" s="1632"/>
      <c r="AM39" s="1632"/>
      <c r="AN39" s="1632"/>
      <c r="AO39" s="1632"/>
      <c r="AP39" s="1632"/>
      <c r="AQ39" s="1632"/>
      <c r="AR39" s="1632"/>
      <c r="AS39" s="1632"/>
      <c r="AT39" s="1632"/>
      <c r="AU39" s="1632"/>
      <c r="AV39" s="1632"/>
      <c r="AW39" s="1632"/>
      <c r="AX39" s="1632"/>
      <c r="AY39" s="1632"/>
      <c r="AZ39" s="1632"/>
      <c r="BA39" s="1632"/>
      <c r="BB39" s="1632"/>
      <c r="BC39" s="1632"/>
      <c r="BD39" s="1632"/>
      <c r="BE39" s="1632"/>
      <c r="BF39" s="1632"/>
      <c r="BG39" s="1016"/>
    </row>
    <row r="40" spans="1:59" x14ac:dyDescent="0.2">
      <c r="B40" s="1014"/>
      <c r="C40" s="505"/>
      <c r="D40" s="987"/>
      <c r="E40" s="1623" t="s">
        <v>774</v>
      </c>
      <c r="F40" s="1623"/>
      <c r="G40" s="1623"/>
      <c r="H40" s="1623"/>
      <c r="I40" s="1623"/>
      <c r="J40" s="1623"/>
      <c r="K40" s="1623"/>
      <c r="L40" s="1623"/>
      <c r="M40" s="1623"/>
      <c r="N40" s="1623"/>
      <c r="O40" s="1623"/>
      <c r="P40" s="1623"/>
      <c r="Q40" s="1623"/>
      <c r="R40" s="1623"/>
      <c r="S40" s="1623"/>
      <c r="T40" s="1623"/>
      <c r="U40" s="1623"/>
      <c r="V40" s="1623"/>
      <c r="W40" s="1623"/>
      <c r="X40" s="1623"/>
      <c r="Y40" s="1623"/>
      <c r="Z40" s="1623"/>
      <c r="AA40" s="1623"/>
      <c r="AB40" s="1623"/>
      <c r="AC40" s="1623"/>
      <c r="AD40" s="1623"/>
      <c r="AE40" s="1623"/>
      <c r="AF40" s="1623"/>
      <c r="AG40" s="1623"/>
      <c r="AH40" s="1623"/>
      <c r="AI40" s="1623"/>
      <c r="AJ40" s="1623"/>
      <c r="AK40" s="1623"/>
      <c r="AL40" s="1623"/>
      <c r="AM40" s="1623"/>
      <c r="AN40" s="1623"/>
      <c r="AO40" s="1623"/>
      <c r="AP40" s="1623"/>
      <c r="AQ40" s="1623"/>
      <c r="AR40" s="1623"/>
      <c r="AS40" s="1623"/>
      <c r="AT40" s="1623"/>
      <c r="AU40" s="1623"/>
      <c r="AV40" s="1623"/>
      <c r="AW40" s="1623"/>
      <c r="AX40" s="1623"/>
      <c r="AY40" s="1623"/>
      <c r="AZ40" s="1623"/>
      <c r="BA40" s="1623"/>
      <c r="BB40" s="1623"/>
      <c r="BC40" s="1623"/>
      <c r="BD40" s="1623"/>
      <c r="BE40" s="1623"/>
      <c r="BF40" s="1623"/>
      <c r="BG40" s="1016"/>
    </row>
    <row r="41" spans="1:59" x14ac:dyDescent="0.2">
      <c r="B41" s="1014"/>
      <c r="C41" s="505"/>
      <c r="D41" s="987"/>
      <c r="E41" s="1623" t="s">
        <v>982</v>
      </c>
      <c r="F41" s="1623"/>
      <c r="G41" s="1623"/>
      <c r="H41" s="1623"/>
      <c r="I41" s="1623"/>
      <c r="J41" s="1623"/>
      <c r="K41" s="1623"/>
      <c r="L41" s="1623"/>
      <c r="M41" s="1623"/>
      <c r="N41" s="1623"/>
      <c r="O41" s="1623"/>
      <c r="P41" s="1623"/>
      <c r="Q41" s="1623"/>
      <c r="R41" s="1623"/>
      <c r="S41" s="1623"/>
      <c r="T41" s="1623"/>
      <c r="U41" s="1623"/>
      <c r="V41" s="1623"/>
      <c r="W41" s="1623"/>
      <c r="X41" s="1623"/>
      <c r="Y41" s="1623"/>
      <c r="Z41" s="1623"/>
      <c r="AA41" s="1623"/>
      <c r="AB41" s="1623"/>
      <c r="AC41" s="1623"/>
      <c r="AD41" s="1623"/>
      <c r="AE41" s="1623"/>
      <c r="AF41" s="1623"/>
      <c r="AG41" s="1623"/>
      <c r="AH41" s="1623"/>
      <c r="AI41" s="1623"/>
      <c r="AJ41" s="1623"/>
      <c r="AK41" s="1623"/>
      <c r="AL41" s="1623"/>
      <c r="AM41" s="1623"/>
      <c r="AN41" s="1623"/>
      <c r="AO41" s="1623"/>
      <c r="AP41" s="1623"/>
      <c r="AQ41" s="1623"/>
      <c r="AR41" s="1623"/>
      <c r="AS41" s="1623"/>
      <c r="AT41" s="1623"/>
      <c r="AU41" s="1623"/>
      <c r="AV41" s="1623"/>
      <c r="AW41" s="1623"/>
      <c r="AX41" s="1623"/>
      <c r="AY41" s="1623"/>
      <c r="AZ41" s="1623"/>
      <c r="BA41" s="1623"/>
      <c r="BB41" s="1623"/>
      <c r="BC41" s="1623"/>
      <c r="BD41" s="1623"/>
      <c r="BE41" s="1623"/>
      <c r="BF41" s="1623"/>
      <c r="BG41" s="1016"/>
    </row>
    <row r="42" spans="1:59" x14ac:dyDescent="0.2">
      <c r="B42" s="1014"/>
      <c r="C42" s="535"/>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c r="BA42" s="535"/>
      <c r="BB42" s="535"/>
      <c r="BC42" s="535"/>
      <c r="BD42" s="535"/>
      <c r="BE42" s="535"/>
      <c r="BF42" s="535"/>
      <c r="BG42" s="1016"/>
    </row>
    <row r="43" spans="1:59" x14ac:dyDescent="0.2">
      <c r="B43" s="1014"/>
      <c r="C43" s="535"/>
      <c r="D43" s="1650" t="s">
        <v>983</v>
      </c>
      <c r="E43" s="1651"/>
      <c r="F43" s="535"/>
      <c r="G43" s="1650" t="s">
        <v>984</v>
      </c>
      <c r="H43" s="1652"/>
      <c r="I43" s="1652"/>
      <c r="J43" s="1652"/>
      <c r="K43" s="1652"/>
      <c r="L43" s="1652"/>
      <c r="M43" s="1652"/>
      <c r="N43" s="1652"/>
      <c r="O43" s="1652"/>
      <c r="P43" s="1651"/>
      <c r="Q43" s="535"/>
      <c r="R43" s="1650" t="s">
        <v>985</v>
      </c>
      <c r="S43" s="1652"/>
      <c r="T43" s="1652"/>
      <c r="U43" s="1652"/>
      <c r="V43" s="1652"/>
      <c r="W43" s="1652"/>
      <c r="X43" s="1652"/>
      <c r="Y43" s="1652"/>
      <c r="Z43" s="1652"/>
      <c r="AA43" s="1651"/>
      <c r="AB43" s="535"/>
      <c r="AC43" s="1650" t="s">
        <v>1029</v>
      </c>
      <c r="AD43" s="1652"/>
      <c r="AE43" s="1652"/>
      <c r="AF43" s="1652"/>
      <c r="AG43" s="1652"/>
      <c r="AH43" s="1652"/>
      <c r="AI43" s="1652"/>
      <c r="AJ43" s="1652"/>
      <c r="AK43" s="1652"/>
      <c r="AL43" s="1651"/>
      <c r="AM43" s="535"/>
      <c r="AN43" s="1650" t="s">
        <v>1031</v>
      </c>
      <c r="AO43" s="1652"/>
      <c r="AP43" s="1652"/>
      <c r="AQ43" s="1652"/>
      <c r="AR43" s="1652"/>
      <c r="AS43" s="1652"/>
      <c r="AT43" s="1652"/>
      <c r="AU43" s="1652"/>
      <c r="AV43" s="1652"/>
      <c r="AW43" s="1651"/>
      <c r="AX43" s="535"/>
      <c r="AY43" s="1650" t="s">
        <v>986</v>
      </c>
      <c r="AZ43" s="1652"/>
      <c r="BA43" s="1652"/>
      <c r="BB43" s="1652"/>
      <c r="BC43" s="1652"/>
      <c r="BD43" s="1652"/>
      <c r="BE43" s="1652"/>
      <c r="BF43" s="1651"/>
      <c r="BG43" s="1016"/>
    </row>
    <row r="44" spans="1:59" x14ac:dyDescent="0.2">
      <c r="B44" s="10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c r="AH44" s="514"/>
      <c r="AI44" s="514"/>
      <c r="AJ44" s="514"/>
      <c r="AK44" s="514"/>
      <c r="AL44" s="514"/>
      <c r="AM44" s="514"/>
      <c r="AN44" s="514"/>
      <c r="AO44" s="514"/>
      <c r="AP44" s="514"/>
      <c r="AQ44" s="514"/>
      <c r="AR44" s="514"/>
      <c r="AS44" s="514"/>
      <c r="AT44" s="514"/>
      <c r="AU44" s="514"/>
      <c r="AV44" s="514"/>
      <c r="AW44" s="514"/>
      <c r="AX44" s="514"/>
      <c r="AY44" s="514"/>
      <c r="AZ44" s="514"/>
      <c r="BA44" s="514"/>
      <c r="BB44" s="514"/>
      <c r="BC44" s="514"/>
      <c r="BD44" s="514"/>
      <c r="BE44" s="514"/>
      <c r="BF44" s="514"/>
      <c r="BG44" s="1016"/>
    </row>
    <row r="45" spans="1:59" x14ac:dyDescent="0.2">
      <c r="B45" s="1014"/>
      <c r="C45" s="537"/>
      <c r="D45" s="1617">
        <v>1</v>
      </c>
      <c r="E45" s="1618"/>
      <c r="F45" s="535"/>
      <c r="G45" s="1616"/>
      <c r="H45" s="1616"/>
      <c r="I45" s="1616"/>
      <c r="J45" s="1616"/>
      <c r="K45" s="1616"/>
      <c r="L45" s="1616"/>
      <c r="M45" s="1616"/>
      <c r="N45" s="1616"/>
      <c r="O45" s="1616"/>
      <c r="P45" s="1616"/>
      <c r="Q45" s="535"/>
      <c r="R45" s="1616"/>
      <c r="S45" s="1616"/>
      <c r="T45" s="1616"/>
      <c r="U45" s="1616"/>
      <c r="V45" s="1616"/>
      <c r="W45" s="1616"/>
      <c r="X45" s="1616"/>
      <c r="Y45" s="1616"/>
      <c r="Z45" s="1616"/>
      <c r="AA45" s="1616"/>
      <c r="AB45" s="535"/>
      <c r="AC45" s="1615" t="s">
        <v>163</v>
      </c>
      <c r="AD45" s="1615"/>
      <c r="AE45" s="1615"/>
      <c r="AF45" s="1615"/>
      <c r="AG45" s="1615"/>
      <c r="AH45" s="1615"/>
      <c r="AI45" s="1615"/>
      <c r="AJ45" s="1615"/>
      <c r="AK45" s="1615"/>
      <c r="AL45" s="1615"/>
      <c r="AM45" s="535"/>
      <c r="AN45" s="1619">
        <v>0</v>
      </c>
      <c r="AO45" s="1619"/>
      <c r="AP45" s="1619"/>
      <c r="AQ45" s="1619"/>
      <c r="AR45" s="1619"/>
      <c r="AS45" s="1620">
        <v>0</v>
      </c>
      <c r="AT45" s="1620"/>
      <c r="AU45" s="1620"/>
      <c r="AV45" s="1620"/>
      <c r="AW45" s="1620"/>
      <c r="AX45" s="535"/>
      <c r="AY45" s="1616"/>
      <c r="AZ45" s="1616"/>
      <c r="BA45" s="1616"/>
      <c r="BB45" s="1616"/>
      <c r="BC45" s="1616"/>
      <c r="BD45" s="1616"/>
      <c r="BE45" s="1616"/>
      <c r="BF45" s="1616"/>
      <c r="BG45" s="1016"/>
    </row>
    <row r="46" spans="1:59" x14ac:dyDescent="0.2">
      <c r="B46" s="1014"/>
      <c r="C46" s="535"/>
      <c r="D46" s="536"/>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1016"/>
    </row>
    <row r="47" spans="1:59" ht="15" customHeight="1" x14ac:dyDescent="0.2">
      <c r="B47" s="1014"/>
      <c r="C47" s="535"/>
      <c r="D47" s="1617">
        <v>2</v>
      </c>
      <c r="E47" s="1618"/>
      <c r="F47" s="535"/>
      <c r="G47" s="1616"/>
      <c r="H47" s="1616"/>
      <c r="I47" s="1616"/>
      <c r="J47" s="1616"/>
      <c r="K47" s="1616"/>
      <c r="L47" s="1616"/>
      <c r="M47" s="1616"/>
      <c r="N47" s="1616"/>
      <c r="O47" s="1616"/>
      <c r="P47" s="1616"/>
      <c r="Q47" s="535"/>
      <c r="R47" s="1616"/>
      <c r="S47" s="1616"/>
      <c r="T47" s="1616"/>
      <c r="U47" s="1616"/>
      <c r="V47" s="1616"/>
      <c r="W47" s="1616"/>
      <c r="X47" s="1616"/>
      <c r="Y47" s="1616"/>
      <c r="Z47" s="1616"/>
      <c r="AA47" s="1616"/>
      <c r="AB47" s="535"/>
      <c r="AC47" s="1615" t="s">
        <v>163</v>
      </c>
      <c r="AD47" s="1615"/>
      <c r="AE47" s="1615"/>
      <c r="AF47" s="1615"/>
      <c r="AG47" s="1615"/>
      <c r="AH47" s="1615"/>
      <c r="AI47" s="1615"/>
      <c r="AJ47" s="1615"/>
      <c r="AK47" s="1615"/>
      <c r="AL47" s="1615"/>
      <c r="AM47" s="535"/>
      <c r="AN47" s="1619">
        <v>0</v>
      </c>
      <c r="AO47" s="1619"/>
      <c r="AP47" s="1619"/>
      <c r="AQ47" s="1619"/>
      <c r="AR47" s="1619"/>
      <c r="AS47" s="1620">
        <v>0</v>
      </c>
      <c r="AT47" s="1620"/>
      <c r="AU47" s="1620"/>
      <c r="AV47" s="1620"/>
      <c r="AW47" s="1620"/>
      <c r="AX47" s="535"/>
      <c r="AY47" s="1616"/>
      <c r="AZ47" s="1616"/>
      <c r="BA47" s="1616"/>
      <c r="BB47" s="1616"/>
      <c r="BC47" s="1616"/>
      <c r="BD47" s="1616"/>
      <c r="BE47" s="1616"/>
      <c r="BF47" s="1616"/>
      <c r="BG47" s="1016"/>
    </row>
    <row r="48" spans="1:59" x14ac:dyDescent="0.2">
      <c r="B48" s="1014"/>
      <c r="C48" s="535"/>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1016"/>
    </row>
    <row r="49" spans="2:59" ht="15" customHeight="1" x14ac:dyDescent="0.2">
      <c r="B49" s="1014"/>
      <c r="C49" s="535"/>
      <c r="D49" s="1617">
        <v>3</v>
      </c>
      <c r="E49" s="1618"/>
      <c r="F49" s="535"/>
      <c r="G49" s="1616"/>
      <c r="H49" s="1616"/>
      <c r="I49" s="1616"/>
      <c r="J49" s="1616"/>
      <c r="K49" s="1616"/>
      <c r="L49" s="1616"/>
      <c r="M49" s="1616"/>
      <c r="N49" s="1616"/>
      <c r="O49" s="1616"/>
      <c r="P49" s="1616"/>
      <c r="Q49" s="535"/>
      <c r="R49" s="1616"/>
      <c r="S49" s="1616"/>
      <c r="T49" s="1616"/>
      <c r="U49" s="1616"/>
      <c r="V49" s="1616"/>
      <c r="W49" s="1616"/>
      <c r="X49" s="1616"/>
      <c r="Y49" s="1616"/>
      <c r="Z49" s="1616"/>
      <c r="AA49" s="1616"/>
      <c r="AB49" s="535"/>
      <c r="AC49" s="1615" t="s">
        <v>163</v>
      </c>
      <c r="AD49" s="1615"/>
      <c r="AE49" s="1615"/>
      <c r="AF49" s="1615"/>
      <c r="AG49" s="1615"/>
      <c r="AH49" s="1615"/>
      <c r="AI49" s="1615"/>
      <c r="AJ49" s="1615"/>
      <c r="AK49" s="1615"/>
      <c r="AL49" s="1615"/>
      <c r="AM49" s="535"/>
      <c r="AN49" s="1619">
        <v>0</v>
      </c>
      <c r="AO49" s="1619"/>
      <c r="AP49" s="1619"/>
      <c r="AQ49" s="1619"/>
      <c r="AR49" s="1619"/>
      <c r="AS49" s="1620">
        <v>0</v>
      </c>
      <c r="AT49" s="1620"/>
      <c r="AU49" s="1620"/>
      <c r="AV49" s="1620"/>
      <c r="AW49" s="1620"/>
      <c r="AX49" s="535"/>
      <c r="AY49" s="1616"/>
      <c r="AZ49" s="1616"/>
      <c r="BA49" s="1616"/>
      <c r="BB49" s="1616"/>
      <c r="BC49" s="1616"/>
      <c r="BD49" s="1616"/>
      <c r="BE49" s="1616"/>
      <c r="BF49" s="1616"/>
      <c r="BG49" s="1016"/>
    </row>
    <row r="50" spans="2:59" x14ac:dyDescent="0.2">
      <c r="B50" s="1014"/>
      <c r="C50" s="1015"/>
      <c r="D50" s="1015"/>
      <c r="E50" s="1015"/>
      <c r="F50" s="1015"/>
      <c r="G50" s="1015"/>
      <c r="H50" s="1015"/>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1015"/>
      <c r="AO50" s="1015"/>
      <c r="AP50" s="1015"/>
      <c r="AQ50" s="1015"/>
      <c r="AR50" s="1015"/>
      <c r="AS50" s="1015"/>
      <c r="AT50" s="1015"/>
      <c r="AU50" s="1015"/>
      <c r="AV50" s="1015"/>
      <c r="AW50" s="1015"/>
      <c r="AX50" s="1015"/>
      <c r="AY50" s="1015"/>
      <c r="AZ50" s="1015"/>
      <c r="BA50" s="1015"/>
      <c r="BB50" s="1015"/>
      <c r="BC50" s="1015"/>
      <c r="BD50" s="1015"/>
      <c r="BE50" s="1015"/>
      <c r="BF50" s="1015"/>
      <c r="BG50" s="1016"/>
    </row>
    <row r="51" spans="2:59" ht="15" customHeight="1" x14ac:dyDescent="0.2">
      <c r="B51" s="1014"/>
      <c r="C51" s="1015"/>
      <c r="D51" s="1617">
        <v>4</v>
      </c>
      <c r="E51" s="1618"/>
      <c r="F51" s="535"/>
      <c r="G51" s="1616"/>
      <c r="H51" s="1616"/>
      <c r="I51" s="1616"/>
      <c r="J51" s="1616"/>
      <c r="K51" s="1616"/>
      <c r="L51" s="1616"/>
      <c r="M51" s="1616"/>
      <c r="N51" s="1616"/>
      <c r="O51" s="1616"/>
      <c r="P51" s="1616"/>
      <c r="Q51" s="535"/>
      <c r="R51" s="1616"/>
      <c r="S51" s="1616"/>
      <c r="T51" s="1616"/>
      <c r="U51" s="1616"/>
      <c r="V51" s="1616"/>
      <c r="W51" s="1616"/>
      <c r="X51" s="1616"/>
      <c r="Y51" s="1616"/>
      <c r="Z51" s="1616"/>
      <c r="AA51" s="1616"/>
      <c r="AB51" s="535"/>
      <c r="AC51" s="1615" t="s">
        <v>163</v>
      </c>
      <c r="AD51" s="1615"/>
      <c r="AE51" s="1615"/>
      <c r="AF51" s="1615"/>
      <c r="AG51" s="1615"/>
      <c r="AH51" s="1615"/>
      <c r="AI51" s="1615"/>
      <c r="AJ51" s="1615"/>
      <c r="AK51" s="1615"/>
      <c r="AL51" s="1615"/>
      <c r="AM51" s="535"/>
      <c r="AN51" s="1619">
        <v>0</v>
      </c>
      <c r="AO51" s="1619"/>
      <c r="AP51" s="1619"/>
      <c r="AQ51" s="1619"/>
      <c r="AR51" s="1619"/>
      <c r="AS51" s="1620">
        <v>0</v>
      </c>
      <c r="AT51" s="1620"/>
      <c r="AU51" s="1620"/>
      <c r="AV51" s="1620"/>
      <c r="AW51" s="1620"/>
      <c r="AX51" s="535"/>
      <c r="AY51" s="1616"/>
      <c r="AZ51" s="1616"/>
      <c r="BA51" s="1616"/>
      <c r="BB51" s="1616"/>
      <c r="BC51" s="1616"/>
      <c r="BD51" s="1616"/>
      <c r="BE51" s="1616"/>
      <c r="BF51" s="1616"/>
      <c r="BG51" s="1016"/>
    </row>
    <row r="52" spans="2:59" x14ac:dyDescent="0.2">
      <c r="B52" s="1014"/>
      <c r="C52" s="1015"/>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5"/>
      <c r="AG52" s="1015"/>
      <c r="AH52" s="1015"/>
      <c r="AI52" s="1015"/>
      <c r="AJ52" s="1015"/>
      <c r="AK52" s="1015"/>
      <c r="AL52" s="1015"/>
      <c r="AM52" s="1015"/>
      <c r="AN52" s="1015"/>
      <c r="AO52" s="1015"/>
      <c r="AP52" s="1015"/>
      <c r="AQ52" s="1015"/>
      <c r="AR52" s="1015"/>
      <c r="AS52" s="1015"/>
      <c r="AT52" s="1015"/>
      <c r="AU52" s="1015"/>
      <c r="AV52" s="1015"/>
      <c r="AW52" s="1015"/>
      <c r="AX52" s="1015"/>
      <c r="AY52" s="1015"/>
      <c r="AZ52" s="1015"/>
      <c r="BA52" s="1015"/>
      <c r="BB52" s="1015"/>
      <c r="BC52" s="1015"/>
      <c r="BD52" s="1015"/>
      <c r="BE52" s="1015"/>
      <c r="BF52" s="1015"/>
      <c r="BG52" s="1016"/>
    </row>
    <row r="53" spans="2:59" ht="15" customHeight="1" x14ac:dyDescent="0.2">
      <c r="B53" s="1014"/>
      <c r="C53" s="1015"/>
      <c r="D53" s="1617">
        <v>5</v>
      </c>
      <c r="E53" s="1618"/>
      <c r="F53" s="535"/>
      <c r="G53" s="1616"/>
      <c r="H53" s="1616"/>
      <c r="I53" s="1616"/>
      <c r="J53" s="1616"/>
      <c r="K53" s="1616"/>
      <c r="L53" s="1616"/>
      <c r="M53" s="1616"/>
      <c r="N53" s="1616"/>
      <c r="O53" s="1616"/>
      <c r="P53" s="1616"/>
      <c r="Q53" s="535"/>
      <c r="R53" s="1616"/>
      <c r="S53" s="1616"/>
      <c r="T53" s="1616"/>
      <c r="U53" s="1616"/>
      <c r="V53" s="1616"/>
      <c r="W53" s="1616"/>
      <c r="X53" s="1616"/>
      <c r="Y53" s="1616"/>
      <c r="Z53" s="1616"/>
      <c r="AA53" s="1616"/>
      <c r="AB53" s="535"/>
      <c r="AC53" s="1615" t="s">
        <v>163</v>
      </c>
      <c r="AD53" s="1615"/>
      <c r="AE53" s="1615"/>
      <c r="AF53" s="1615"/>
      <c r="AG53" s="1615"/>
      <c r="AH53" s="1615"/>
      <c r="AI53" s="1615"/>
      <c r="AJ53" s="1615"/>
      <c r="AK53" s="1615"/>
      <c r="AL53" s="1615"/>
      <c r="AM53" s="535"/>
      <c r="AN53" s="1619">
        <v>0</v>
      </c>
      <c r="AO53" s="1619"/>
      <c r="AP53" s="1619"/>
      <c r="AQ53" s="1619"/>
      <c r="AR53" s="1619"/>
      <c r="AS53" s="1620">
        <v>0</v>
      </c>
      <c r="AT53" s="1620"/>
      <c r="AU53" s="1620"/>
      <c r="AV53" s="1620"/>
      <c r="AW53" s="1620"/>
      <c r="AX53" s="535"/>
      <c r="AY53" s="1616"/>
      <c r="AZ53" s="1616"/>
      <c r="BA53" s="1616"/>
      <c r="BB53" s="1616"/>
      <c r="BC53" s="1616"/>
      <c r="BD53" s="1616"/>
      <c r="BE53" s="1616"/>
      <c r="BF53" s="1616"/>
      <c r="BG53" s="1016"/>
    </row>
    <row r="54" spans="2:59" x14ac:dyDescent="0.2">
      <c r="B54" s="1014"/>
      <c r="C54" s="1015"/>
      <c r="D54" s="1015"/>
      <c r="E54" s="1015"/>
      <c r="F54" s="1015"/>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1015"/>
      <c r="AD54" s="1015"/>
      <c r="AE54" s="1015"/>
      <c r="AF54" s="1015"/>
      <c r="AG54" s="1015"/>
      <c r="AH54" s="1015"/>
      <c r="AI54" s="1015"/>
      <c r="AJ54" s="1015"/>
      <c r="AK54" s="1015"/>
      <c r="AL54" s="1015"/>
      <c r="AM54" s="1015"/>
      <c r="AN54" s="1015"/>
      <c r="AO54" s="1015"/>
      <c r="AP54" s="1015"/>
      <c r="AQ54" s="1015"/>
      <c r="AR54" s="1015"/>
      <c r="AS54" s="1015"/>
      <c r="AT54" s="1015"/>
      <c r="AU54" s="1015"/>
      <c r="AV54" s="1015"/>
      <c r="AW54" s="1015"/>
      <c r="AX54" s="1015"/>
      <c r="AY54" s="1015"/>
      <c r="AZ54" s="1015"/>
      <c r="BA54" s="1015"/>
      <c r="BB54" s="1015"/>
      <c r="BC54" s="1015"/>
      <c r="BD54" s="1015"/>
      <c r="BE54" s="1015"/>
      <c r="BF54" s="1015"/>
      <c r="BG54" s="1016"/>
    </row>
    <row r="55" spans="2:59" ht="15" customHeight="1" x14ac:dyDescent="0.2">
      <c r="B55" s="1014"/>
      <c r="C55" s="1015"/>
      <c r="D55" s="1617">
        <v>6</v>
      </c>
      <c r="E55" s="1618"/>
      <c r="F55" s="535"/>
      <c r="G55" s="1616"/>
      <c r="H55" s="1616"/>
      <c r="I55" s="1616"/>
      <c r="J55" s="1616"/>
      <c r="K55" s="1616"/>
      <c r="L55" s="1616"/>
      <c r="M55" s="1616"/>
      <c r="N55" s="1616"/>
      <c r="O55" s="1616"/>
      <c r="P55" s="1616"/>
      <c r="Q55" s="535"/>
      <c r="R55" s="1616"/>
      <c r="S55" s="1616"/>
      <c r="T55" s="1616"/>
      <c r="U55" s="1616"/>
      <c r="V55" s="1616"/>
      <c r="W55" s="1616"/>
      <c r="X55" s="1616"/>
      <c r="Y55" s="1616"/>
      <c r="Z55" s="1616"/>
      <c r="AA55" s="1616"/>
      <c r="AB55" s="535"/>
      <c r="AC55" s="1615" t="s">
        <v>163</v>
      </c>
      <c r="AD55" s="1615"/>
      <c r="AE55" s="1615"/>
      <c r="AF55" s="1615"/>
      <c r="AG55" s="1615"/>
      <c r="AH55" s="1615"/>
      <c r="AI55" s="1615"/>
      <c r="AJ55" s="1615"/>
      <c r="AK55" s="1615"/>
      <c r="AL55" s="1615"/>
      <c r="AM55" s="535"/>
      <c r="AN55" s="1619">
        <v>0</v>
      </c>
      <c r="AO55" s="1619"/>
      <c r="AP55" s="1619"/>
      <c r="AQ55" s="1619"/>
      <c r="AR55" s="1619"/>
      <c r="AS55" s="1620">
        <v>0</v>
      </c>
      <c r="AT55" s="1620"/>
      <c r="AU55" s="1620"/>
      <c r="AV55" s="1620"/>
      <c r="AW55" s="1620"/>
      <c r="AX55" s="535"/>
      <c r="AY55" s="1616"/>
      <c r="AZ55" s="1616"/>
      <c r="BA55" s="1616"/>
      <c r="BB55" s="1616"/>
      <c r="BC55" s="1616"/>
      <c r="BD55" s="1616"/>
      <c r="BE55" s="1616"/>
      <c r="BF55" s="1616"/>
      <c r="BG55" s="1016"/>
    </row>
    <row r="56" spans="2:59" x14ac:dyDescent="0.2">
      <c r="B56" s="1014"/>
      <c r="C56" s="1015"/>
      <c r="D56" s="1015"/>
      <c r="E56" s="1015"/>
      <c r="F56" s="1015"/>
      <c r="G56" s="1015"/>
      <c r="H56" s="1015"/>
      <c r="I56" s="1015"/>
      <c r="J56" s="1015"/>
      <c r="K56" s="1015"/>
      <c r="L56" s="1015"/>
      <c r="M56" s="1015"/>
      <c r="N56" s="1015"/>
      <c r="O56" s="1015"/>
      <c r="P56" s="1015"/>
      <c r="Q56" s="1015"/>
      <c r="R56" s="1015"/>
      <c r="S56" s="1015"/>
      <c r="T56" s="1015"/>
      <c r="U56" s="1015"/>
      <c r="V56" s="1015"/>
      <c r="W56" s="1015"/>
      <c r="X56" s="1015"/>
      <c r="Y56" s="1015"/>
      <c r="Z56" s="1015"/>
      <c r="AA56" s="1015"/>
      <c r="AB56" s="1015"/>
      <c r="AC56" s="1015"/>
      <c r="AD56" s="1015"/>
      <c r="AE56" s="1015"/>
      <c r="AF56" s="1015"/>
      <c r="AG56" s="1015"/>
      <c r="AH56" s="1015"/>
      <c r="AI56" s="1015"/>
      <c r="AJ56" s="1015"/>
      <c r="AK56" s="1015"/>
      <c r="AL56" s="1015"/>
      <c r="AM56" s="1015"/>
      <c r="AN56" s="1015"/>
      <c r="AO56" s="1015"/>
      <c r="AP56" s="1015"/>
      <c r="AQ56" s="1015"/>
      <c r="AR56" s="1015"/>
      <c r="AS56" s="1015"/>
      <c r="AT56" s="1015"/>
      <c r="AU56" s="1015"/>
      <c r="AV56" s="1015"/>
      <c r="AW56" s="1015"/>
      <c r="AX56" s="1015"/>
      <c r="AY56" s="1015"/>
      <c r="AZ56" s="1015"/>
      <c r="BA56" s="1015"/>
      <c r="BB56" s="1015"/>
      <c r="BC56" s="1015"/>
      <c r="BD56" s="1015"/>
      <c r="BE56" s="1015"/>
      <c r="BF56" s="1015"/>
      <c r="BG56" s="1016"/>
    </row>
    <row r="57" spans="2:59" ht="15" customHeight="1" x14ac:dyDescent="0.2">
      <c r="B57" s="1014"/>
      <c r="C57" s="1015"/>
      <c r="D57" s="1617">
        <v>7</v>
      </c>
      <c r="E57" s="1618"/>
      <c r="F57" s="535"/>
      <c r="G57" s="1616"/>
      <c r="H57" s="1616"/>
      <c r="I57" s="1616"/>
      <c r="J57" s="1616"/>
      <c r="K57" s="1616"/>
      <c r="L57" s="1616"/>
      <c r="M57" s="1616"/>
      <c r="N57" s="1616"/>
      <c r="O57" s="1616"/>
      <c r="P57" s="1616"/>
      <c r="Q57" s="535"/>
      <c r="R57" s="1616"/>
      <c r="S57" s="1616"/>
      <c r="T57" s="1616"/>
      <c r="U57" s="1616"/>
      <c r="V57" s="1616"/>
      <c r="W57" s="1616"/>
      <c r="X57" s="1616"/>
      <c r="Y57" s="1616"/>
      <c r="Z57" s="1616"/>
      <c r="AA57" s="1616"/>
      <c r="AB57" s="535"/>
      <c r="AC57" s="1615" t="s">
        <v>163</v>
      </c>
      <c r="AD57" s="1615"/>
      <c r="AE57" s="1615"/>
      <c r="AF57" s="1615"/>
      <c r="AG57" s="1615"/>
      <c r="AH57" s="1615"/>
      <c r="AI57" s="1615"/>
      <c r="AJ57" s="1615"/>
      <c r="AK57" s="1615"/>
      <c r="AL57" s="1615"/>
      <c r="AM57" s="535"/>
      <c r="AN57" s="1619">
        <v>0</v>
      </c>
      <c r="AO57" s="1619"/>
      <c r="AP57" s="1619"/>
      <c r="AQ57" s="1619"/>
      <c r="AR57" s="1619"/>
      <c r="AS57" s="1620">
        <v>0</v>
      </c>
      <c r="AT57" s="1620"/>
      <c r="AU57" s="1620"/>
      <c r="AV57" s="1620"/>
      <c r="AW57" s="1620"/>
      <c r="AX57" s="535"/>
      <c r="AY57" s="1616"/>
      <c r="AZ57" s="1616"/>
      <c r="BA57" s="1616"/>
      <c r="BB57" s="1616"/>
      <c r="BC57" s="1616"/>
      <c r="BD57" s="1616"/>
      <c r="BE57" s="1616"/>
      <c r="BF57" s="1616"/>
      <c r="BG57" s="1016"/>
    </row>
    <row r="58" spans="2:59" x14ac:dyDescent="0.2">
      <c r="B58" s="1014"/>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1015"/>
      <c r="AM58" s="1015"/>
      <c r="AN58" s="1015"/>
      <c r="AO58" s="1015"/>
      <c r="AP58" s="1015"/>
      <c r="AQ58" s="1015"/>
      <c r="AR58" s="1015"/>
      <c r="AS58" s="1015"/>
      <c r="AT58" s="1015"/>
      <c r="AU58" s="1015"/>
      <c r="AV58" s="1015"/>
      <c r="AW58" s="1015"/>
      <c r="AX58" s="1015"/>
      <c r="AY58" s="1015"/>
      <c r="AZ58" s="1015"/>
      <c r="BA58" s="1015"/>
      <c r="BB58" s="1015"/>
      <c r="BC58" s="1015"/>
      <c r="BD58" s="1015"/>
      <c r="BE58" s="1015"/>
      <c r="BF58" s="1015"/>
      <c r="BG58" s="1016"/>
    </row>
    <row r="59" spans="2:59" ht="15" customHeight="1" x14ac:dyDescent="0.2">
      <c r="B59" s="1014"/>
      <c r="C59" s="1015"/>
      <c r="D59" s="1617">
        <v>8</v>
      </c>
      <c r="E59" s="1618"/>
      <c r="F59" s="535"/>
      <c r="G59" s="1616"/>
      <c r="H59" s="1616"/>
      <c r="I59" s="1616"/>
      <c r="J59" s="1616"/>
      <c r="K59" s="1616"/>
      <c r="L59" s="1616"/>
      <c r="M59" s="1616"/>
      <c r="N59" s="1616"/>
      <c r="O59" s="1616"/>
      <c r="P59" s="1616"/>
      <c r="Q59" s="535"/>
      <c r="R59" s="1616"/>
      <c r="S59" s="1616"/>
      <c r="T59" s="1616"/>
      <c r="U59" s="1616"/>
      <c r="V59" s="1616"/>
      <c r="W59" s="1616"/>
      <c r="X59" s="1616"/>
      <c r="Y59" s="1616"/>
      <c r="Z59" s="1616"/>
      <c r="AA59" s="1616"/>
      <c r="AB59" s="535"/>
      <c r="AC59" s="1615" t="s">
        <v>163</v>
      </c>
      <c r="AD59" s="1615"/>
      <c r="AE59" s="1615"/>
      <c r="AF59" s="1615"/>
      <c r="AG59" s="1615"/>
      <c r="AH59" s="1615"/>
      <c r="AI59" s="1615"/>
      <c r="AJ59" s="1615"/>
      <c r="AK59" s="1615"/>
      <c r="AL59" s="1615"/>
      <c r="AM59" s="535"/>
      <c r="AN59" s="1619">
        <v>0</v>
      </c>
      <c r="AO59" s="1619"/>
      <c r="AP59" s="1619"/>
      <c r="AQ59" s="1619"/>
      <c r="AR59" s="1619"/>
      <c r="AS59" s="1620">
        <v>0</v>
      </c>
      <c r="AT59" s="1620"/>
      <c r="AU59" s="1620"/>
      <c r="AV59" s="1620"/>
      <c r="AW59" s="1620"/>
      <c r="AX59" s="535"/>
      <c r="AY59" s="1616"/>
      <c r="AZ59" s="1616"/>
      <c r="BA59" s="1616"/>
      <c r="BB59" s="1616"/>
      <c r="BC59" s="1616"/>
      <c r="BD59" s="1616"/>
      <c r="BE59" s="1616"/>
      <c r="BF59" s="1616"/>
      <c r="BG59" s="1016"/>
    </row>
    <row r="60" spans="2:59" x14ac:dyDescent="0.2">
      <c r="B60" s="1014"/>
      <c r="C60" s="1015"/>
      <c r="D60" s="1015"/>
      <c r="E60" s="1015"/>
      <c r="F60" s="1015"/>
      <c r="G60" s="1015"/>
      <c r="H60" s="1015"/>
      <c r="I60" s="1015"/>
      <c r="J60" s="1015"/>
      <c r="K60" s="1015"/>
      <c r="L60" s="1015"/>
      <c r="M60" s="1015"/>
      <c r="N60" s="1015"/>
      <c r="O60" s="1015"/>
      <c r="P60" s="1015"/>
      <c r="Q60" s="1015"/>
      <c r="R60" s="1015"/>
      <c r="S60" s="1015"/>
      <c r="T60" s="1015"/>
      <c r="U60" s="1015"/>
      <c r="V60" s="1015"/>
      <c r="W60" s="1015"/>
      <c r="X60" s="1015"/>
      <c r="Y60" s="1015"/>
      <c r="Z60" s="1015"/>
      <c r="AA60" s="1015"/>
      <c r="AB60" s="1015"/>
      <c r="AC60" s="1015"/>
      <c r="AD60" s="1015"/>
      <c r="AE60" s="1015"/>
      <c r="AF60" s="1015"/>
      <c r="AG60" s="1015"/>
      <c r="AH60" s="1015"/>
      <c r="AI60" s="1015"/>
      <c r="AJ60" s="1015"/>
      <c r="AK60" s="1015"/>
      <c r="AL60" s="1015"/>
      <c r="AM60" s="1015"/>
      <c r="AN60" s="1015"/>
      <c r="AO60" s="1015"/>
      <c r="AP60" s="1015"/>
      <c r="AQ60" s="1015"/>
      <c r="AR60" s="1015"/>
      <c r="AS60" s="1015"/>
      <c r="AT60" s="1015"/>
      <c r="AU60" s="1015"/>
      <c r="AV60" s="1015"/>
      <c r="AW60" s="1015"/>
      <c r="AX60" s="1015"/>
      <c r="AY60" s="1015"/>
      <c r="AZ60" s="1015"/>
      <c r="BA60" s="1015"/>
      <c r="BB60" s="1015"/>
      <c r="BC60" s="1015"/>
      <c r="BD60" s="1015"/>
      <c r="BE60" s="1015"/>
      <c r="BF60" s="1015"/>
      <c r="BG60" s="1016"/>
    </row>
    <row r="61" spans="2:59" ht="15" customHeight="1" x14ac:dyDescent="0.2">
      <c r="B61" s="1014"/>
      <c r="C61" s="1015"/>
      <c r="D61" s="1617">
        <v>9</v>
      </c>
      <c r="E61" s="1618"/>
      <c r="F61" s="535"/>
      <c r="G61" s="1616"/>
      <c r="H61" s="1616"/>
      <c r="I61" s="1616"/>
      <c r="J61" s="1616"/>
      <c r="K61" s="1616"/>
      <c r="L61" s="1616"/>
      <c r="M61" s="1616"/>
      <c r="N61" s="1616"/>
      <c r="O61" s="1616"/>
      <c r="P61" s="1616"/>
      <c r="Q61" s="535"/>
      <c r="R61" s="1616"/>
      <c r="S61" s="1616"/>
      <c r="T61" s="1616"/>
      <c r="U61" s="1616"/>
      <c r="V61" s="1616"/>
      <c r="W61" s="1616"/>
      <c r="X61" s="1616"/>
      <c r="Y61" s="1616"/>
      <c r="Z61" s="1616"/>
      <c r="AA61" s="1616"/>
      <c r="AB61" s="535"/>
      <c r="AC61" s="1615" t="s">
        <v>163</v>
      </c>
      <c r="AD61" s="1615"/>
      <c r="AE61" s="1615"/>
      <c r="AF61" s="1615"/>
      <c r="AG61" s="1615"/>
      <c r="AH61" s="1615"/>
      <c r="AI61" s="1615"/>
      <c r="AJ61" s="1615"/>
      <c r="AK61" s="1615"/>
      <c r="AL61" s="1615"/>
      <c r="AM61" s="535"/>
      <c r="AN61" s="1619">
        <v>0</v>
      </c>
      <c r="AO61" s="1619"/>
      <c r="AP61" s="1619"/>
      <c r="AQ61" s="1619"/>
      <c r="AR61" s="1619"/>
      <c r="AS61" s="1620">
        <v>0</v>
      </c>
      <c r="AT61" s="1620"/>
      <c r="AU61" s="1620"/>
      <c r="AV61" s="1620"/>
      <c r="AW61" s="1620"/>
      <c r="AX61" s="535"/>
      <c r="AY61" s="1616"/>
      <c r="AZ61" s="1616"/>
      <c r="BA61" s="1616"/>
      <c r="BB61" s="1616"/>
      <c r="BC61" s="1616"/>
      <c r="BD61" s="1616"/>
      <c r="BE61" s="1616"/>
      <c r="BF61" s="1616"/>
      <c r="BG61" s="1016"/>
    </row>
    <row r="62" spans="2:59" x14ac:dyDescent="0.2">
      <c r="B62" s="1014"/>
      <c r="C62" s="1015"/>
      <c r="D62" s="1015"/>
      <c r="E62" s="1015"/>
      <c r="F62" s="1015"/>
      <c r="G62" s="1015"/>
      <c r="H62" s="1015"/>
      <c r="I62" s="1015"/>
      <c r="J62" s="1015"/>
      <c r="K62" s="1015"/>
      <c r="L62" s="1015"/>
      <c r="M62" s="1015"/>
      <c r="N62" s="1015"/>
      <c r="O62" s="1015"/>
      <c r="P62" s="1015"/>
      <c r="Q62" s="1015"/>
      <c r="R62" s="1015"/>
      <c r="S62" s="1015"/>
      <c r="T62" s="1015"/>
      <c r="U62" s="1015"/>
      <c r="V62" s="1015"/>
      <c r="W62" s="1015"/>
      <c r="X62" s="1015"/>
      <c r="Y62" s="1015"/>
      <c r="Z62" s="1015"/>
      <c r="AA62" s="1015"/>
      <c r="AB62" s="1015"/>
      <c r="AC62" s="1015"/>
      <c r="AD62" s="1015"/>
      <c r="AE62" s="1015"/>
      <c r="AF62" s="1015"/>
      <c r="AG62" s="1015"/>
      <c r="AH62" s="1015"/>
      <c r="AI62" s="1015"/>
      <c r="AJ62" s="1015"/>
      <c r="AK62" s="1015"/>
      <c r="AL62" s="1015"/>
      <c r="AM62" s="1015"/>
      <c r="AN62" s="1015"/>
      <c r="AO62" s="1015"/>
      <c r="AP62" s="1015"/>
      <c r="AQ62" s="1015"/>
      <c r="AR62" s="1015"/>
      <c r="AS62" s="1015"/>
      <c r="AT62" s="1015"/>
      <c r="AU62" s="1015"/>
      <c r="AV62" s="1015"/>
      <c r="AW62" s="1015"/>
      <c r="AX62" s="1015"/>
      <c r="AY62" s="1015"/>
      <c r="AZ62" s="1015"/>
      <c r="BA62" s="1015"/>
      <c r="BB62" s="1015"/>
      <c r="BC62" s="1015"/>
      <c r="BD62" s="1015"/>
      <c r="BE62" s="1015"/>
      <c r="BF62" s="1015"/>
      <c r="BG62" s="1016"/>
    </row>
    <row r="63" spans="2:59" ht="15" customHeight="1" x14ac:dyDescent="0.2">
      <c r="B63" s="1014"/>
      <c r="C63" s="1015"/>
      <c r="D63" s="1617">
        <v>10</v>
      </c>
      <c r="E63" s="1618"/>
      <c r="F63" s="535"/>
      <c r="G63" s="1616"/>
      <c r="H63" s="1616"/>
      <c r="I63" s="1616"/>
      <c r="J63" s="1616"/>
      <c r="K63" s="1616"/>
      <c r="L63" s="1616"/>
      <c r="M63" s="1616"/>
      <c r="N63" s="1616"/>
      <c r="O63" s="1616"/>
      <c r="P63" s="1616"/>
      <c r="Q63" s="535"/>
      <c r="R63" s="1616"/>
      <c r="S63" s="1616"/>
      <c r="T63" s="1616"/>
      <c r="U63" s="1616"/>
      <c r="V63" s="1616"/>
      <c r="W63" s="1616"/>
      <c r="X63" s="1616"/>
      <c r="Y63" s="1616"/>
      <c r="Z63" s="1616"/>
      <c r="AA63" s="1616"/>
      <c r="AB63" s="535"/>
      <c r="AC63" s="1615" t="s">
        <v>163</v>
      </c>
      <c r="AD63" s="1615"/>
      <c r="AE63" s="1615"/>
      <c r="AF63" s="1615"/>
      <c r="AG63" s="1615"/>
      <c r="AH63" s="1615"/>
      <c r="AI63" s="1615"/>
      <c r="AJ63" s="1615"/>
      <c r="AK63" s="1615"/>
      <c r="AL63" s="1615"/>
      <c r="AM63" s="535"/>
      <c r="AN63" s="1619">
        <v>0</v>
      </c>
      <c r="AO63" s="1619"/>
      <c r="AP63" s="1619"/>
      <c r="AQ63" s="1619"/>
      <c r="AR63" s="1619"/>
      <c r="AS63" s="1620">
        <v>0</v>
      </c>
      <c r="AT63" s="1620"/>
      <c r="AU63" s="1620"/>
      <c r="AV63" s="1620"/>
      <c r="AW63" s="1620"/>
      <c r="AX63" s="535"/>
      <c r="AY63" s="1616"/>
      <c r="AZ63" s="1616"/>
      <c r="BA63" s="1616"/>
      <c r="BB63" s="1616"/>
      <c r="BC63" s="1616"/>
      <c r="BD63" s="1616"/>
      <c r="BE63" s="1616"/>
      <c r="BF63" s="1616"/>
      <c r="BG63" s="1016"/>
    </row>
    <row r="64" spans="2:59" x14ac:dyDescent="0.2">
      <c r="B64" s="1014"/>
      <c r="C64" s="1015"/>
      <c r="D64" s="1015"/>
      <c r="E64" s="1015"/>
      <c r="F64" s="1015"/>
      <c r="G64" s="1015"/>
      <c r="H64" s="1015"/>
      <c r="I64" s="1015"/>
      <c r="J64" s="1015"/>
      <c r="K64" s="1015"/>
      <c r="L64" s="1015"/>
      <c r="M64" s="1015"/>
      <c r="N64" s="1015"/>
      <c r="O64" s="1015"/>
      <c r="P64" s="1015"/>
      <c r="Q64" s="1015"/>
      <c r="R64" s="1015"/>
      <c r="S64" s="1015"/>
      <c r="T64" s="1015"/>
      <c r="U64" s="1015"/>
      <c r="V64" s="1015"/>
      <c r="W64" s="1015"/>
      <c r="X64" s="1015"/>
      <c r="Y64" s="1015"/>
      <c r="Z64" s="1015"/>
      <c r="AA64" s="1015"/>
      <c r="AB64" s="1015"/>
      <c r="AC64" s="1015"/>
      <c r="AD64" s="1015"/>
      <c r="AE64" s="1015"/>
      <c r="AF64" s="1015"/>
      <c r="AG64" s="1015"/>
      <c r="AH64" s="1015"/>
      <c r="AI64" s="1015"/>
      <c r="AJ64" s="1015"/>
      <c r="AK64" s="1015"/>
      <c r="AL64" s="1015"/>
      <c r="AM64" s="1015"/>
      <c r="AN64" s="1015"/>
      <c r="AO64" s="1015"/>
      <c r="AP64" s="1015"/>
      <c r="AQ64" s="1015"/>
      <c r="AR64" s="1015"/>
      <c r="AS64" s="1015"/>
      <c r="AT64" s="1015"/>
      <c r="AU64" s="1015"/>
      <c r="AV64" s="1015"/>
      <c r="AW64" s="1015"/>
      <c r="AX64" s="1015"/>
      <c r="AY64" s="1015"/>
      <c r="AZ64" s="1015"/>
      <c r="BA64" s="1015"/>
      <c r="BB64" s="1015"/>
      <c r="BC64" s="1015"/>
      <c r="BD64" s="1015"/>
      <c r="BE64" s="1015"/>
      <c r="BF64" s="1015"/>
      <c r="BG64" s="1016"/>
    </row>
    <row r="65" spans="2:59" ht="15" customHeight="1" x14ac:dyDescent="0.2">
      <c r="B65" s="1014"/>
      <c r="C65" s="1015"/>
      <c r="D65" s="1617">
        <v>11</v>
      </c>
      <c r="E65" s="1618"/>
      <c r="F65" s="535"/>
      <c r="G65" s="1616"/>
      <c r="H65" s="1616"/>
      <c r="I65" s="1616"/>
      <c r="J65" s="1616"/>
      <c r="K65" s="1616"/>
      <c r="L65" s="1616"/>
      <c r="M65" s="1616"/>
      <c r="N65" s="1616"/>
      <c r="O65" s="1616"/>
      <c r="P65" s="1616"/>
      <c r="Q65" s="535"/>
      <c r="R65" s="1616"/>
      <c r="S65" s="1616"/>
      <c r="T65" s="1616"/>
      <c r="U65" s="1616"/>
      <c r="V65" s="1616"/>
      <c r="W65" s="1616"/>
      <c r="X65" s="1616"/>
      <c r="Y65" s="1616"/>
      <c r="Z65" s="1616"/>
      <c r="AA65" s="1616"/>
      <c r="AB65" s="535"/>
      <c r="AC65" s="1615" t="s">
        <v>163</v>
      </c>
      <c r="AD65" s="1615"/>
      <c r="AE65" s="1615"/>
      <c r="AF65" s="1615"/>
      <c r="AG65" s="1615"/>
      <c r="AH65" s="1615"/>
      <c r="AI65" s="1615"/>
      <c r="AJ65" s="1615"/>
      <c r="AK65" s="1615"/>
      <c r="AL65" s="1615"/>
      <c r="AM65" s="535"/>
      <c r="AN65" s="1619">
        <v>0</v>
      </c>
      <c r="AO65" s="1619"/>
      <c r="AP65" s="1619"/>
      <c r="AQ65" s="1619"/>
      <c r="AR65" s="1619"/>
      <c r="AS65" s="1620">
        <v>0</v>
      </c>
      <c r="AT65" s="1620"/>
      <c r="AU65" s="1620"/>
      <c r="AV65" s="1620"/>
      <c r="AW65" s="1620"/>
      <c r="AX65" s="535"/>
      <c r="AY65" s="1616"/>
      <c r="AZ65" s="1616"/>
      <c r="BA65" s="1616"/>
      <c r="BB65" s="1616"/>
      <c r="BC65" s="1616"/>
      <c r="BD65" s="1616"/>
      <c r="BE65" s="1616"/>
      <c r="BF65" s="1616"/>
      <c r="BG65" s="1016"/>
    </row>
    <row r="66" spans="2:59" x14ac:dyDescent="0.2">
      <c r="B66" s="1014"/>
      <c r="C66" s="1015"/>
      <c r="D66" s="1015"/>
      <c r="E66" s="1015"/>
      <c r="F66" s="1015"/>
      <c r="G66" s="1015"/>
      <c r="H66" s="1015"/>
      <c r="I66" s="1015"/>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c r="AS66" s="1015"/>
      <c r="AT66" s="1015"/>
      <c r="AU66" s="1015"/>
      <c r="AV66" s="1015"/>
      <c r="AW66" s="1015"/>
      <c r="AX66" s="1015"/>
      <c r="AY66" s="1015"/>
      <c r="AZ66" s="1015"/>
      <c r="BA66" s="1015"/>
      <c r="BB66" s="1015"/>
      <c r="BC66" s="1015"/>
      <c r="BD66" s="1015"/>
      <c r="BE66" s="1015"/>
      <c r="BF66" s="1015"/>
      <c r="BG66" s="1016"/>
    </row>
    <row r="67" spans="2:59" ht="15" customHeight="1" x14ac:dyDescent="0.2">
      <c r="B67" s="1014"/>
      <c r="C67" s="1015"/>
      <c r="D67" s="1617">
        <v>12</v>
      </c>
      <c r="E67" s="1618"/>
      <c r="F67" s="535"/>
      <c r="G67" s="1616"/>
      <c r="H67" s="1616"/>
      <c r="I67" s="1616"/>
      <c r="J67" s="1616"/>
      <c r="K67" s="1616"/>
      <c r="L67" s="1616"/>
      <c r="M67" s="1616"/>
      <c r="N67" s="1616"/>
      <c r="O67" s="1616"/>
      <c r="P67" s="1616"/>
      <c r="Q67" s="535"/>
      <c r="R67" s="1616"/>
      <c r="S67" s="1616"/>
      <c r="T67" s="1616"/>
      <c r="U67" s="1616"/>
      <c r="V67" s="1616"/>
      <c r="W67" s="1616"/>
      <c r="X67" s="1616"/>
      <c r="Y67" s="1616"/>
      <c r="Z67" s="1616"/>
      <c r="AA67" s="1616"/>
      <c r="AB67" s="535"/>
      <c r="AC67" s="1615" t="s">
        <v>163</v>
      </c>
      <c r="AD67" s="1615"/>
      <c r="AE67" s="1615"/>
      <c r="AF67" s="1615"/>
      <c r="AG67" s="1615"/>
      <c r="AH67" s="1615"/>
      <c r="AI67" s="1615"/>
      <c r="AJ67" s="1615"/>
      <c r="AK67" s="1615"/>
      <c r="AL67" s="1615"/>
      <c r="AM67" s="535"/>
      <c r="AN67" s="1619">
        <v>0</v>
      </c>
      <c r="AO67" s="1619"/>
      <c r="AP67" s="1619"/>
      <c r="AQ67" s="1619"/>
      <c r="AR67" s="1619"/>
      <c r="AS67" s="1620">
        <v>0</v>
      </c>
      <c r="AT67" s="1620"/>
      <c r="AU67" s="1620"/>
      <c r="AV67" s="1620"/>
      <c r="AW67" s="1620"/>
      <c r="AX67" s="535"/>
      <c r="AY67" s="1616"/>
      <c r="AZ67" s="1616"/>
      <c r="BA67" s="1616"/>
      <c r="BB67" s="1616"/>
      <c r="BC67" s="1616"/>
      <c r="BD67" s="1616"/>
      <c r="BE67" s="1616"/>
      <c r="BF67" s="1616"/>
      <c r="BG67" s="1016"/>
    </row>
    <row r="68" spans="2:59" x14ac:dyDescent="0.2">
      <c r="B68" s="1014"/>
      <c r="C68" s="1015"/>
      <c r="D68" s="1015"/>
      <c r="E68" s="1015"/>
      <c r="F68" s="1015"/>
      <c r="G68" s="1015"/>
      <c r="H68" s="1015"/>
      <c r="I68" s="1015"/>
      <c r="J68" s="1015"/>
      <c r="K68" s="1015"/>
      <c r="L68" s="1015"/>
      <c r="M68" s="1015"/>
      <c r="N68" s="1015"/>
      <c r="O68" s="1015"/>
      <c r="P68" s="1015"/>
      <c r="Q68" s="1015"/>
      <c r="R68" s="1015"/>
      <c r="S68" s="1015"/>
      <c r="T68" s="1015"/>
      <c r="U68" s="1015"/>
      <c r="V68" s="1015"/>
      <c r="W68" s="1015"/>
      <c r="X68" s="1015"/>
      <c r="Y68" s="1015"/>
      <c r="Z68" s="1015"/>
      <c r="AA68" s="1015"/>
      <c r="AB68" s="1015"/>
      <c r="AC68" s="1015"/>
      <c r="AD68" s="1015"/>
      <c r="AE68" s="1015"/>
      <c r="AF68" s="1015"/>
      <c r="AG68" s="1015"/>
      <c r="AH68" s="1015"/>
      <c r="AI68" s="1015"/>
      <c r="AJ68" s="1015"/>
      <c r="AK68" s="1015"/>
      <c r="AL68" s="1015"/>
      <c r="AM68" s="1015"/>
      <c r="AN68" s="1015"/>
      <c r="AO68" s="1015"/>
      <c r="AP68" s="1015"/>
      <c r="AQ68" s="1015"/>
      <c r="AR68" s="1015"/>
      <c r="AS68" s="1015"/>
      <c r="AT68" s="1015"/>
      <c r="AU68" s="1015"/>
      <c r="AV68" s="1015"/>
      <c r="AW68" s="1015"/>
      <c r="AX68" s="1015"/>
      <c r="AY68" s="1015"/>
      <c r="AZ68" s="1015"/>
      <c r="BA68" s="1015"/>
      <c r="BB68" s="1015"/>
      <c r="BC68" s="1015"/>
      <c r="BD68" s="1015"/>
      <c r="BE68" s="1015"/>
      <c r="BF68" s="1015"/>
      <c r="BG68" s="1016"/>
    </row>
    <row r="69" spans="2:59" ht="15" customHeight="1" x14ac:dyDescent="0.2">
      <c r="B69" s="1014"/>
      <c r="C69" s="1015"/>
      <c r="D69" s="1617">
        <v>13</v>
      </c>
      <c r="E69" s="1618"/>
      <c r="F69" s="535"/>
      <c r="G69" s="1616"/>
      <c r="H69" s="1616"/>
      <c r="I69" s="1616"/>
      <c r="J69" s="1616"/>
      <c r="K69" s="1616"/>
      <c r="L69" s="1616"/>
      <c r="M69" s="1616"/>
      <c r="N69" s="1616"/>
      <c r="O69" s="1616"/>
      <c r="P69" s="1616"/>
      <c r="Q69" s="535"/>
      <c r="R69" s="1616"/>
      <c r="S69" s="1616"/>
      <c r="T69" s="1616"/>
      <c r="U69" s="1616"/>
      <c r="V69" s="1616"/>
      <c r="W69" s="1616"/>
      <c r="X69" s="1616"/>
      <c r="Y69" s="1616"/>
      <c r="Z69" s="1616"/>
      <c r="AA69" s="1616"/>
      <c r="AB69" s="535"/>
      <c r="AC69" s="1615" t="s">
        <v>163</v>
      </c>
      <c r="AD69" s="1615"/>
      <c r="AE69" s="1615"/>
      <c r="AF69" s="1615"/>
      <c r="AG69" s="1615"/>
      <c r="AH69" s="1615"/>
      <c r="AI69" s="1615"/>
      <c r="AJ69" s="1615"/>
      <c r="AK69" s="1615"/>
      <c r="AL69" s="1615"/>
      <c r="AM69" s="535"/>
      <c r="AN69" s="1619">
        <v>0</v>
      </c>
      <c r="AO69" s="1619"/>
      <c r="AP69" s="1619"/>
      <c r="AQ69" s="1619"/>
      <c r="AR69" s="1619"/>
      <c r="AS69" s="1620">
        <v>0</v>
      </c>
      <c r="AT69" s="1620"/>
      <c r="AU69" s="1620"/>
      <c r="AV69" s="1620"/>
      <c r="AW69" s="1620"/>
      <c r="AX69" s="535"/>
      <c r="AY69" s="1616"/>
      <c r="AZ69" s="1616"/>
      <c r="BA69" s="1616"/>
      <c r="BB69" s="1616"/>
      <c r="BC69" s="1616"/>
      <c r="BD69" s="1616"/>
      <c r="BE69" s="1616"/>
      <c r="BF69" s="1616"/>
      <c r="BG69" s="1016"/>
    </row>
    <row r="70" spans="2:59" x14ac:dyDescent="0.2">
      <c r="B70" s="1014"/>
      <c r="C70" s="1015"/>
      <c r="D70" s="1015"/>
      <c r="E70" s="1015"/>
      <c r="F70" s="1015"/>
      <c r="G70" s="1015"/>
      <c r="H70" s="1015"/>
      <c r="I70" s="1015"/>
      <c r="J70" s="1015"/>
      <c r="K70" s="1015"/>
      <c r="L70" s="1015"/>
      <c r="M70" s="1015"/>
      <c r="N70" s="1015"/>
      <c r="O70" s="1015"/>
      <c r="P70" s="1015"/>
      <c r="Q70" s="1015"/>
      <c r="R70" s="1015"/>
      <c r="S70" s="1015"/>
      <c r="T70" s="1015"/>
      <c r="U70" s="1015"/>
      <c r="V70" s="1015"/>
      <c r="W70" s="1015"/>
      <c r="X70" s="1015"/>
      <c r="Y70" s="1015"/>
      <c r="Z70" s="1015"/>
      <c r="AA70" s="1015"/>
      <c r="AB70" s="1015"/>
      <c r="AC70" s="1015"/>
      <c r="AD70" s="1015"/>
      <c r="AE70" s="1015"/>
      <c r="AF70" s="1015"/>
      <c r="AG70" s="1015"/>
      <c r="AH70" s="1015"/>
      <c r="AI70" s="1015"/>
      <c r="AJ70" s="1015"/>
      <c r="AK70" s="1015"/>
      <c r="AL70" s="1015"/>
      <c r="AM70" s="1015"/>
      <c r="AN70" s="1015"/>
      <c r="AO70" s="1015"/>
      <c r="AP70" s="1015"/>
      <c r="AQ70" s="1015"/>
      <c r="AR70" s="1015"/>
      <c r="AS70" s="1015"/>
      <c r="AT70" s="1015"/>
      <c r="AU70" s="1015"/>
      <c r="AV70" s="1015"/>
      <c r="AW70" s="1015"/>
      <c r="AX70" s="1015"/>
      <c r="AY70" s="1015"/>
      <c r="AZ70" s="1015"/>
      <c r="BA70" s="1015"/>
      <c r="BB70" s="1015"/>
      <c r="BC70" s="1015"/>
      <c r="BD70" s="1015"/>
      <c r="BE70" s="1015"/>
      <c r="BF70" s="1015"/>
      <c r="BG70" s="1016"/>
    </row>
    <row r="71" spans="2:59" ht="15" customHeight="1" x14ac:dyDescent="0.2">
      <c r="B71" s="1014"/>
      <c r="C71" s="1015"/>
      <c r="D71" s="1617">
        <v>14</v>
      </c>
      <c r="E71" s="1618"/>
      <c r="F71" s="535"/>
      <c r="G71" s="1616"/>
      <c r="H71" s="1616"/>
      <c r="I71" s="1616"/>
      <c r="J71" s="1616"/>
      <c r="K71" s="1616"/>
      <c r="L71" s="1616"/>
      <c r="M71" s="1616"/>
      <c r="N71" s="1616"/>
      <c r="O71" s="1616"/>
      <c r="P71" s="1616"/>
      <c r="Q71" s="535"/>
      <c r="R71" s="1616"/>
      <c r="S71" s="1616"/>
      <c r="T71" s="1616"/>
      <c r="U71" s="1616"/>
      <c r="V71" s="1616"/>
      <c r="W71" s="1616"/>
      <c r="X71" s="1616"/>
      <c r="Y71" s="1616"/>
      <c r="Z71" s="1616"/>
      <c r="AA71" s="1616"/>
      <c r="AB71" s="535"/>
      <c r="AC71" s="1615" t="s">
        <v>163</v>
      </c>
      <c r="AD71" s="1615"/>
      <c r="AE71" s="1615"/>
      <c r="AF71" s="1615"/>
      <c r="AG71" s="1615"/>
      <c r="AH71" s="1615"/>
      <c r="AI71" s="1615"/>
      <c r="AJ71" s="1615"/>
      <c r="AK71" s="1615"/>
      <c r="AL71" s="1615"/>
      <c r="AM71" s="535"/>
      <c r="AN71" s="1619">
        <v>0</v>
      </c>
      <c r="AO71" s="1619"/>
      <c r="AP71" s="1619"/>
      <c r="AQ71" s="1619"/>
      <c r="AR71" s="1619"/>
      <c r="AS71" s="1620">
        <v>0</v>
      </c>
      <c r="AT71" s="1620"/>
      <c r="AU71" s="1620"/>
      <c r="AV71" s="1620"/>
      <c r="AW71" s="1620"/>
      <c r="AX71" s="535"/>
      <c r="AY71" s="1616"/>
      <c r="AZ71" s="1616"/>
      <c r="BA71" s="1616"/>
      <c r="BB71" s="1616"/>
      <c r="BC71" s="1616"/>
      <c r="BD71" s="1616"/>
      <c r="BE71" s="1616"/>
      <c r="BF71" s="1616"/>
      <c r="BG71" s="1016"/>
    </row>
    <row r="72" spans="2:59" x14ac:dyDescent="0.2">
      <c r="B72" s="1014"/>
      <c r="C72" s="1015"/>
      <c r="D72" s="1015"/>
      <c r="E72" s="1015"/>
      <c r="F72" s="1015"/>
      <c r="G72" s="1015"/>
      <c r="H72" s="1015"/>
      <c r="I72" s="1015"/>
      <c r="J72" s="1015"/>
      <c r="K72" s="1015"/>
      <c r="L72" s="1015"/>
      <c r="M72" s="1015"/>
      <c r="N72" s="1015"/>
      <c r="O72" s="1015"/>
      <c r="P72" s="1015"/>
      <c r="Q72" s="1015"/>
      <c r="R72" s="1015"/>
      <c r="S72" s="1015"/>
      <c r="T72" s="1015"/>
      <c r="U72" s="1015"/>
      <c r="V72" s="1015"/>
      <c r="W72" s="1015"/>
      <c r="X72" s="1015"/>
      <c r="Y72" s="1015"/>
      <c r="Z72" s="1015"/>
      <c r="AA72" s="1015"/>
      <c r="AB72" s="1015"/>
      <c r="AC72" s="1015"/>
      <c r="AD72" s="1015"/>
      <c r="AE72" s="1015"/>
      <c r="AF72" s="1015"/>
      <c r="AG72" s="1015"/>
      <c r="AH72" s="1015"/>
      <c r="AI72" s="1015"/>
      <c r="AJ72" s="1015"/>
      <c r="AK72" s="1015"/>
      <c r="AL72" s="1015"/>
      <c r="AM72" s="1015"/>
      <c r="AN72" s="1015"/>
      <c r="AO72" s="1015"/>
      <c r="AP72" s="1015"/>
      <c r="AQ72" s="1015"/>
      <c r="AR72" s="1015"/>
      <c r="AS72" s="1015"/>
      <c r="AT72" s="1015"/>
      <c r="AU72" s="1015"/>
      <c r="AV72" s="1015"/>
      <c r="AW72" s="1015"/>
      <c r="AX72" s="1015"/>
      <c r="AY72" s="1015"/>
      <c r="AZ72" s="1015"/>
      <c r="BA72" s="1015"/>
      <c r="BB72" s="1015"/>
      <c r="BC72" s="1015"/>
      <c r="BD72" s="1015"/>
      <c r="BE72" s="1015"/>
      <c r="BF72" s="1015"/>
      <c r="BG72" s="1016"/>
    </row>
    <row r="73" spans="2:59" ht="15" customHeight="1" x14ac:dyDescent="0.2">
      <c r="B73" s="1014"/>
      <c r="C73" s="1015"/>
      <c r="D73" s="1617">
        <v>15</v>
      </c>
      <c r="E73" s="1618"/>
      <c r="F73" s="535"/>
      <c r="G73" s="1616"/>
      <c r="H73" s="1616"/>
      <c r="I73" s="1616"/>
      <c r="J73" s="1616"/>
      <c r="K73" s="1616"/>
      <c r="L73" s="1616"/>
      <c r="M73" s="1616"/>
      <c r="N73" s="1616"/>
      <c r="O73" s="1616"/>
      <c r="P73" s="1616"/>
      <c r="Q73" s="535"/>
      <c r="R73" s="1616"/>
      <c r="S73" s="1616"/>
      <c r="T73" s="1616"/>
      <c r="U73" s="1616"/>
      <c r="V73" s="1616"/>
      <c r="W73" s="1616"/>
      <c r="X73" s="1616"/>
      <c r="Y73" s="1616"/>
      <c r="Z73" s="1616"/>
      <c r="AA73" s="1616"/>
      <c r="AB73" s="535"/>
      <c r="AC73" s="1615" t="s">
        <v>163</v>
      </c>
      <c r="AD73" s="1615"/>
      <c r="AE73" s="1615"/>
      <c r="AF73" s="1615"/>
      <c r="AG73" s="1615"/>
      <c r="AH73" s="1615"/>
      <c r="AI73" s="1615"/>
      <c r="AJ73" s="1615"/>
      <c r="AK73" s="1615"/>
      <c r="AL73" s="1615"/>
      <c r="AM73" s="535"/>
      <c r="AN73" s="1619">
        <v>0</v>
      </c>
      <c r="AO73" s="1619"/>
      <c r="AP73" s="1619"/>
      <c r="AQ73" s="1619"/>
      <c r="AR73" s="1619"/>
      <c r="AS73" s="1620">
        <v>0</v>
      </c>
      <c r="AT73" s="1620"/>
      <c r="AU73" s="1620"/>
      <c r="AV73" s="1620"/>
      <c r="AW73" s="1620"/>
      <c r="AX73" s="535"/>
      <c r="AY73" s="1616"/>
      <c r="AZ73" s="1616"/>
      <c r="BA73" s="1616"/>
      <c r="BB73" s="1616"/>
      <c r="BC73" s="1616"/>
      <c r="BD73" s="1616"/>
      <c r="BE73" s="1616"/>
      <c r="BF73" s="1616"/>
      <c r="BG73" s="1016"/>
    </row>
    <row r="74" spans="2:59" x14ac:dyDescent="0.2">
      <c r="B74" s="1014"/>
      <c r="C74" s="1015"/>
      <c r="D74" s="1015"/>
      <c r="E74" s="1015"/>
      <c r="F74" s="1015"/>
      <c r="G74" s="1015"/>
      <c r="H74" s="1015"/>
      <c r="I74" s="1015"/>
      <c r="J74" s="1015"/>
      <c r="K74" s="1015"/>
      <c r="L74" s="1015"/>
      <c r="M74" s="1015"/>
      <c r="N74" s="1015"/>
      <c r="O74" s="1015"/>
      <c r="P74" s="1015"/>
      <c r="Q74" s="1015"/>
      <c r="R74" s="1015"/>
      <c r="S74" s="1015"/>
      <c r="T74" s="1015"/>
      <c r="U74" s="1015"/>
      <c r="V74" s="1015"/>
      <c r="W74" s="1015"/>
      <c r="X74" s="1015"/>
      <c r="Y74" s="1015"/>
      <c r="Z74" s="1015"/>
      <c r="AA74" s="1015"/>
      <c r="AB74" s="1015"/>
      <c r="AC74" s="1015"/>
      <c r="AD74" s="1015"/>
      <c r="AE74" s="1015"/>
      <c r="AF74" s="1015"/>
      <c r="AG74" s="1015"/>
      <c r="AH74" s="1015"/>
      <c r="AI74" s="1015"/>
      <c r="AJ74" s="1015"/>
      <c r="AK74" s="1015"/>
      <c r="AL74" s="1015"/>
      <c r="AM74" s="1015"/>
      <c r="AN74" s="1015"/>
      <c r="AO74" s="1015"/>
      <c r="AP74" s="1015"/>
      <c r="AQ74" s="1015"/>
      <c r="AR74" s="1015"/>
      <c r="AS74" s="1015"/>
      <c r="AT74" s="1015"/>
      <c r="AU74" s="1015"/>
      <c r="AV74" s="1015"/>
      <c r="AW74" s="1015"/>
      <c r="AX74" s="1015"/>
      <c r="AY74" s="1015"/>
      <c r="AZ74" s="1015"/>
      <c r="BA74" s="1015"/>
      <c r="BB74" s="1015"/>
      <c r="BC74" s="1015"/>
      <c r="BD74" s="1015"/>
      <c r="BE74" s="1015"/>
      <c r="BF74" s="1015"/>
      <c r="BG74" s="1016"/>
    </row>
    <row r="75" spans="2:59" x14ac:dyDescent="0.2">
      <c r="B75" s="1014"/>
      <c r="C75" s="1015"/>
      <c r="D75" s="1617">
        <v>16</v>
      </c>
      <c r="E75" s="1618"/>
      <c r="F75" s="535"/>
      <c r="G75" s="1616"/>
      <c r="H75" s="1616"/>
      <c r="I75" s="1616"/>
      <c r="J75" s="1616"/>
      <c r="K75" s="1616"/>
      <c r="L75" s="1616"/>
      <c r="M75" s="1616"/>
      <c r="N75" s="1616"/>
      <c r="O75" s="1616"/>
      <c r="P75" s="1616"/>
      <c r="Q75" s="535"/>
      <c r="R75" s="1616"/>
      <c r="S75" s="1616"/>
      <c r="T75" s="1616"/>
      <c r="U75" s="1616"/>
      <c r="V75" s="1616"/>
      <c r="W75" s="1616"/>
      <c r="X75" s="1616"/>
      <c r="Y75" s="1616"/>
      <c r="Z75" s="1616"/>
      <c r="AA75" s="1616"/>
      <c r="AB75" s="535"/>
      <c r="AC75" s="1615" t="s">
        <v>163</v>
      </c>
      <c r="AD75" s="1615"/>
      <c r="AE75" s="1615"/>
      <c r="AF75" s="1615"/>
      <c r="AG75" s="1615"/>
      <c r="AH75" s="1615"/>
      <c r="AI75" s="1615"/>
      <c r="AJ75" s="1615"/>
      <c r="AK75" s="1615"/>
      <c r="AL75" s="1615"/>
      <c r="AM75" s="535"/>
      <c r="AN75" s="1619">
        <v>0</v>
      </c>
      <c r="AO75" s="1619"/>
      <c r="AP75" s="1619"/>
      <c r="AQ75" s="1619"/>
      <c r="AR75" s="1619"/>
      <c r="AS75" s="1620">
        <v>0</v>
      </c>
      <c r="AT75" s="1620"/>
      <c r="AU75" s="1620"/>
      <c r="AV75" s="1620"/>
      <c r="AW75" s="1620"/>
      <c r="AX75" s="535"/>
      <c r="AY75" s="1616"/>
      <c r="AZ75" s="1616"/>
      <c r="BA75" s="1616"/>
      <c r="BB75" s="1616"/>
      <c r="BC75" s="1616"/>
      <c r="BD75" s="1616"/>
      <c r="BE75" s="1616"/>
      <c r="BF75" s="1616"/>
      <c r="BG75" s="1016"/>
    </row>
    <row r="76" spans="2:59" x14ac:dyDescent="0.2">
      <c r="B76" s="1014"/>
      <c r="C76" s="1015"/>
      <c r="D76" s="1015"/>
      <c r="E76" s="1015"/>
      <c r="F76" s="1015"/>
      <c r="G76" s="1015"/>
      <c r="H76" s="1015"/>
      <c r="I76" s="1015"/>
      <c r="J76" s="1015"/>
      <c r="K76" s="1015"/>
      <c r="L76" s="1015"/>
      <c r="M76" s="1015"/>
      <c r="N76" s="1015"/>
      <c r="O76" s="1015"/>
      <c r="P76" s="1015"/>
      <c r="Q76" s="1015"/>
      <c r="R76" s="1015"/>
      <c r="S76" s="1015"/>
      <c r="T76" s="1015"/>
      <c r="U76" s="1015"/>
      <c r="V76" s="1015"/>
      <c r="W76" s="1015"/>
      <c r="X76" s="1015"/>
      <c r="Y76" s="1015"/>
      <c r="Z76" s="1015"/>
      <c r="AA76" s="1015"/>
      <c r="AB76" s="1015"/>
      <c r="AC76" s="1015"/>
      <c r="AD76" s="1015"/>
      <c r="AE76" s="1015"/>
      <c r="AF76" s="1015"/>
      <c r="AG76" s="1015"/>
      <c r="AH76" s="1015"/>
      <c r="AI76" s="1015"/>
      <c r="AJ76" s="1015"/>
      <c r="AK76" s="1015"/>
      <c r="AL76" s="1015"/>
      <c r="AM76" s="1015"/>
      <c r="AN76" s="1015"/>
      <c r="AO76" s="1015"/>
      <c r="AP76" s="1015"/>
      <c r="AQ76" s="1015"/>
      <c r="AR76" s="1015"/>
      <c r="AS76" s="1015"/>
      <c r="AT76" s="1015"/>
      <c r="AU76" s="1015"/>
      <c r="AV76" s="1015"/>
      <c r="AW76" s="1015"/>
      <c r="AX76" s="1015"/>
      <c r="AY76" s="1015"/>
      <c r="AZ76" s="1015"/>
      <c r="BA76" s="1015"/>
      <c r="BB76" s="1015"/>
      <c r="BC76" s="1015"/>
      <c r="BD76" s="1015"/>
      <c r="BE76" s="1015"/>
      <c r="BF76" s="1015"/>
      <c r="BG76" s="1016"/>
    </row>
    <row r="77" spans="2:59" x14ac:dyDescent="0.2">
      <c r="B77" s="1014"/>
      <c r="C77" s="1015"/>
      <c r="D77" s="1617">
        <v>17</v>
      </c>
      <c r="E77" s="1618"/>
      <c r="F77" s="535"/>
      <c r="G77" s="1616"/>
      <c r="H77" s="1616"/>
      <c r="I77" s="1616"/>
      <c r="J77" s="1616"/>
      <c r="K77" s="1616"/>
      <c r="L77" s="1616"/>
      <c r="M77" s="1616"/>
      <c r="N77" s="1616"/>
      <c r="O77" s="1616"/>
      <c r="P77" s="1616"/>
      <c r="Q77" s="535"/>
      <c r="R77" s="1616"/>
      <c r="S77" s="1616"/>
      <c r="T77" s="1616"/>
      <c r="U77" s="1616"/>
      <c r="V77" s="1616"/>
      <c r="W77" s="1616"/>
      <c r="X77" s="1616"/>
      <c r="Y77" s="1616"/>
      <c r="Z77" s="1616"/>
      <c r="AA77" s="1616"/>
      <c r="AB77" s="535"/>
      <c r="AC77" s="1615" t="s">
        <v>163</v>
      </c>
      <c r="AD77" s="1615"/>
      <c r="AE77" s="1615"/>
      <c r="AF77" s="1615"/>
      <c r="AG77" s="1615"/>
      <c r="AH77" s="1615"/>
      <c r="AI77" s="1615"/>
      <c r="AJ77" s="1615"/>
      <c r="AK77" s="1615"/>
      <c r="AL77" s="1615"/>
      <c r="AM77" s="535"/>
      <c r="AN77" s="1619">
        <v>0</v>
      </c>
      <c r="AO77" s="1619"/>
      <c r="AP77" s="1619"/>
      <c r="AQ77" s="1619"/>
      <c r="AR77" s="1619"/>
      <c r="AS77" s="1620">
        <v>0</v>
      </c>
      <c r="AT77" s="1620"/>
      <c r="AU77" s="1620"/>
      <c r="AV77" s="1620"/>
      <c r="AW77" s="1620"/>
      <c r="AX77" s="535"/>
      <c r="AY77" s="1616"/>
      <c r="AZ77" s="1616"/>
      <c r="BA77" s="1616"/>
      <c r="BB77" s="1616"/>
      <c r="BC77" s="1616"/>
      <c r="BD77" s="1616"/>
      <c r="BE77" s="1616"/>
      <c r="BF77" s="1616"/>
      <c r="BG77" s="1016"/>
    </row>
    <row r="78" spans="2:59" x14ac:dyDescent="0.2">
      <c r="B78" s="1014"/>
      <c r="C78" s="1015"/>
      <c r="D78" s="1015"/>
      <c r="E78" s="1015"/>
      <c r="F78" s="1015"/>
      <c r="G78" s="1015"/>
      <c r="H78" s="1015"/>
      <c r="I78" s="1015"/>
      <c r="J78" s="1015"/>
      <c r="K78" s="1015"/>
      <c r="L78" s="1015"/>
      <c r="M78" s="1015"/>
      <c r="N78" s="1015"/>
      <c r="O78" s="1015"/>
      <c r="P78" s="1015"/>
      <c r="Q78" s="1015"/>
      <c r="R78" s="1015"/>
      <c r="S78" s="1015"/>
      <c r="T78" s="1015"/>
      <c r="U78" s="1015"/>
      <c r="V78" s="1015"/>
      <c r="W78" s="1015"/>
      <c r="X78" s="1015"/>
      <c r="Y78" s="1015"/>
      <c r="Z78" s="1015"/>
      <c r="AA78" s="1015"/>
      <c r="AB78" s="1015"/>
      <c r="AC78" s="1015"/>
      <c r="AD78" s="1015"/>
      <c r="AE78" s="1015"/>
      <c r="AF78" s="1015"/>
      <c r="AG78" s="1015"/>
      <c r="AH78" s="1015"/>
      <c r="AI78" s="1015"/>
      <c r="AJ78" s="1015"/>
      <c r="AK78" s="1015"/>
      <c r="AL78" s="1015"/>
      <c r="AM78" s="1015"/>
      <c r="AN78" s="1015"/>
      <c r="AO78" s="1015"/>
      <c r="AP78" s="1015"/>
      <c r="AQ78" s="1015"/>
      <c r="AR78" s="1015"/>
      <c r="AS78" s="1015"/>
      <c r="AT78" s="1015"/>
      <c r="AU78" s="1015"/>
      <c r="AV78" s="1015"/>
      <c r="AW78" s="1015"/>
      <c r="AX78" s="1015"/>
      <c r="AY78" s="1015"/>
      <c r="AZ78" s="1015"/>
      <c r="BA78" s="1015"/>
      <c r="BB78" s="1015"/>
      <c r="BC78" s="1015"/>
      <c r="BD78" s="1015"/>
      <c r="BE78" s="1015"/>
      <c r="BF78" s="1015"/>
      <c r="BG78" s="1016"/>
    </row>
    <row r="79" spans="2:59" x14ac:dyDescent="0.2">
      <c r="B79" s="1014"/>
      <c r="C79" s="1015"/>
      <c r="D79" s="1617">
        <v>18</v>
      </c>
      <c r="E79" s="1618"/>
      <c r="F79" s="535"/>
      <c r="G79" s="1616"/>
      <c r="H79" s="1616"/>
      <c r="I79" s="1616"/>
      <c r="J79" s="1616"/>
      <c r="K79" s="1616"/>
      <c r="L79" s="1616"/>
      <c r="M79" s="1616"/>
      <c r="N79" s="1616"/>
      <c r="O79" s="1616"/>
      <c r="P79" s="1616"/>
      <c r="Q79" s="535"/>
      <c r="R79" s="1616"/>
      <c r="S79" s="1616"/>
      <c r="T79" s="1616"/>
      <c r="U79" s="1616"/>
      <c r="V79" s="1616"/>
      <c r="W79" s="1616"/>
      <c r="X79" s="1616"/>
      <c r="Y79" s="1616"/>
      <c r="Z79" s="1616"/>
      <c r="AA79" s="1616"/>
      <c r="AB79" s="535"/>
      <c r="AC79" s="1615" t="s">
        <v>163</v>
      </c>
      <c r="AD79" s="1615"/>
      <c r="AE79" s="1615"/>
      <c r="AF79" s="1615"/>
      <c r="AG79" s="1615"/>
      <c r="AH79" s="1615"/>
      <c r="AI79" s="1615"/>
      <c r="AJ79" s="1615"/>
      <c r="AK79" s="1615"/>
      <c r="AL79" s="1615"/>
      <c r="AM79" s="535"/>
      <c r="AN79" s="1619">
        <v>0</v>
      </c>
      <c r="AO79" s="1619"/>
      <c r="AP79" s="1619"/>
      <c r="AQ79" s="1619"/>
      <c r="AR79" s="1619"/>
      <c r="AS79" s="1620">
        <v>0</v>
      </c>
      <c r="AT79" s="1620"/>
      <c r="AU79" s="1620"/>
      <c r="AV79" s="1620"/>
      <c r="AW79" s="1620"/>
      <c r="AX79" s="535"/>
      <c r="AY79" s="1616"/>
      <c r="AZ79" s="1616"/>
      <c r="BA79" s="1616"/>
      <c r="BB79" s="1616"/>
      <c r="BC79" s="1616"/>
      <c r="BD79" s="1616"/>
      <c r="BE79" s="1616"/>
      <c r="BF79" s="1616"/>
      <c r="BG79" s="1016"/>
    </row>
    <row r="80" spans="2:59" x14ac:dyDescent="0.2">
      <c r="B80" s="1014"/>
      <c r="C80" s="1015"/>
      <c r="D80" s="1015"/>
      <c r="E80" s="1015"/>
      <c r="F80" s="1015"/>
      <c r="G80" s="1015"/>
      <c r="H80" s="1015"/>
      <c r="I80" s="1015"/>
      <c r="J80" s="1015"/>
      <c r="K80" s="1015"/>
      <c r="L80" s="1015"/>
      <c r="M80" s="1015"/>
      <c r="N80" s="1015"/>
      <c r="O80" s="1015"/>
      <c r="P80" s="1015"/>
      <c r="Q80" s="1015"/>
      <c r="R80" s="1015"/>
      <c r="S80" s="1015"/>
      <c r="T80" s="1015"/>
      <c r="U80" s="1015"/>
      <c r="V80" s="1015"/>
      <c r="W80" s="1015"/>
      <c r="X80" s="1015"/>
      <c r="Y80" s="1015"/>
      <c r="Z80" s="1015"/>
      <c r="AA80" s="1015"/>
      <c r="AB80" s="1015"/>
      <c r="AC80" s="1015"/>
      <c r="AD80" s="1015"/>
      <c r="AE80" s="1015"/>
      <c r="AF80" s="1015"/>
      <c r="AG80" s="1015"/>
      <c r="AH80" s="1015"/>
      <c r="AI80" s="1015"/>
      <c r="AJ80" s="1015"/>
      <c r="AK80" s="1015"/>
      <c r="AL80" s="1015"/>
      <c r="AM80" s="1015"/>
      <c r="AN80" s="1015"/>
      <c r="AO80" s="1015"/>
      <c r="AP80" s="1015"/>
      <c r="AQ80" s="1015"/>
      <c r="AR80" s="1015"/>
      <c r="AS80" s="1015"/>
      <c r="AT80" s="1015"/>
      <c r="AU80" s="1015"/>
      <c r="AV80" s="1015"/>
      <c r="AW80" s="1015"/>
      <c r="AX80" s="1015"/>
      <c r="AY80" s="1015"/>
      <c r="AZ80" s="1015"/>
      <c r="BA80" s="1015"/>
      <c r="BB80" s="1015"/>
      <c r="BC80" s="1015"/>
      <c r="BD80" s="1015"/>
      <c r="BE80" s="1015"/>
      <c r="BF80" s="1015"/>
      <c r="BG80" s="1016"/>
    </row>
    <row r="81" spans="2:59" x14ac:dyDescent="0.2">
      <c r="B81" s="1014"/>
      <c r="C81" s="1015"/>
      <c r="D81" s="1617">
        <v>19</v>
      </c>
      <c r="E81" s="1618"/>
      <c r="F81" s="535"/>
      <c r="G81" s="1616"/>
      <c r="H81" s="1616"/>
      <c r="I81" s="1616"/>
      <c r="J81" s="1616"/>
      <c r="K81" s="1616"/>
      <c r="L81" s="1616"/>
      <c r="M81" s="1616"/>
      <c r="N81" s="1616"/>
      <c r="O81" s="1616"/>
      <c r="P81" s="1616"/>
      <c r="Q81" s="535"/>
      <c r="R81" s="1616"/>
      <c r="S81" s="1616"/>
      <c r="T81" s="1616"/>
      <c r="U81" s="1616"/>
      <c r="V81" s="1616"/>
      <c r="W81" s="1616"/>
      <c r="X81" s="1616"/>
      <c r="Y81" s="1616"/>
      <c r="Z81" s="1616"/>
      <c r="AA81" s="1616"/>
      <c r="AB81" s="535"/>
      <c r="AC81" s="1615" t="s">
        <v>163</v>
      </c>
      <c r="AD81" s="1615"/>
      <c r="AE81" s="1615"/>
      <c r="AF81" s="1615"/>
      <c r="AG81" s="1615"/>
      <c r="AH81" s="1615"/>
      <c r="AI81" s="1615"/>
      <c r="AJ81" s="1615"/>
      <c r="AK81" s="1615"/>
      <c r="AL81" s="1615"/>
      <c r="AM81" s="535"/>
      <c r="AN81" s="1619">
        <v>0</v>
      </c>
      <c r="AO81" s="1619"/>
      <c r="AP81" s="1619"/>
      <c r="AQ81" s="1619"/>
      <c r="AR81" s="1619"/>
      <c r="AS81" s="1620">
        <v>0</v>
      </c>
      <c r="AT81" s="1620"/>
      <c r="AU81" s="1620"/>
      <c r="AV81" s="1620"/>
      <c r="AW81" s="1620"/>
      <c r="AX81" s="535"/>
      <c r="AY81" s="1616"/>
      <c r="AZ81" s="1616"/>
      <c r="BA81" s="1616"/>
      <c r="BB81" s="1616"/>
      <c r="BC81" s="1616"/>
      <c r="BD81" s="1616"/>
      <c r="BE81" s="1616"/>
      <c r="BF81" s="1616"/>
      <c r="BG81" s="1016"/>
    </row>
    <row r="82" spans="2:59" x14ac:dyDescent="0.2">
      <c r="B82" s="1014"/>
      <c r="C82" s="1015"/>
      <c r="D82" s="1015"/>
      <c r="E82" s="1015"/>
      <c r="F82" s="1015"/>
      <c r="G82" s="1015"/>
      <c r="H82" s="1015"/>
      <c r="I82" s="1015"/>
      <c r="J82" s="1015"/>
      <c r="K82" s="1015"/>
      <c r="L82" s="1015"/>
      <c r="M82" s="1015"/>
      <c r="N82" s="1015"/>
      <c r="O82" s="1015"/>
      <c r="P82" s="1015"/>
      <c r="Q82" s="1015"/>
      <c r="R82" s="1015"/>
      <c r="S82" s="1015"/>
      <c r="T82" s="1015"/>
      <c r="U82" s="1015"/>
      <c r="V82" s="1015"/>
      <c r="W82" s="1015"/>
      <c r="X82" s="1015"/>
      <c r="Y82" s="1015"/>
      <c r="Z82" s="1015"/>
      <c r="AA82" s="1015"/>
      <c r="AB82" s="1015"/>
      <c r="AC82" s="1015"/>
      <c r="AD82" s="1015"/>
      <c r="AE82" s="1015"/>
      <c r="AF82" s="1015"/>
      <c r="AG82" s="1015"/>
      <c r="AH82" s="1015"/>
      <c r="AI82" s="1015"/>
      <c r="AJ82" s="1015"/>
      <c r="AK82" s="1015"/>
      <c r="AL82" s="1015"/>
      <c r="AM82" s="1015"/>
      <c r="AN82" s="1015"/>
      <c r="AO82" s="1015"/>
      <c r="AP82" s="1015"/>
      <c r="AQ82" s="1015"/>
      <c r="AR82" s="1015"/>
      <c r="AS82" s="1015"/>
      <c r="AT82" s="1015"/>
      <c r="AU82" s="1015"/>
      <c r="AV82" s="1015"/>
      <c r="AW82" s="1015"/>
      <c r="AX82" s="1015"/>
      <c r="AY82" s="1015"/>
      <c r="AZ82" s="1015"/>
      <c r="BA82" s="1015"/>
      <c r="BB82" s="1015"/>
      <c r="BC82" s="1015"/>
      <c r="BD82" s="1015"/>
      <c r="BE82" s="1015"/>
      <c r="BF82" s="1015"/>
      <c r="BG82" s="1016"/>
    </row>
    <row r="83" spans="2:59" x14ac:dyDescent="0.2">
      <c r="B83" s="1014"/>
      <c r="C83" s="1015"/>
      <c r="D83" s="1617">
        <v>20</v>
      </c>
      <c r="E83" s="1618"/>
      <c r="F83" s="535"/>
      <c r="G83" s="1616"/>
      <c r="H83" s="1616"/>
      <c r="I83" s="1616"/>
      <c r="J83" s="1616"/>
      <c r="K83" s="1616"/>
      <c r="L83" s="1616"/>
      <c r="M83" s="1616"/>
      <c r="N83" s="1616"/>
      <c r="O83" s="1616"/>
      <c r="P83" s="1616"/>
      <c r="Q83" s="535"/>
      <c r="R83" s="1616"/>
      <c r="S83" s="1616"/>
      <c r="T83" s="1616"/>
      <c r="U83" s="1616"/>
      <c r="V83" s="1616"/>
      <c r="W83" s="1616"/>
      <c r="X83" s="1616"/>
      <c r="Y83" s="1616"/>
      <c r="Z83" s="1616"/>
      <c r="AA83" s="1616"/>
      <c r="AB83" s="535"/>
      <c r="AC83" s="1615" t="s">
        <v>163</v>
      </c>
      <c r="AD83" s="1615"/>
      <c r="AE83" s="1615"/>
      <c r="AF83" s="1615"/>
      <c r="AG83" s="1615"/>
      <c r="AH83" s="1615"/>
      <c r="AI83" s="1615"/>
      <c r="AJ83" s="1615"/>
      <c r="AK83" s="1615"/>
      <c r="AL83" s="1615"/>
      <c r="AM83" s="535"/>
      <c r="AN83" s="1619">
        <v>0</v>
      </c>
      <c r="AO83" s="1619"/>
      <c r="AP83" s="1619"/>
      <c r="AQ83" s="1619"/>
      <c r="AR83" s="1619"/>
      <c r="AS83" s="1620">
        <v>0</v>
      </c>
      <c r="AT83" s="1620"/>
      <c r="AU83" s="1620"/>
      <c r="AV83" s="1620"/>
      <c r="AW83" s="1620"/>
      <c r="AX83" s="535"/>
      <c r="AY83" s="1616"/>
      <c r="AZ83" s="1616"/>
      <c r="BA83" s="1616"/>
      <c r="BB83" s="1616"/>
      <c r="BC83" s="1616"/>
      <c r="BD83" s="1616"/>
      <c r="BE83" s="1616"/>
      <c r="BF83" s="1616"/>
      <c r="BG83" s="1016"/>
    </row>
    <row r="84" spans="2:59" x14ac:dyDescent="0.2">
      <c r="B84" s="1014"/>
      <c r="C84" s="1015"/>
      <c r="D84" s="1015"/>
      <c r="E84" s="1015"/>
      <c r="F84" s="1015"/>
      <c r="G84" s="1015"/>
      <c r="H84" s="1015"/>
      <c r="I84" s="1015"/>
      <c r="J84" s="1015"/>
      <c r="K84" s="1015"/>
      <c r="L84" s="1015"/>
      <c r="M84" s="1015"/>
      <c r="N84" s="1015"/>
      <c r="O84" s="1015"/>
      <c r="P84" s="1015"/>
      <c r="Q84" s="1015"/>
      <c r="R84" s="1015"/>
      <c r="S84" s="1015"/>
      <c r="T84" s="1015"/>
      <c r="U84" s="1015"/>
      <c r="V84" s="1015"/>
      <c r="W84" s="1015"/>
      <c r="X84" s="1015"/>
      <c r="Y84" s="1015"/>
      <c r="Z84" s="1015"/>
      <c r="AA84" s="1015"/>
      <c r="AB84" s="1015"/>
      <c r="AC84" s="1015"/>
      <c r="AD84" s="1015"/>
      <c r="AE84" s="1015"/>
      <c r="AF84" s="1015"/>
      <c r="AG84" s="1015"/>
      <c r="AH84" s="1015"/>
      <c r="AI84" s="1015"/>
      <c r="AJ84" s="1015"/>
      <c r="AK84" s="1015"/>
      <c r="AL84" s="1015"/>
      <c r="AM84" s="1015"/>
      <c r="AN84" s="1015"/>
      <c r="AO84" s="1015"/>
      <c r="AP84" s="1015"/>
      <c r="AQ84" s="1015"/>
      <c r="AR84" s="1015"/>
      <c r="AS84" s="1015"/>
      <c r="AT84" s="1015"/>
      <c r="AU84" s="1015"/>
      <c r="AV84" s="1015"/>
      <c r="AW84" s="1015"/>
      <c r="AX84" s="1015"/>
      <c r="AY84" s="1015"/>
      <c r="AZ84" s="1015"/>
      <c r="BA84" s="1015"/>
      <c r="BB84" s="1015"/>
      <c r="BC84" s="1015"/>
      <c r="BD84" s="1015"/>
      <c r="BE84" s="1015"/>
      <c r="BF84" s="1015"/>
      <c r="BG84" s="1016"/>
    </row>
    <row r="85" spans="2:59" x14ac:dyDescent="0.2">
      <c r="B85" s="1014"/>
      <c r="C85" s="1015"/>
      <c r="D85" s="1015"/>
      <c r="E85" s="1015"/>
      <c r="F85" s="1015"/>
      <c r="G85" s="1015"/>
      <c r="H85" s="1015"/>
      <c r="I85" s="1015"/>
      <c r="J85" s="1015"/>
      <c r="K85" s="1015"/>
      <c r="L85" s="1015"/>
      <c r="M85" s="1015"/>
      <c r="N85" s="1015"/>
      <c r="O85" s="1015"/>
      <c r="P85" s="1015"/>
      <c r="Q85" s="1015"/>
      <c r="R85" s="1015"/>
      <c r="S85" s="1015"/>
      <c r="T85" s="1015"/>
      <c r="U85" s="1015"/>
      <c r="V85" s="1015"/>
      <c r="W85" s="1015"/>
      <c r="X85" s="1015"/>
      <c r="Y85" s="1015"/>
      <c r="Z85" s="1015"/>
      <c r="AA85" s="1015"/>
      <c r="AB85" s="1015"/>
      <c r="AC85" s="1015"/>
      <c r="AD85" s="1015"/>
      <c r="AE85" s="1015"/>
      <c r="AF85" s="1015"/>
      <c r="AG85" s="1015"/>
      <c r="AH85" s="1015"/>
      <c r="AI85" s="1015"/>
      <c r="AJ85" s="1015"/>
      <c r="AK85" s="1015"/>
      <c r="AL85" s="1015"/>
      <c r="AM85" s="1015"/>
      <c r="AN85" s="1015"/>
      <c r="AO85" s="1015"/>
      <c r="AP85" s="1015"/>
      <c r="AQ85" s="1015"/>
      <c r="AR85" s="1015"/>
      <c r="AS85" s="1015"/>
      <c r="AT85" s="1015"/>
      <c r="AU85" s="1015"/>
      <c r="AV85" s="1015"/>
      <c r="AW85" s="1015"/>
      <c r="AX85" s="1015"/>
      <c r="AY85" s="1015"/>
      <c r="AZ85" s="1015"/>
      <c r="BA85" s="1015"/>
      <c r="BB85" s="1015"/>
      <c r="BC85" s="1015"/>
      <c r="BD85" s="1015"/>
      <c r="BE85" s="1015"/>
      <c r="BF85" s="1015"/>
      <c r="BG85" s="1016"/>
    </row>
    <row r="86" spans="2:59" x14ac:dyDescent="0.2">
      <c r="B86" s="1014"/>
      <c r="C86" s="1015"/>
      <c r="D86" s="1015"/>
      <c r="E86" s="1015"/>
      <c r="F86" s="1015"/>
      <c r="G86" s="1015"/>
      <c r="H86" s="1015"/>
      <c r="I86" s="1015"/>
      <c r="J86" s="1015"/>
      <c r="K86" s="1015"/>
      <c r="L86" s="1015"/>
      <c r="M86" s="1015"/>
      <c r="N86" s="1015"/>
      <c r="O86" s="1015"/>
      <c r="P86" s="1015"/>
      <c r="Q86" s="1015"/>
      <c r="R86" s="1015"/>
      <c r="S86" s="1015"/>
      <c r="T86" s="1015"/>
      <c r="U86" s="1015"/>
      <c r="V86" s="1015"/>
      <c r="W86" s="1015"/>
      <c r="X86" s="1015"/>
      <c r="Y86" s="1015"/>
      <c r="Z86" s="1015"/>
      <c r="AA86" s="1015"/>
      <c r="AB86" s="1015"/>
      <c r="AC86" s="1015"/>
      <c r="AD86" s="1015"/>
      <c r="AE86" s="1015"/>
      <c r="AF86" s="1015"/>
      <c r="AG86" s="1015"/>
      <c r="AH86" s="1015"/>
      <c r="AI86" s="1015"/>
      <c r="AJ86" s="1015"/>
      <c r="AK86" s="1015"/>
      <c r="AL86" s="1015"/>
      <c r="AM86" s="1015"/>
      <c r="AN86" s="1015"/>
      <c r="AO86" s="1015"/>
      <c r="AP86" s="1015"/>
      <c r="AQ86" s="1015"/>
      <c r="AR86" s="1015"/>
      <c r="AS86" s="1015"/>
      <c r="AT86" s="1015"/>
      <c r="AU86" s="1015"/>
      <c r="AV86" s="1015"/>
      <c r="AW86" s="1015"/>
      <c r="AX86" s="1015"/>
      <c r="AY86" s="1015"/>
      <c r="AZ86" s="1015"/>
      <c r="BA86" s="1015"/>
      <c r="BB86" s="1015"/>
      <c r="BC86" s="1015"/>
      <c r="BD86" s="1015"/>
      <c r="BE86" s="1015"/>
      <c r="BF86" s="1015"/>
      <c r="BG86" s="1016"/>
    </row>
    <row r="87" spans="2:59" x14ac:dyDescent="0.2">
      <c r="B87" s="1014"/>
      <c r="C87" s="1015"/>
      <c r="D87" s="1015"/>
      <c r="E87" s="1015"/>
      <c r="F87" s="1015"/>
      <c r="G87" s="1015"/>
      <c r="H87" s="1015"/>
      <c r="I87" s="1015"/>
      <c r="J87" s="1015"/>
      <c r="K87" s="1015"/>
      <c r="L87" s="1015"/>
      <c r="M87" s="1015"/>
      <c r="N87" s="1015"/>
      <c r="O87" s="1015"/>
      <c r="P87" s="1015"/>
      <c r="Q87" s="1015"/>
      <c r="R87" s="1015"/>
      <c r="S87" s="1015"/>
      <c r="T87" s="1015"/>
      <c r="U87" s="1015"/>
      <c r="V87" s="1015"/>
      <c r="W87" s="1015"/>
      <c r="X87" s="1015"/>
      <c r="Y87" s="1015"/>
      <c r="Z87" s="1015"/>
      <c r="AA87" s="1015"/>
      <c r="AB87" s="1015"/>
      <c r="AC87" s="1015"/>
      <c r="AD87" s="1015"/>
      <c r="AE87" s="1015"/>
      <c r="AF87" s="1015"/>
      <c r="AG87" s="1015"/>
      <c r="AH87" s="1015"/>
      <c r="AI87" s="1015"/>
      <c r="AJ87" s="1015"/>
      <c r="AK87" s="1015"/>
      <c r="AL87" s="1015"/>
      <c r="AM87" s="1015"/>
      <c r="AN87" s="1015"/>
      <c r="AO87" s="1015"/>
      <c r="AP87" s="1015"/>
      <c r="AQ87" s="1015"/>
      <c r="AR87" s="1015"/>
      <c r="AS87" s="1015"/>
      <c r="AT87" s="1015"/>
      <c r="AU87" s="1015"/>
      <c r="AV87" s="1015"/>
      <c r="AW87" s="1015"/>
      <c r="AX87" s="1015"/>
      <c r="AY87" s="1015"/>
      <c r="AZ87" s="1015"/>
      <c r="BA87" s="1015"/>
      <c r="BB87" s="1015"/>
      <c r="BC87" s="1015"/>
      <c r="BD87" s="1015"/>
      <c r="BE87" s="1015"/>
      <c r="BF87" s="1015"/>
      <c r="BG87" s="1016"/>
    </row>
    <row r="88" spans="2:59" x14ac:dyDescent="0.2">
      <c r="B88" s="1014"/>
      <c r="C88" s="1015"/>
      <c r="D88" s="251"/>
      <c r="E88" s="251"/>
      <c r="F88" s="251"/>
      <c r="G88" s="251" t="s">
        <v>796</v>
      </c>
      <c r="H88" s="251"/>
      <c r="I88" s="1631" t="str">
        <f>+IF(keltezes="","",keltezes)</f>
        <v/>
      </c>
      <c r="J88" s="1163"/>
      <c r="K88" s="1163"/>
      <c r="L88" s="1163"/>
      <c r="M88" s="1163"/>
      <c r="N88" s="1163"/>
      <c r="O88" s="1163"/>
      <c r="P88" s="1163"/>
      <c r="Q88" s="1163"/>
      <c r="R88" s="1163"/>
      <c r="S88" s="1163"/>
      <c r="T88" s="1163"/>
      <c r="U88" s="1163"/>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1015"/>
      <c r="BG88" s="1016"/>
    </row>
    <row r="89" spans="2:59" x14ac:dyDescent="0.2">
      <c r="B89" s="1014"/>
      <c r="C89" s="101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1015"/>
      <c r="BG89" s="1016"/>
    </row>
    <row r="90" spans="2:59" x14ac:dyDescent="0.2">
      <c r="B90" s="1014"/>
      <c r="C90" s="1015"/>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1185"/>
      <c r="AO90" s="1185"/>
      <c r="AP90" s="1185"/>
      <c r="AQ90" s="1185"/>
      <c r="AR90" s="1185"/>
      <c r="AS90" s="1185"/>
      <c r="AT90" s="1185"/>
      <c r="AU90" s="1185"/>
      <c r="AV90" s="1185"/>
      <c r="AW90" s="1185"/>
      <c r="AX90" s="1185"/>
      <c r="AY90" s="1185"/>
      <c r="AZ90" s="1185"/>
      <c r="BA90" s="1185"/>
      <c r="BB90" s="1185"/>
      <c r="BC90" s="1185"/>
      <c r="BD90" s="1185"/>
      <c r="BE90" s="1185"/>
      <c r="BF90" s="1015"/>
      <c r="BG90" s="1016"/>
    </row>
    <row r="91" spans="2:59" x14ac:dyDescent="0.2">
      <c r="B91" s="1014"/>
      <c r="C91" s="1015"/>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1181" t="str">
        <f>+IF(C10="","",C10)</f>
        <v/>
      </c>
      <c r="AQ91" s="1181"/>
      <c r="AR91" s="1181"/>
      <c r="AS91" s="1181"/>
      <c r="AT91" s="1181"/>
      <c r="AU91" s="1181"/>
      <c r="AV91" s="1181"/>
      <c r="AW91" s="1181"/>
      <c r="AX91" s="1181"/>
      <c r="AY91" s="1181"/>
      <c r="AZ91" s="1181"/>
      <c r="BA91" s="1181"/>
      <c r="BB91" s="1181"/>
      <c r="BC91" s="1181"/>
      <c r="BD91" s="251"/>
      <c r="BE91" s="251"/>
      <c r="BF91" s="1015"/>
      <c r="BG91" s="1016"/>
    </row>
    <row r="92" spans="2:59" x14ac:dyDescent="0.2">
      <c r="B92" s="1014"/>
      <c r="C92" s="1015"/>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1015"/>
      <c r="BG92" s="1016"/>
    </row>
    <row r="93" spans="2:59" x14ac:dyDescent="0.2">
      <c r="B93" s="1014"/>
      <c r="C93" s="101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c r="BA93" s="251"/>
      <c r="BB93" s="251"/>
      <c r="BC93" s="251"/>
      <c r="BD93" s="251"/>
      <c r="BE93" s="251"/>
      <c r="BF93" s="1015"/>
      <c r="BG93" s="1016"/>
    </row>
    <row r="94" spans="2:59" x14ac:dyDescent="0.2">
      <c r="B94" s="1014"/>
      <c r="C94" s="1015"/>
      <c r="D94" s="251"/>
      <c r="E94" s="251"/>
      <c r="F94" s="251" t="s">
        <v>797</v>
      </c>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1015"/>
      <c r="BG94" s="1016"/>
    </row>
    <row r="95" spans="2:59" x14ac:dyDescent="0.2">
      <c r="B95" s="1014"/>
      <c r="C95" s="1015"/>
      <c r="D95" s="251"/>
      <c r="E95" s="251"/>
      <c r="F95" s="251" t="s">
        <v>798</v>
      </c>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1015"/>
      <c r="BG95" s="1016"/>
    </row>
    <row r="96" spans="2:59" x14ac:dyDescent="0.2">
      <c r="B96" s="1014"/>
      <c r="C96" s="1015"/>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1"/>
      <c r="BC96" s="251"/>
      <c r="BD96" s="251"/>
      <c r="BE96" s="251"/>
      <c r="BF96" s="1015"/>
      <c r="BG96" s="1016"/>
    </row>
    <row r="97" spans="2:59" x14ac:dyDescent="0.2">
      <c r="B97" s="1014"/>
      <c r="C97" s="1015"/>
      <c r="D97" s="252"/>
      <c r="E97" s="252"/>
      <c r="F97" s="252" t="s">
        <v>799</v>
      </c>
      <c r="G97" s="252"/>
      <c r="H97" s="252"/>
      <c r="I97" s="252"/>
      <c r="J97" s="252"/>
      <c r="K97" s="1185"/>
      <c r="L97" s="1185"/>
      <c r="M97" s="1185"/>
      <c r="N97" s="1185"/>
      <c r="O97" s="1185"/>
      <c r="P97" s="1185"/>
      <c r="Q97" s="1185"/>
      <c r="R97" s="1185"/>
      <c r="S97" s="1185"/>
      <c r="T97" s="1185"/>
      <c r="U97" s="1185"/>
      <c r="V97" s="1185"/>
      <c r="W97" s="1185"/>
      <c r="X97" s="1185"/>
      <c r="Y97" s="1185"/>
      <c r="Z97" s="1185"/>
      <c r="AA97" s="1185"/>
      <c r="AB97" s="1185"/>
      <c r="AC97" s="1185"/>
      <c r="AD97" s="252"/>
      <c r="AE97" s="252"/>
      <c r="AF97" s="252"/>
      <c r="AG97" s="252" t="s">
        <v>800</v>
      </c>
      <c r="AH97" s="252"/>
      <c r="AI97" s="252"/>
      <c r="AJ97" s="252"/>
      <c r="AK97" s="1185"/>
      <c r="AL97" s="1185"/>
      <c r="AM97" s="1185"/>
      <c r="AN97" s="1185"/>
      <c r="AO97" s="1185"/>
      <c r="AP97" s="1185"/>
      <c r="AQ97" s="1185"/>
      <c r="AR97" s="1185"/>
      <c r="AS97" s="1185"/>
      <c r="AT97" s="1185"/>
      <c r="AU97" s="1185"/>
      <c r="AV97" s="1185"/>
      <c r="AW97" s="1185"/>
      <c r="AX97" s="1185"/>
      <c r="AY97" s="1185"/>
      <c r="AZ97" s="1185"/>
      <c r="BA97" s="1185"/>
      <c r="BB97" s="1185"/>
      <c r="BC97" s="1185"/>
      <c r="BD97" s="252"/>
      <c r="BE97" s="252"/>
      <c r="BF97" s="1015"/>
      <c r="BG97" s="1016"/>
    </row>
    <row r="98" spans="2:59" x14ac:dyDescent="0.2">
      <c r="B98" s="1014"/>
      <c r="C98" s="1015"/>
      <c r="D98" s="252"/>
      <c r="E98" s="252"/>
      <c r="F98" s="252"/>
      <c r="G98" s="252"/>
      <c r="H98" s="252"/>
      <c r="I98" s="252"/>
      <c r="J98" s="252"/>
      <c r="K98" s="252"/>
      <c r="L98" s="252"/>
      <c r="M98" s="252"/>
      <c r="N98" s="252"/>
      <c r="O98" s="1181" t="s">
        <v>315</v>
      </c>
      <c r="P98" s="1181"/>
      <c r="Q98" s="1181"/>
      <c r="R98" s="1181"/>
      <c r="S98" s="1181"/>
      <c r="T98" s="1181"/>
      <c r="U98" s="1181"/>
      <c r="V98" s="1181"/>
      <c r="W98" s="1181"/>
      <c r="X98" s="1181"/>
      <c r="Y98" s="1181"/>
      <c r="Z98" s="252"/>
      <c r="AA98" s="252"/>
      <c r="AB98" s="252"/>
      <c r="AC98" s="252"/>
      <c r="AD98" s="252"/>
      <c r="AE98" s="252"/>
      <c r="AF98" s="252"/>
      <c r="AG98" s="252"/>
      <c r="AH98" s="252"/>
      <c r="AI98" s="252"/>
      <c r="AJ98" s="252"/>
      <c r="AK98" s="252"/>
      <c r="AL98" s="252"/>
      <c r="AM98" s="252"/>
      <c r="AN98" s="252"/>
      <c r="AO98" s="1181" t="s">
        <v>315</v>
      </c>
      <c r="AP98" s="1181"/>
      <c r="AQ98" s="1181"/>
      <c r="AR98" s="1181"/>
      <c r="AS98" s="1181"/>
      <c r="AT98" s="1181"/>
      <c r="AU98" s="1181"/>
      <c r="AV98" s="1181"/>
      <c r="AW98" s="1181"/>
      <c r="AX98" s="1181"/>
      <c r="AY98" s="1181"/>
      <c r="AZ98" s="252"/>
      <c r="BA98" s="252"/>
      <c r="BB98" s="252"/>
      <c r="BC98" s="252"/>
      <c r="BD98" s="252"/>
      <c r="BE98" s="252"/>
      <c r="BF98" s="1015"/>
      <c r="BG98" s="1016"/>
    </row>
    <row r="99" spans="2:59" x14ac:dyDescent="0.2">
      <c r="B99" s="1014"/>
      <c r="C99" s="1015"/>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c r="BC99" s="252"/>
      <c r="BD99" s="252"/>
      <c r="BE99" s="252"/>
      <c r="BF99" s="1015"/>
      <c r="BG99" s="1016"/>
    </row>
    <row r="100" spans="2:59" x14ac:dyDescent="0.2">
      <c r="B100" s="1014"/>
      <c r="C100" s="1015"/>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252"/>
      <c r="BE100" s="252"/>
      <c r="BF100" s="1015"/>
      <c r="BG100" s="1016"/>
    </row>
    <row r="101" spans="2:59" x14ac:dyDescent="0.2">
      <c r="B101" s="1014"/>
      <c r="C101" s="1015"/>
      <c r="D101" s="252"/>
      <c r="E101" s="252"/>
      <c r="F101" s="252"/>
      <c r="G101" s="252"/>
      <c r="H101" s="252"/>
      <c r="I101" s="252"/>
      <c r="J101" s="252"/>
      <c r="K101" s="1185"/>
      <c r="L101" s="1185"/>
      <c r="M101" s="1185"/>
      <c r="N101" s="1185"/>
      <c r="O101" s="1185"/>
      <c r="P101" s="1185"/>
      <c r="Q101" s="1185"/>
      <c r="R101" s="1185"/>
      <c r="S101" s="1185"/>
      <c r="T101" s="1185"/>
      <c r="U101" s="1185"/>
      <c r="V101" s="1185"/>
      <c r="W101" s="1185"/>
      <c r="X101" s="1185"/>
      <c r="Y101" s="1185"/>
      <c r="Z101" s="1185"/>
      <c r="AA101" s="1185"/>
      <c r="AB101" s="1185"/>
      <c r="AC101" s="1185"/>
      <c r="AD101" s="252"/>
      <c r="AE101" s="252"/>
      <c r="AF101" s="252"/>
      <c r="AG101" s="252"/>
      <c r="AH101" s="252"/>
      <c r="AI101" s="252"/>
      <c r="AJ101" s="252"/>
      <c r="AK101" s="1185"/>
      <c r="AL101" s="1185"/>
      <c r="AM101" s="1185"/>
      <c r="AN101" s="1185"/>
      <c r="AO101" s="1185"/>
      <c r="AP101" s="1185"/>
      <c r="AQ101" s="1185"/>
      <c r="AR101" s="1185"/>
      <c r="AS101" s="1185"/>
      <c r="AT101" s="1185"/>
      <c r="AU101" s="1185"/>
      <c r="AV101" s="1185"/>
      <c r="AW101" s="1185"/>
      <c r="AX101" s="1185"/>
      <c r="AY101" s="1185"/>
      <c r="AZ101" s="1185"/>
      <c r="BA101" s="1185"/>
      <c r="BB101" s="1185"/>
      <c r="BC101" s="1185"/>
      <c r="BD101" s="252"/>
      <c r="BE101" s="252"/>
      <c r="BF101" s="1015"/>
      <c r="BG101" s="1016"/>
    </row>
    <row r="102" spans="2:59" x14ac:dyDescent="0.2">
      <c r="B102" s="1014"/>
      <c r="C102" s="1015"/>
      <c r="D102" s="252"/>
      <c r="E102" s="252"/>
      <c r="F102" s="252"/>
      <c r="G102" s="252"/>
      <c r="H102" s="252"/>
      <c r="I102" s="252"/>
      <c r="J102" s="252"/>
      <c r="K102" s="252"/>
      <c r="L102" s="252"/>
      <c r="M102" s="252"/>
      <c r="N102" s="252"/>
      <c r="O102" s="1181" t="s">
        <v>316</v>
      </c>
      <c r="P102" s="1181"/>
      <c r="Q102" s="1181"/>
      <c r="R102" s="1181"/>
      <c r="S102" s="1181"/>
      <c r="T102" s="1181"/>
      <c r="U102" s="1181"/>
      <c r="V102" s="1181"/>
      <c r="W102" s="1181"/>
      <c r="X102" s="1181"/>
      <c r="Y102" s="1181"/>
      <c r="Z102" s="252"/>
      <c r="AA102" s="252"/>
      <c r="AB102" s="252"/>
      <c r="AC102" s="252"/>
      <c r="AD102" s="252"/>
      <c r="AE102" s="252"/>
      <c r="AF102" s="252"/>
      <c r="AG102" s="252"/>
      <c r="AH102" s="252"/>
      <c r="AI102" s="252"/>
      <c r="AJ102" s="252"/>
      <c r="AK102" s="252"/>
      <c r="AL102" s="252"/>
      <c r="AM102" s="252"/>
      <c r="AN102" s="252"/>
      <c r="AO102" s="1181" t="s">
        <v>316</v>
      </c>
      <c r="AP102" s="1181"/>
      <c r="AQ102" s="1181"/>
      <c r="AR102" s="1181"/>
      <c r="AS102" s="1181"/>
      <c r="AT102" s="1181"/>
      <c r="AU102" s="1181"/>
      <c r="AV102" s="1181"/>
      <c r="AW102" s="1181"/>
      <c r="AX102" s="1181"/>
      <c r="AY102" s="1181"/>
      <c r="AZ102" s="252"/>
      <c r="BA102" s="252"/>
      <c r="BB102" s="252"/>
      <c r="BC102" s="252"/>
      <c r="BD102" s="252"/>
      <c r="BE102" s="252"/>
      <c r="BF102" s="1015"/>
      <c r="BG102" s="1016"/>
    </row>
    <row r="103" spans="2:59" x14ac:dyDescent="0.2">
      <c r="B103" s="1014"/>
      <c r="C103" s="1015"/>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c r="BC103" s="252"/>
      <c r="BD103" s="252"/>
      <c r="BE103" s="252"/>
      <c r="BF103" s="1015"/>
      <c r="BG103" s="1016"/>
    </row>
    <row r="104" spans="2:59" x14ac:dyDescent="0.2">
      <c r="B104" s="1014"/>
      <c r="C104" s="1015"/>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c r="BC104" s="252"/>
      <c r="BD104" s="252"/>
      <c r="BE104" s="252"/>
      <c r="BF104" s="1015"/>
      <c r="BG104" s="1016"/>
    </row>
    <row r="105" spans="2:59" x14ac:dyDescent="0.2">
      <c r="B105" s="1014"/>
      <c r="C105" s="1015"/>
      <c r="D105" s="252"/>
      <c r="E105" s="252"/>
      <c r="F105" s="252"/>
      <c r="G105" s="252"/>
      <c r="H105" s="252"/>
      <c r="I105" s="252"/>
      <c r="J105" s="252"/>
      <c r="K105" s="1185"/>
      <c r="L105" s="1185"/>
      <c r="M105" s="1185"/>
      <c r="N105" s="1185"/>
      <c r="O105" s="1185"/>
      <c r="P105" s="1185"/>
      <c r="Q105" s="1185"/>
      <c r="R105" s="1185"/>
      <c r="S105" s="1185"/>
      <c r="T105" s="1185"/>
      <c r="U105" s="1185"/>
      <c r="V105" s="1185"/>
      <c r="W105" s="1185"/>
      <c r="X105" s="1185"/>
      <c r="Y105" s="1185"/>
      <c r="Z105" s="1185"/>
      <c r="AA105" s="1185"/>
      <c r="AB105" s="1185"/>
      <c r="AC105" s="1185"/>
      <c r="AD105" s="252"/>
      <c r="AE105" s="252"/>
      <c r="AF105" s="252"/>
      <c r="AG105" s="252"/>
      <c r="AH105" s="252"/>
      <c r="AI105" s="252"/>
      <c r="AJ105" s="252"/>
      <c r="AK105" s="1185"/>
      <c r="AL105" s="1185"/>
      <c r="AM105" s="1185"/>
      <c r="AN105" s="1185"/>
      <c r="AO105" s="1185"/>
      <c r="AP105" s="1185"/>
      <c r="AQ105" s="1185"/>
      <c r="AR105" s="1185"/>
      <c r="AS105" s="1185"/>
      <c r="AT105" s="1185"/>
      <c r="AU105" s="1185"/>
      <c r="AV105" s="1185"/>
      <c r="AW105" s="1185"/>
      <c r="AX105" s="1185"/>
      <c r="AY105" s="1185"/>
      <c r="AZ105" s="1185"/>
      <c r="BA105" s="1185"/>
      <c r="BB105" s="1185"/>
      <c r="BC105" s="1185"/>
      <c r="BD105" s="252"/>
      <c r="BE105" s="252"/>
      <c r="BF105" s="1015"/>
      <c r="BG105" s="1016"/>
    </row>
    <row r="106" spans="2:59" x14ac:dyDescent="0.2">
      <c r="B106" s="1014"/>
      <c r="C106" s="1015"/>
      <c r="D106" s="252"/>
      <c r="E106" s="252"/>
      <c r="F106" s="252"/>
      <c r="G106" s="252"/>
      <c r="H106" s="252"/>
      <c r="I106" s="252"/>
      <c r="J106" s="252"/>
      <c r="K106" s="252"/>
      <c r="L106" s="252"/>
      <c r="M106" s="252"/>
      <c r="N106" s="252"/>
      <c r="O106" s="1181" t="s">
        <v>801</v>
      </c>
      <c r="P106" s="1181"/>
      <c r="Q106" s="1181"/>
      <c r="R106" s="1181"/>
      <c r="S106" s="1181"/>
      <c r="T106" s="1181"/>
      <c r="U106" s="1181"/>
      <c r="V106" s="1181"/>
      <c r="W106" s="1181"/>
      <c r="X106" s="1181"/>
      <c r="Y106" s="1181"/>
      <c r="Z106" s="252"/>
      <c r="AA106" s="252"/>
      <c r="AB106" s="252"/>
      <c r="AC106" s="252"/>
      <c r="AD106" s="252"/>
      <c r="AE106" s="252"/>
      <c r="AF106" s="252"/>
      <c r="AG106" s="252"/>
      <c r="AH106" s="252"/>
      <c r="AI106" s="252"/>
      <c r="AJ106" s="252"/>
      <c r="AK106" s="252"/>
      <c r="AL106" s="252"/>
      <c r="AM106" s="252"/>
      <c r="AN106" s="252"/>
      <c r="AO106" s="1181" t="s">
        <v>801</v>
      </c>
      <c r="AP106" s="1181"/>
      <c r="AQ106" s="1181"/>
      <c r="AR106" s="1181"/>
      <c r="AS106" s="1181"/>
      <c r="AT106" s="1181"/>
      <c r="AU106" s="1181"/>
      <c r="AV106" s="1181"/>
      <c r="AW106" s="1181"/>
      <c r="AX106" s="1181"/>
      <c r="AY106" s="1181"/>
      <c r="AZ106" s="252"/>
      <c r="BA106" s="252"/>
      <c r="BB106" s="252"/>
      <c r="BC106" s="252"/>
      <c r="BD106" s="252"/>
      <c r="BE106" s="252"/>
      <c r="BF106" s="1015"/>
      <c r="BG106" s="1016"/>
    </row>
    <row r="107" spans="2:59" x14ac:dyDescent="0.2">
      <c r="B107" s="1014"/>
      <c r="C107" s="1015"/>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1015"/>
      <c r="BG107" s="1016"/>
    </row>
    <row r="108" spans="2:59" x14ac:dyDescent="0.2">
      <c r="B108" s="1014"/>
      <c r="C108" s="1015"/>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c r="BC108" s="252"/>
      <c r="BD108" s="252"/>
      <c r="BE108" s="252"/>
      <c r="BF108" s="1015"/>
      <c r="BG108" s="1016"/>
    </row>
    <row r="109" spans="2:59" x14ac:dyDescent="0.2">
      <c r="B109" s="1014"/>
      <c r="C109" s="1015"/>
      <c r="D109" s="252"/>
      <c r="E109" s="252"/>
      <c r="F109" s="252"/>
      <c r="G109" s="252"/>
      <c r="H109" s="252"/>
      <c r="I109" s="252"/>
      <c r="J109" s="252"/>
      <c r="K109" s="1185"/>
      <c r="L109" s="1185"/>
      <c r="M109" s="1185"/>
      <c r="N109" s="1185"/>
      <c r="O109" s="1185"/>
      <c r="P109" s="1185"/>
      <c r="Q109" s="1185"/>
      <c r="R109" s="1185"/>
      <c r="S109" s="1185"/>
      <c r="T109" s="1185"/>
      <c r="U109" s="1185"/>
      <c r="V109" s="1185"/>
      <c r="W109" s="1185"/>
      <c r="X109" s="1185"/>
      <c r="Y109" s="1185"/>
      <c r="Z109" s="1185"/>
      <c r="AA109" s="1185"/>
      <c r="AB109" s="1185"/>
      <c r="AC109" s="1185"/>
      <c r="AD109" s="252"/>
      <c r="AE109" s="252"/>
      <c r="AF109" s="252"/>
      <c r="AG109" s="252"/>
      <c r="AH109" s="252"/>
      <c r="AI109" s="252"/>
      <c r="AJ109" s="252"/>
      <c r="AK109" s="1185"/>
      <c r="AL109" s="1185"/>
      <c r="AM109" s="1185"/>
      <c r="AN109" s="1185"/>
      <c r="AO109" s="1185"/>
      <c r="AP109" s="1185"/>
      <c r="AQ109" s="1185"/>
      <c r="AR109" s="1185"/>
      <c r="AS109" s="1185"/>
      <c r="AT109" s="1185"/>
      <c r="AU109" s="1185"/>
      <c r="AV109" s="1185"/>
      <c r="AW109" s="1185"/>
      <c r="AX109" s="1185"/>
      <c r="AY109" s="1185"/>
      <c r="AZ109" s="1185"/>
      <c r="BA109" s="1185"/>
      <c r="BB109" s="1185"/>
      <c r="BC109" s="1185"/>
      <c r="BD109" s="252"/>
      <c r="BE109" s="252"/>
      <c r="BF109" s="1015"/>
      <c r="BG109" s="1016"/>
    </row>
    <row r="110" spans="2:59" x14ac:dyDescent="0.2">
      <c r="B110" s="1014"/>
      <c r="C110" s="1015"/>
      <c r="D110" s="252"/>
      <c r="E110" s="252"/>
      <c r="F110" s="252"/>
      <c r="G110" s="252"/>
      <c r="H110" s="252"/>
      <c r="I110" s="252"/>
      <c r="J110" s="252"/>
      <c r="K110" s="252"/>
      <c r="L110" s="252"/>
      <c r="M110" s="252"/>
      <c r="N110" s="252"/>
      <c r="O110" s="1181" t="s">
        <v>802</v>
      </c>
      <c r="P110" s="1181"/>
      <c r="Q110" s="1181"/>
      <c r="R110" s="1181"/>
      <c r="S110" s="1181"/>
      <c r="T110" s="1181"/>
      <c r="U110" s="1181"/>
      <c r="V110" s="1181"/>
      <c r="W110" s="1181"/>
      <c r="X110" s="1181"/>
      <c r="Y110" s="1181"/>
      <c r="Z110" s="252"/>
      <c r="AA110" s="252"/>
      <c r="AB110" s="252"/>
      <c r="AC110" s="252"/>
      <c r="AD110" s="252"/>
      <c r="AE110" s="252"/>
      <c r="AF110" s="252"/>
      <c r="AG110" s="252"/>
      <c r="AH110" s="252"/>
      <c r="AI110" s="252"/>
      <c r="AJ110" s="252"/>
      <c r="AK110" s="252"/>
      <c r="AL110" s="252"/>
      <c r="AM110" s="252"/>
      <c r="AN110" s="252"/>
      <c r="AO110" s="1181" t="s">
        <v>802</v>
      </c>
      <c r="AP110" s="1181"/>
      <c r="AQ110" s="1181"/>
      <c r="AR110" s="1181"/>
      <c r="AS110" s="1181"/>
      <c r="AT110" s="1181"/>
      <c r="AU110" s="1181"/>
      <c r="AV110" s="1181"/>
      <c r="AW110" s="1181"/>
      <c r="AX110" s="1181"/>
      <c r="AY110" s="1181"/>
      <c r="AZ110" s="252"/>
      <c r="BA110" s="252"/>
      <c r="BB110" s="252"/>
      <c r="BC110" s="252"/>
      <c r="BD110" s="252"/>
      <c r="BE110" s="252"/>
      <c r="BF110" s="1015"/>
      <c r="BG110" s="1016"/>
    </row>
    <row r="111" spans="2:59" x14ac:dyDescent="0.2">
      <c r="B111" s="1014"/>
      <c r="C111" s="1015"/>
      <c r="D111" s="1015"/>
      <c r="E111" s="1015"/>
      <c r="F111" s="1015"/>
      <c r="G111" s="1015"/>
      <c r="H111" s="1015"/>
      <c r="I111" s="1015"/>
      <c r="J111" s="1015"/>
      <c r="K111" s="1015"/>
      <c r="L111" s="1015"/>
      <c r="M111" s="1015"/>
      <c r="N111" s="1015"/>
      <c r="O111" s="1015"/>
      <c r="P111" s="1015"/>
      <c r="Q111" s="1015"/>
      <c r="R111" s="1015"/>
      <c r="S111" s="1015"/>
      <c r="T111" s="1015"/>
      <c r="U111" s="1015"/>
      <c r="V111" s="1015"/>
      <c r="W111" s="1015"/>
      <c r="X111" s="1015"/>
      <c r="Y111" s="1015"/>
      <c r="Z111" s="1015"/>
      <c r="AA111" s="1015"/>
      <c r="AB111" s="1015"/>
      <c r="AC111" s="1015"/>
      <c r="AD111" s="1015"/>
      <c r="AE111" s="1015"/>
      <c r="AF111" s="1015"/>
      <c r="AG111" s="1015"/>
      <c r="AH111" s="1015"/>
      <c r="AI111" s="1015"/>
      <c r="AJ111" s="1015"/>
      <c r="AK111" s="1015"/>
      <c r="AL111" s="1015"/>
      <c r="AM111" s="1015"/>
      <c r="AN111" s="1015"/>
      <c r="AO111" s="1015"/>
      <c r="AP111" s="1015"/>
      <c r="AQ111" s="1015"/>
      <c r="AR111" s="1015"/>
      <c r="AS111" s="1015"/>
      <c r="AT111" s="1015"/>
      <c r="AU111" s="1015"/>
      <c r="AV111" s="1015"/>
      <c r="AW111" s="1015"/>
      <c r="AX111" s="1015"/>
      <c r="AY111" s="1015"/>
      <c r="AZ111" s="1015"/>
      <c r="BA111" s="1015"/>
      <c r="BB111" s="1015"/>
      <c r="BC111" s="1015"/>
      <c r="BD111" s="1015"/>
      <c r="BE111" s="1015"/>
      <c r="BF111" s="1015"/>
      <c r="BG111" s="1016"/>
    </row>
    <row r="112" spans="2:59" x14ac:dyDescent="0.2">
      <c r="B112" s="1017"/>
      <c r="C112" s="1018"/>
      <c r="D112" s="1018"/>
      <c r="E112" s="1018"/>
      <c r="F112" s="1018"/>
      <c r="G112" s="1018"/>
      <c r="H112" s="1018"/>
      <c r="I112" s="1018"/>
      <c r="J112" s="1018"/>
      <c r="K112" s="1018"/>
      <c r="L112" s="1018"/>
      <c r="M112" s="1018"/>
      <c r="N112" s="1018"/>
      <c r="O112" s="1018"/>
      <c r="P112" s="1018"/>
      <c r="Q112" s="1018"/>
      <c r="R112" s="1018"/>
      <c r="S112" s="1018"/>
      <c r="T112" s="1018"/>
      <c r="U112" s="1018"/>
      <c r="V112" s="1018"/>
      <c r="W112" s="1018"/>
      <c r="X112" s="1018"/>
      <c r="Y112" s="1018"/>
      <c r="Z112" s="1018"/>
      <c r="AA112" s="1018"/>
      <c r="AB112" s="1018"/>
      <c r="AC112" s="1018"/>
      <c r="AD112" s="1018"/>
      <c r="AE112" s="1018"/>
      <c r="AF112" s="1018"/>
      <c r="AG112" s="1018"/>
      <c r="AH112" s="1018"/>
      <c r="AI112" s="1018"/>
      <c r="AJ112" s="1018"/>
      <c r="AK112" s="1018"/>
      <c r="AL112" s="1018"/>
      <c r="AM112" s="1018"/>
      <c r="AN112" s="1018"/>
      <c r="AO112" s="1018"/>
      <c r="AP112" s="1018"/>
      <c r="AQ112" s="1018"/>
      <c r="AR112" s="1018"/>
      <c r="AS112" s="1018"/>
      <c r="AT112" s="1018"/>
      <c r="AU112" s="1018"/>
      <c r="AV112" s="1018"/>
      <c r="AW112" s="1018"/>
      <c r="AX112" s="1018"/>
      <c r="AY112" s="1018"/>
      <c r="AZ112" s="1018"/>
      <c r="BA112" s="1018"/>
      <c r="BB112" s="1018"/>
      <c r="BC112" s="1018"/>
      <c r="BD112" s="1018"/>
      <c r="BE112" s="1018"/>
      <c r="BF112" s="1018"/>
      <c r="BG112" s="1019"/>
    </row>
  </sheetData>
  <sheetProtection password="C613" sheet="1" objects="1" scenarios="1"/>
  <mergeCells count="198">
    <mergeCell ref="O106:Y106"/>
    <mergeCell ref="AO106:AY106"/>
    <mergeCell ref="K109:AC109"/>
    <mergeCell ref="AK109:BC109"/>
    <mergeCell ref="O110:Y110"/>
    <mergeCell ref="AO110:AY110"/>
    <mergeCell ref="K101:AC101"/>
    <mergeCell ref="AK101:BC101"/>
    <mergeCell ref="O102:Y102"/>
    <mergeCell ref="AO102:AY102"/>
    <mergeCell ref="K105:AC105"/>
    <mergeCell ref="AK105:BC105"/>
    <mergeCell ref="I88:U88"/>
    <mergeCell ref="AN90:BE90"/>
    <mergeCell ref="AP91:BC91"/>
    <mergeCell ref="K97:AC97"/>
    <mergeCell ref="AK97:BC97"/>
    <mergeCell ref="O98:Y98"/>
    <mergeCell ref="AO98:AY98"/>
    <mergeCell ref="AY81:BF81"/>
    <mergeCell ref="D83:E83"/>
    <mergeCell ref="G83:P83"/>
    <mergeCell ref="R83:AA83"/>
    <mergeCell ref="AC83:AL83"/>
    <mergeCell ref="AN83:AR83"/>
    <mergeCell ref="AS83:AW83"/>
    <mergeCell ref="AY83:BF83"/>
    <mergeCell ref="D81:E81"/>
    <mergeCell ref="G81:P81"/>
    <mergeCell ref="R81:AA81"/>
    <mergeCell ref="AC81:AL81"/>
    <mergeCell ref="AN81:AR81"/>
    <mergeCell ref="AS81:AW81"/>
    <mergeCell ref="AY77:BF77"/>
    <mergeCell ref="D79:E79"/>
    <mergeCell ref="G79:P79"/>
    <mergeCell ref="R79:AA79"/>
    <mergeCell ref="AC79:AL79"/>
    <mergeCell ref="AN79:AR79"/>
    <mergeCell ref="AS79:AW79"/>
    <mergeCell ref="AY79:BF79"/>
    <mergeCell ref="D77:E77"/>
    <mergeCell ref="G77:P77"/>
    <mergeCell ref="R77:AA77"/>
    <mergeCell ref="AC77:AL77"/>
    <mergeCell ref="AN77:AR77"/>
    <mergeCell ref="AS77:AW77"/>
    <mergeCell ref="AY73:BF73"/>
    <mergeCell ref="D75:E75"/>
    <mergeCell ref="G75:P75"/>
    <mergeCell ref="R75:AA75"/>
    <mergeCell ref="AC75:AL75"/>
    <mergeCell ref="AN75:AR75"/>
    <mergeCell ref="AS75:AW75"/>
    <mergeCell ref="AY75:BF75"/>
    <mergeCell ref="D73:E73"/>
    <mergeCell ref="G73:P73"/>
    <mergeCell ref="R73:AA73"/>
    <mergeCell ref="AC73:AL73"/>
    <mergeCell ref="AN73:AR73"/>
    <mergeCell ref="AS73:AW73"/>
    <mergeCell ref="AY69:BF69"/>
    <mergeCell ref="D71:E71"/>
    <mergeCell ref="G71:P71"/>
    <mergeCell ref="R71:AA71"/>
    <mergeCell ref="AC71:AL71"/>
    <mergeCell ref="AN71:AR71"/>
    <mergeCell ref="AS71:AW71"/>
    <mergeCell ref="AY71:BF71"/>
    <mergeCell ref="D69:E69"/>
    <mergeCell ref="G69:P69"/>
    <mergeCell ref="R69:AA69"/>
    <mergeCell ref="AC69:AL69"/>
    <mergeCell ref="AN69:AR69"/>
    <mergeCell ref="AS69:AW69"/>
    <mergeCell ref="AY65:BF65"/>
    <mergeCell ref="D67:E67"/>
    <mergeCell ref="G67:P67"/>
    <mergeCell ref="R67:AA67"/>
    <mergeCell ref="AC67:AL67"/>
    <mergeCell ref="AN67:AR67"/>
    <mergeCell ref="AS67:AW67"/>
    <mergeCell ref="AY67:BF67"/>
    <mergeCell ref="D65:E65"/>
    <mergeCell ref="G65:P65"/>
    <mergeCell ref="R65:AA65"/>
    <mergeCell ref="AC65:AL65"/>
    <mergeCell ref="AN65:AR65"/>
    <mergeCell ref="AS65:AW65"/>
    <mergeCell ref="AY61:BF61"/>
    <mergeCell ref="D63:E63"/>
    <mergeCell ref="G63:P63"/>
    <mergeCell ref="R63:AA63"/>
    <mergeCell ref="AC63:AL63"/>
    <mergeCell ref="AN63:AR63"/>
    <mergeCell ref="AS63:AW63"/>
    <mergeCell ref="AY63:BF63"/>
    <mergeCell ref="D61:E61"/>
    <mergeCell ref="G61:P61"/>
    <mergeCell ref="R61:AA61"/>
    <mergeCell ref="AC61:AL61"/>
    <mergeCell ref="AN61:AR61"/>
    <mergeCell ref="AS61:AW61"/>
    <mergeCell ref="AY57:BF57"/>
    <mergeCell ref="D59:E59"/>
    <mergeCell ref="G59:P59"/>
    <mergeCell ref="R59:AA59"/>
    <mergeCell ref="AC59:AL59"/>
    <mergeCell ref="AN59:AR59"/>
    <mergeCell ref="AS59:AW59"/>
    <mergeCell ref="AY59:BF59"/>
    <mergeCell ref="D57:E57"/>
    <mergeCell ref="G57:P57"/>
    <mergeCell ref="R57:AA57"/>
    <mergeCell ref="AC57:AL57"/>
    <mergeCell ref="AN57:AR57"/>
    <mergeCell ref="AS57:AW57"/>
    <mergeCell ref="AY53:BF53"/>
    <mergeCell ref="D55:E55"/>
    <mergeCell ref="G55:P55"/>
    <mergeCell ref="R55:AA55"/>
    <mergeCell ref="AC55:AL55"/>
    <mergeCell ref="AN55:AR55"/>
    <mergeCell ref="AS55:AW55"/>
    <mergeCell ref="AY55:BF55"/>
    <mergeCell ref="D53:E53"/>
    <mergeCell ref="G53:P53"/>
    <mergeCell ref="R53:AA53"/>
    <mergeCell ref="AC53:AL53"/>
    <mergeCell ref="AN53:AR53"/>
    <mergeCell ref="AS53:AW53"/>
    <mergeCell ref="AY49:BF49"/>
    <mergeCell ref="D51:E51"/>
    <mergeCell ref="G51:P51"/>
    <mergeCell ref="R51:AA51"/>
    <mergeCell ref="AC51:AL51"/>
    <mergeCell ref="AN51:AR51"/>
    <mergeCell ref="AS51:AW51"/>
    <mergeCell ref="AY51:BF51"/>
    <mergeCell ref="D49:E49"/>
    <mergeCell ref="G49:P49"/>
    <mergeCell ref="R49:AA49"/>
    <mergeCell ref="AC49:AL49"/>
    <mergeCell ref="AN49:AR49"/>
    <mergeCell ref="AS49:AW49"/>
    <mergeCell ref="AY45:BF45"/>
    <mergeCell ref="D47:E47"/>
    <mergeCell ref="G47:P47"/>
    <mergeCell ref="R47:AA47"/>
    <mergeCell ref="AC47:AL47"/>
    <mergeCell ref="AN47:AR47"/>
    <mergeCell ref="AS47:AW47"/>
    <mergeCell ref="AY47:BF47"/>
    <mergeCell ref="D45:E45"/>
    <mergeCell ref="G45:P45"/>
    <mergeCell ref="R45:AA45"/>
    <mergeCell ref="AC45:AL45"/>
    <mergeCell ref="AN45:AR45"/>
    <mergeCell ref="AS45:AW45"/>
    <mergeCell ref="D43:E43"/>
    <mergeCell ref="G43:P43"/>
    <mergeCell ref="R43:AA43"/>
    <mergeCell ref="AC43:AL43"/>
    <mergeCell ref="AN43:AW43"/>
    <mergeCell ref="AY43:BF43"/>
    <mergeCell ref="C33:T33"/>
    <mergeCell ref="X33:AL33"/>
    <mergeCell ref="B36:BG36"/>
    <mergeCell ref="C39:BF39"/>
    <mergeCell ref="E40:BF40"/>
    <mergeCell ref="E41:BF41"/>
    <mergeCell ref="C24:T24"/>
    <mergeCell ref="X24:AL24"/>
    <mergeCell ref="AO24:BF24"/>
    <mergeCell ref="C27:T27"/>
    <mergeCell ref="X27:AL27"/>
    <mergeCell ref="C30:T30"/>
    <mergeCell ref="X30:AL30"/>
    <mergeCell ref="AO30:BF30"/>
    <mergeCell ref="D17:N19"/>
    <mergeCell ref="P18:S18"/>
    <mergeCell ref="U18:AY18"/>
    <mergeCell ref="BA18:BF18"/>
    <mergeCell ref="D21:AC21"/>
    <mergeCell ref="AF21:AP21"/>
    <mergeCell ref="AT21:BF21"/>
    <mergeCell ref="B8:BG8"/>
    <mergeCell ref="C10:BF10"/>
    <mergeCell ref="C13:T13"/>
    <mergeCell ref="X13:AN13"/>
    <mergeCell ref="AR13:BD13"/>
    <mergeCell ref="P16:S16"/>
    <mergeCell ref="B2:BG3"/>
    <mergeCell ref="A4:D4"/>
    <mergeCell ref="A5:D5"/>
    <mergeCell ref="S5:AQ5"/>
    <mergeCell ref="A6:D6"/>
    <mergeCell ref="A7:D7"/>
  </mergeCells>
  <conditionalFormatting sqref="F94:BE110">
    <cfRule type="expression" dxfId="4" priority="1">
      <formula>+gazform="zártkörűen működő részvénytársaság"</formula>
    </cfRule>
    <cfRule type="expression" dxfId="3" priority="2">
      <formula>+gazform="nyílvánosan működő részvénytársaság"</formula>
    </cfRule>
    <cfRule type="expression" dxfId="2" priority="3">
      <formula>+gazform="közkereseti társaság"</formula>
    </cfRule>
    <cfRule type="expression" dxfId="1" priority="4">
      <formula>+gazform="korlátolt felelősségű társaság"</formula>
    </cfRule>
    <cfRule type="expression" dxfId="0" priority="5">
      <formula>+gazform="betéti társaság"</formula>
    </cfRule>
  </conditionalFormatting>
  <dataValidations count="1">
    <dataValidation type="list" allowBlank="1" showInputMessage="1" showErrorMessage="1" sqref="AC47:AL47 AC83:AL83 AC81:AL81 AC79:AL79 AC77:AL77 AC75:AL75 AC73:AL73 AC71:AL71 AC69:AL69 AC67:AL67 AC65:AL65 AC63:AL63 AC61:AL61 AC59:AL59 AC57:AL57 AC55:AL55 AC53:AL53 AC51:AL51 AC49:AL49" xr:uid="{00000000-0002-0000-0E00-000000000000}">
      <formula1>$BI$176:$BI$179</formula1>
    </dataValidation>
  </dataValidations>
  <pageMargins left="0" right="0" top="0" bottom="0" header="0" footer="0"/>
  <pageSetup paperSize="9" scale="44"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13000000}">
          <x14:formula1>
            <xm:f>Nyilatkozatok!$BI$176:$BI$179</xm:f>
          </x14:formula1>
          <xm:sqref>AC45:AL45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9">
    <tabColor theme="3" tint="0.79998168889431442"/>
    <pageSetUpPr fitToPage="1"/>
  </sheetPr>
  <dimension ref="A1:CE176"/>
  <sheetViews>
    <sheetView view="pageBreakPreview" zoomScale="80" zoomScaleNormal="70" zoomScaleSheetLayoutView="80" workbookViewId="0">
      <selection activeCell="U6" sqref="U6:AO6"/>
    </sheetView>
  </sheetViews>
  <sheetFormatPr baseColWidth="10" defaultColWidth="9.1640625" defaultRowHeight="13" x14ac:dyDescent="0.15"/>
  <cols>
    <col min="1" max="1" width="2.1640625" style="236" customWidth="1"/>
    <col min="2" max="2" width="4" style="236" customWidth="1"/>
    <col min="3" max="3" width="3.5" style="236" customWidth="1"/>
    <col min="4" max="5" width="3" style="236" customWidth="1"/>
    <col min="6" max="6" width="3.33203125" style="236" customWidth="1"/>
    <col min="7" max="7" width="3.1640625" style="236" customWidth="1"/>
    <col min="8" max="8" width="3.5" style="236" customWidth="1"/>
    <col min="9" max="9" width="2.5" style="236" customWidth="1"/>
    <col min="10" max="10" width="2.83203125" style="236" customWidth="1"/>
    <col min="11" max="12" width="3" style="236" customWidth="1"/>
    <col min="13" max="13" width="2.83203125" style="236" customWidth="1"/>
    <col min="14" max="14" width="3" style="236" customWidth="1"/>
    <col min="15" max="15" width="2.1640625" style="236" customWidth="1"/>
    <col min="16" max="16" width="2" style="236" customWidth="1"/>
    <col min="17" max="17" width="2.5" style="236" customWidth="1"/>
    <col min="18" max="18" width="2.6640625" style="236" customWidth="1"/>
    <col min="19" max="19" width="2" style="236" customWidth="1"/>
    <col min="20" max="20" width="3.5" style="236" customWidth="1"/>
    <col min="21" max="21" width="2.5" style="236" customWidth="1"/>
    <col min="22" max="22" width="3" style="236" customWidth="1"/>
    <col min="23" max="23" width="2.1640625" style="236" customWidth="1"/>
    <col min="24" max="24" width="3.5" style="236" customWidth="1"/>
    <col min="25" max="25" width="2.5" style="236" customWidth="1"/>
    <col min="26" max="26" width="2.83203125" style="236" customWidth="1"/>
    <col min="27" max="27" width="3.5" style="236" customWidth="1"/>
    <col min="28" max="28" width="3.33203125" style="236" customWidth="1"/>
    <col min="29" max="29" width="3.5" style="236" customWidth="1"/>
    <col min="30" max="34" width="10.83203125" style="236" customWidth="1"/>
    <col min="35" max="35" width="3.5" style="236" customWidth="1"/>
    <col min="36" max="36" width="3" style="236" customWidth="1"/>
    <col min="37" max="37" width="2.83203125" style="236" customWidth="1"/>
    <col min="38" max="38" width="3" style="236" customWidth="1"/>
    <col min="39" max="39" width="2.1640625" style="236" customWidth="1"/>
    <col min="40" max="40" width="2.5" style="236" customWidth="1"/>
    <col min="41" max="41" width="1.83203125" style="236" customWidth="1"/>
    <col min="42" max="42" width="2.5" style="236" customWidth="1"/>
    <col min="43" max="43" width="3" style="236" customWidth="1"/>
    <col min="44" max="44" width="2" style="236" customWidth="1"/>
    <col min="45" max="45" width="2.83203125" style="236" customWidth="1"/>
    <col min="46" max="46" width="1.83203125" style="236" customWidth="1"/>
    <col min="47" max="47" width="1.5" style="236" customWidth="1"/>
    <col min="48" max="48" width="2.5" style="236" customWidth="1"/>
    <col min="49" max="49" width="3" style="236" customWidth="1"/>
    <col min="50" max="50" width="1.5" style="236" customWidth="1"/>
    <col min="51" max="51" width="2.5" style="236" customWidth="1"/>
    <col min="52" max="52" width="2" style="236" customWidth="1"/>
    <col min="53" max="53" width="1.83203125" style="236" customWidth="1"/>
    <col min="54" max="54" width="2.5" style="236" customWidth="1"/>
    <col min="55" max="55" width="2" style="236" customWidth="1"/>
    <col min="56" max="56" width="5.33203125" style="236" customWidth="1"/>
    <col min="57" max="57" width="2.5" style="236" customWidth="1"/>
    <col min="58" max="58" width="2.83203125" style="236" customWidth="1"/>
    <col min="59" max="59" width="12.33203125" style="236" customWidth="1"/>
    <col min="60" max="60" width="8.5" style="236" hidden="1" customWidth="1"/>
    <col min="61" max="61" width="3.83203125" style="236" hidden="1" customWidth="1"/>
    <col min="62" max="62" width="4" style="236" hidden="1" customWidth="1"/>
    <col min="63" max="63" width="4.33203125" style="236" hidden="1" customWidth="1"/>
    <col min="64" max="64" width="5.33203125" style="236" hidden="1" customWidth="1"/>
    <col min="65" max="81" width="9.1640625" style="236" hidden="1" customWidth="1"/>
    <col min="82" max="82" width="16.33203125" style="236" hidden="1" customWidth="1"/>
    <col min="83" max="83" width="9.1640625" style="236" hidden="1" customWidth="1"/>
    <col min="84" max="92" width="9.1640625" style="236" customWidth="1"/>
    <col min="93" max="16384" width="9.1640625" style="236"/>
  </cols>
  <sheetData>
    <row r="1" spans="1:82" ht="20" x14ac:dyDescent="0.2">
      <c r="A1" s="434" t="s">
        <v>879</v>
      </c>
      <c r="BI1" s="1149" t="s">
        <v>530</v>
      </c>
      <c r="BJ1" s="1150"/>
      <c r="BK1" s="1150"/>
      <c r="BL1" s="1150"/>
      <c r="BM1" s="1150"/>
      <c r="BN1" s="1150"/>
      <c r="BO1" s="1150"/>
      <c r="BP1" s="1150"/>
      <c r="BQ1" s="1150"/>
      <c r="BR1" s="1150"/>
      <c r="BS1" s="1150"/>
      <c r="BT1" s="1150"/>
      <c r="BU1" s="1150"/>
      <c r="BV1" s="1150"/>
      <c r="BW1" s="1150"/>
      <c r="BX1" s="1150"/>
      <c r="BY1" s="1150"/>
      <c r="BZ1" s="1150"/>
      <c r="CA1" s="1150"/>
      <c r="CB1" s="1150"/>
      <c r="CC1" s="1150"/>
      <c r="CD1" s="1151"/>
    </row>
    <row r="2" spans="1:82" ht="14" thickBot="1" x14ac:dyDescent="0.2">
      <c r="B2" s="1196"/>
      <c r="C2" s="1196"/>
      <c r="D2" s="1196"/>
      <c r="E2" s="1196"/>
      <c r="BI2" s="73"/>
      <c r="BJ2" s="69"/>
      <c r="BK2" s="69"/>
      <c r="BL2" s="69"/>
      <c r="BM2" s="69"/>
      <c r="BN2" s="69"/>
      <c r="BO2" s="69"/>
      <c r="BP2" s="69"/>
      <c r="BQ2" s="69"/>
      <c r="BR2" s="69"/>
      <c r="BS2" s="69"/>
      <c r="BT2" s="69"/>
      <c r="BU2" s="69"/>
      <c r="BV2" s="69"/>
      <c r="BW2" s="69"/>
      <c r="BX2" s="69"/>
      <c r="BY2" s="69"/>
      <c r="BZ2" s="69"/>
      <c r="CA2" s="69"/>
      <c r="CB2" s="69"/>
      <c r="CC2" s="69"/>
      <c r="CD2" s="441"/>
    </row>
    <row r="3" spans="1:82" ht="40.5" customHeight="1" thickBot="1" x14ac:dyDescent="0.2">
      <c r="B3" s="1196"/>
      <c r="C3" s="1196"/>
      <c r="D3" s="1196"/>
      <c r="E3" s="1196"/>
      <c r="U3" s="1192" t="s">
        <v>990</v>
      </c>
      <c r="V3" s="1193"/>
      <c r="W3" s="1193"/>
      <c r="X3" s="1193"/>
      <c r="Y3" s="1193"/>
      <c r="Z3" s="1193"/>
      <c r="AA3" s="1193"/>
      <c r="AB3" s="1193"/>
      <c r="AC3" s="1193"/>
      <c r="AD3" s="1193"/>
      <c r="AE3" s="1193"/>
      <c r="AF3" s="1193"/>
      <c r="AG3" s="1193"/>
      <c r="AH3" s="1193"/>
      <c r="AI3" s="1193"/>
      <c r="AJ3" s="1193"/>
      <c r="AK3" s="1193"/>
      <c r="AL3" s="1193"/>
      <c r="AM3" s="1193"/>
      <c r="AN3" s="1193"/>
      <c r="AO3" s="1194"/>
      <c r="BI3" s="73"/>
      <c r="BJ3" s="69"/>
      <c r="BK3" s="69"/>
      <c r="BL3" s="69"/>
      <c r="BM3" s="69"/>
      <c r="BN3" s="69"/>
      <c r="BO3" s="69"/>
      <c r="BP3" s="69"/>
      <c r="BQ3" s="69"/>
      <c r="BR3" s="69"/>
      <c r="BS3" s="69"/>
      <c r="BT3" s="69"/>
      <c r="BU3" s="69"/>
      <c r="BV3" s="69"/>
      <c r="BW3" s="69"/>
      <c r="BX3" s="69"/>
      <c r="BY3" s="69"/>
      <c r="BZ3" s="69"/>
      <c r="CA3" s="69"/>
      <c r="CB3" s="69"/>
      <c r="CC3" s="69"/>
      <c r="CD3" s="441"/>
    </row>
    <row r="4" spans="1:82" ht="13.5" customHeight="1" x14ac:dyDescent="0.15">
      <c r="U4" s="934"/>
      <c r="V4" s="934"/>
      <c r="W4" s="934"/>
      <c r="X4" s="934"/>
      <c r="Y4" s="934"/>
      <c r="Z4" s="934"/>
      <c r="AA4" s="934"/>
      <c r="AB4" s="934"/>
      <c r="AC4" s="934"/>
      <c r="AD4" s="934"/>
      <c r="AE4" s="934"/>
      <c r="AF4" s="934"/>
      <c r="AG4" s="934"/>
      <c r="AH4" s="934"/>
      <c r="AI4" s="934"/>
      <c r="AJ4" s="934"/>
      <c r="AK4" s="934"/>
      <c r="AL4" s="934"/>
      <c r="AM4" s="934"/>
      <c r="BI4" s="73"/>
      <c r="BJ4" s="69"/>
      <c r="BK4" s="69"/>
      <c r="BL4" s="69"/>
      <c r="BM4" s="69"/>
      <c r="BN4" s="69"/>
      <c r="BO4" s="69"/>
      <c r="BP4" s="69"/>
      <c r="BQ4" s="69"/>
      <c r="BR4" s="69"/>
      <c r="BS4" s="69"/>
      <c r="BT4" s="69"/>
      <c r="BU4" s="69"/>
      <c r="BV4" s="69"/>
      <c r="BW4" s="69"/>
      <c r="BX4" s="69"/>
      <c r="BY4" s="69"/>
      <c r="BZ4" s="69"/>
      <c r="CA4" s="69"/>
      <c r="CB4" s="69"/>
      <c r="CC4" s="69"/>
      <c r="CD4" s="441"/>
    </row>
    <row r="5" spans="1:82" x14ac:dyDescent="0.15">
      <c r="A5" s="1170"/>
      <c r="B5" s="1170"/>
      <c r="C5" s="1170"/>
      <c r="D5" s="1170"/>
      <c r="BI5" s="73"/>
      <c r="BJ5" s="69"/>
      <c r="BK5" s="69"/>
      <c r="BL5" s="69"/>
      <c r="BM5" s="69"/>
      <c r="BN5" s="69"/>
      <c r="BO5" s="69"/>
      <c r="BP5" s="69"/>
      <c r="BQ5" s="69"/>
      <c r="BR5" s="69"/>
      <c r="BS5" s="69"/>
      <c r="BT5" s="69"/>
      <c r="BU5" s="69"/>
      <c r="BV5" s="69"/>
      <c r="BW5" s="69"/>
      <c r="BX5" s="69"/>
      <c r="BY5" s="69"/>
      <c r="BZ5" s="69"/>
      <c r="CA5" s="69"/>
      <c r="CB5" s="69"/>
      <c r="CC5" s="69"/>
      <c r="CD5" s="441"/>
    </row>
    <row r="6" spans="1:82" ht="14" x14ac:dyDescent="0.15">
      <c r="A6" s="1170"/>
      <c r="B6" s="1170"/>
      <c r="C6" s="1170"/>
      <c r="D6" s="1170"/>
      <c r="I6" s="988" t="s">
        <v>1034</v>
      </c>
      <c r="U6" s="1190" t="s">
        <v>163</v>
      </c>
      <c r="V6" s="1190"/>
      <c r="W6" s="1190"/>
      <c r="X6" s="1190"/>
      <c r="Y6" s="1190"/>
      <c r="Z6" s="1190"/>
      <c r="AA6" s="1190"/>
      <c r="AB6" s="1190"/>
      <c r="AC6" s="1190"/>
      <c r="AD6" s="1190"/>
      <c r="AE6" s="1190"/>
      <c r="AF6" s="1190"/>
      <c r="AG6" s="1190"/>
      <c r="AH6" s="1190"/>
      <c r="AI6" s="1190"/>
      <c r="AJ6" s="1190"/>
      <c r="AK6" s="1190"/>
      <c r="AL6" s="1190"/>
      <c r="AM6" s="1190"/>
      <c r="AN6" s="1190"/>
      <c r="AO6" s="1190"/>
      <c r="BI6" s="73"/>
      <c r="BJ6" s="69"/>
      <c r="BK6" s="69"/>
      <c r="BL6" s="69"/>
      <c r="BM6" s="69"/>
      <c r="BN6" s="69"/>
      <c r="BO6" s="69"/>
      <c r="BP6" s="69"/>
      <c r="BQ6" s="69"/>
      <c r="BR6" s="69"/>
      <c r="BS6" s="69"/>
      <c r="BT6" s="69"/>
      <c r="BU6" s="69"/>
      <c r="BV6" s="69"/>
      <c r="BW6" s="69"/>
      <c r="BX6" s="69"/>
      <c r="BY6" s="69"/>
      <c r="BZ6" s="69"/>
      <c r="CB6" s="69"/>
      <c r="CC6" s="69"/>
      <c r="CD6" s="441"/>
    </row>
    <row r="7" spans="1:82" x14ac:dyDescent="0.15">
      <c r="A7" s="1170"/>
      <c r="B7" s="1170"/>
      <c r="C7" s="1170"/>
      <c r="D7" s="1170"/>
      <c r="BI7" s="73"/>
      <c r="BJ7" s="69"/>
      <c r="BK7" s="69"/>
      <c r="BL7" s="69"/>
      <c r="BM7" s="255" t="s">
        <v>495</v>
      </c>
      <c r="BN7" s="69"/>
      <c r="BO7" s="69"/>
      <c r="BP7" s="285" t="s">
        <v>380</v>
      </c>
      <c r="BQ7" s="69"/>
      <c r="BR7" s="285" t="s">
        <v>380</v>
      </c>
      <c r="BS7" s="69"/>
      <c r="BT7" s="69"/>
      <c r="BU7" s="69"/>
      <c r="BV7" s="69"/>
      <c r="BW7" s="69"/>
      <c r="BX7" s="69"/>
      <c r="BY7" s="69"/>
      <c r="BZ7" s="69"/>
      <c r="CB7" s="69"/>
      <c r="CC7" s="69"/>
      <c r="CD7" s="441"/>
    </row>
    <row r="8" spans="1:82" x14ac:dyDescent="0.15">
      <c r="A8" s="1170"/>
      <c r="B8" s="1170"/>
      <c r="C8" s="1170"/>
      <c r="D8" s="1170"/>
      <c r="BI8" s="73"/>
      <c r="BJ8" s="69"/>
      <c r="BK8" s="69"/>
      <c r="BL8" s="69"/>
      <c r="BM8" s="222" t="s">
        <v>380</v>
      </c>
      <c r="BN8" s="69"/>
      <c r="BO8" s="69"/>
      <c r="BP8" s="285" t="s">
        <v>116</v>
      </c>
      <c r="BQ8" s="69"/>
      <c r="BR8" s="517" t="s">
        <v>596</v>
      </c>
      <c r="BS8" s="69"/>
      <c r="BT8" s="69"/>
      <c r="BU8" s="69"/>
      <c r="BV8" s="69"/>
      <c r="BW8" s="69"/>
      <c r="BX8" s="69"/>
      <c r="BY8" s="69"/>
      <c r="BZ8" s="69"/>
      <c r="CA8" s="69"/>
      <c r="CB8" s="69"/>
      <c r="CC8" s="69"/>
      <c r="CD8" s="441"/>
    </row>
    <row r="9" spans="1:82" ht="14" x14ac:dyDescent="0.15">
      <c r="A9" s="283"/>
      <c r="B9" s="1171" t="s">
        <v>857</v>
      </c>
      <c r="C9" s="1172"/>
      <c r="D9" s="1172"/>
      <c r="E9" s="1172"/>
      <c r="F9" s="1172"/>
      <c r="G9" s="1172"/>
      <c r="H9" s="1172"/>
      <c r="I9" s="1172"/>
      <c r="J9" s="1172"/>
      <c r="K9" s="1172"/>
      <c r="L9" s="1172"/>
      <c r="M9" s="1172"/>
      <c r="N9" s="1172"/>
      <c r="O9" s="1172"/>
      <c r="P9" s="1172"/>
      <c r="Q9" s="1172"/>
      <c r="R9" s="1172"/>
      <c r="S9" s="1172"/>
      <c r="T9" s="1172"/>
      <c r="U9" s="1172"/>
      <c r="V9" s="1172"/>
      <c r="W9" s="1172"/>
      <c r="X9" s="1172"/>
      <c r="Y9" s="1172"/>
      <c r="Z9" s="1172"/>
      <c r="AA9" s="1172"/>
      <c r="AB9" s="1172"/>
      <c r="AC9" s="1172"/>
      <c r="AD9" s="1172"/>
      <c r="AE9" s="1172"/>
      <c r="AF9" s="1172"/>
      <c r="AG9" s="1172"/>
      <c r="AH9" s="1172"/>
      <c r="AI9" s="1172"/>
      <c r="AJ9" s="1172"/>
      <c r="AK9" s="1172"/>
      <c r="AL9" s="1172"/>
      <c r="AM9" s="1172"/>
      <c r="AN9" s="1172"/>
      <c r="AO9" s="1172"/>
      <c r="AP9" s="1172"/>
      <c r="AQ9" s="1172"/>
      <c r="AR9" s="1172"/>
      <c r="AS9" s="1172"/>
      <c r="AT9" s="1172"/>
      <c r="AU9" s="1172"/>
      <c r="AV9" s="1172"/>
      <c r="AW9" s="1172"/>
      <c r="AX9" s="1172"/>
      <c r="AY9" s="1172"/>
      <c r="AZ9" s="1172"/>
      <c r="BA9" s="1172"/>
      <c r="BB9" s="1172"/>
      <c r="BC9" s="1172"/>
      <c r="BD9" s="1172"/>
      <c r="BE9" s="1172"/>
      <c r="BF9" s="1172"/>
      <c r="BG9" s="1173"/>
      <c r="BH9" s="265"/>
      <c r="BI9" s="73"/>
      <c r="BJ9" s="69"/>
      <c r="BK9" s="69"/>
      <c r="BL9" s="69"/>
      <c r="BM9" s="254" t="s">
        <v>371</v>
      </c>
      <c r="BN9" s="69"/>
      <c r="BO9" s="69"/>
      <c r="BP9" s="285" t="s">
        <v>595</v>
      </c>
      <c r="BQ9" s="69"/>
      <c r="BR9" s="517" t="s">
        <v>600</v>
      </c>
      <c r="BS9" s="69"/>
      <c r="BT9" s="69"/>
      <c r="BU9" s="69"/>
      <c r="BV9" s="69"/>
      <c r="BW9" s="69"/>
      <c r="BX9" s="69"/>
      <c r="BY9" s="69"/>
      <c r="BZ9" s="69"/>
      <c r="CA9" s="69"/>
      <c r="CB9" s="69"/>
      <c r="CC9" s="69"/>
      <c r="CD9" s="441"/>
    </row>
    <row r="10" spans="1:82" x14ac:dyDescent="0.15">
      <c r="A10" s="283"/>
      <c r="B10" s="301"/>
      <c r="C10" s="284"/>
      <c r="D10" s="284"/>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191"/>
      <c r="BH10" s="69"/>
      <c r="BI10" s="73"/>
      <c r="BJ10" s="69"/>
      <c r="BK10" s="69"/>
      <c r="BL10" s="69"/>
      <c r="BM10" s="222" t="s">
        <v>372</v>
      </c>
      <c r="BN10" s="69"/>
      <c r="BO10" s="69"/>
      <c r="BP10" s="285" t="s">
        <v>118</v>
      </c>
      <c r="BQ10" s="69"/>
      <c r="BR10" s="517" t="s">
        <v>599</v>
      </c>
      <c r="BS10" s="69"/>
      <c r="BT10" s="69"/>
      <c r="BU10" s="69"/>
      <c r="BV10" s="69"/>
      <c r="BW10" s="69"/>
      <c r="BX10" s="69"/>
      <c r="BY10" s="69"/>
      <c r="BZ10" s="69"/>
      <c r="CA10" s="69"/>
      <c r="CB10" s="69"/>
      <c r="CC10" s="69"/>
      <c r="CD10" s="441"/>
    </row>
    <row r="11" spans="1:82" ht="14" x14ac:dyDescent="0.15">
      <c r="A11" s="283"/>
      <c r="B11" s="301"/>
      <c r="C11" s="1167"/>
      <c r="D11" s="1167"/>
      <c r="E11" s="1167"/>
      <c r="F11" s="1167"/>
      <c r="G11" s="1167"/>
      <c r="H11" s="1167"/>
      <c r="I11" s="1167"/>
      <c r="J11" s="1167"/>
      <c r="K11" s="1167"/>
      <c r="L11" s="1167"/>
      <c r="M11" s="1167"/>
      <c r="N11" s="1167"/>
      <c r="O11" s="1167"/>
      <c r="P11" s="1167"/>
      <c r="Q11" s="1167"/>
      <c r="R11" s="1167"/>
      <c r="S11" s="1167"/>
      <c r="T11" s="1167"/>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c r="AT11" s="1167"/>
      <c r="AU11" s="1167"/>
      <c r="AV11" s="1167"/>
      <c r="AW11" s="1167"/>
      <c r="AX11" s="1167"/>
      <c r="AY11" s="1167"/>
      <c r="AZ11" s="1167"/>
      <c r="BA11" s="1167"/>
      <c r="BB11" s="1167"/>
      <c r="BC11" s="1167"/>
      <c r="BD11" s="1167"/>
      <c r="BE11" s="1167"/>
      <c r="BF11" s="1167"/>
      <c r="BG11" s="191"/>
      <c r="BH11" s="69"/>
      <c r="BI11" s="73"/>
      <c r="BJ11" s="69"/>
      <c r="BK11" s="69"/>
      <c r="BL11" s="69"/>
      <c r="BM11" s="282" t="s">
        <v>378</v>
      </c>
      <c r="BN11" s="69"/>
      <c r="BO11" s="69"/>
      <c r="BP11" s="285" t="str">
        <f>+IF(BP49=1,"Mid-Cap","")</f>
        <v/>
      </c>
      <c r="BQ11" s="69"/>
      <c r="BR11" s="517" t="s">
        <v>881</v>
      </c>
      <c r="BS11" s="69"/>
      <c r="BT11" s="69"/>
      <c r="BU11" s="69"/>
      <c r="BV11" s="69"/>
      <c r="BW11" s="69"/>
      <c r="BX11" s="69"/>
      <c r="BY11" s="69"/>
      <c r="BZ11" s="69"/>
      <c r="CA11" s="69"/>
      <c r="CB11" s="69"/>
      <c r="CC11" s="69"/>
      <c r="CD11" s="441"/>
    </row>
    <row r="12" spans="1:82" x14ac:dyDescent="0.15">
      <c r="A12" s="283"/>
      <c r="B12" s="301"/>
      <c r="C12" s="284"/>
      <c r="D12" s="274" t="s">
        <v>370</v>
      </c>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191"/>
      <c r="BH12" s="69"/>
      <c r="BI12" s="73"/>
      <c r="BJ12" s="69"/>
      <c r="BK12" s="69"/>
      <c r="BL12" s="69"/>
      <c r="BM12" s="285" t="s">
        <v>868</v>
      </c>
      <c r="BN12" s="69"/>
      <c r="BO12" s="69"/>
      <c r="BP12" s="517" t="str">
        <f>+IF(BP49=1,"nagyvállalat","")</f>
        <v/>
      </c>
      <c r="BQ12" s="69"/>
      <c r="BR12" s="285" t="s">
        <v>598</v>
      </c>
      <c r="BS12" s="69"/>
      <c r="BT12" s="69"/>
      <c r="BU12" s="69"/>
      <c r="BV12" s="69"/>
      <c r="BW12" s="69"/>
      <c r="BX12" s="69"/>
      <c r="BY12" s="69"/>
      <c r="BZ12" s="69"/>
      <c r="CA12" s="69"/>
      <c r="CB12" s="69"/>
      <c r="CC12" s="69"/>
      <c r="CD12" s="441"/>
    </row>
    <row r="13" spans="1:82" x14ac:dyDescent="0.15">
      <c r="A13" s="283"/>
      <c r="B13" s="301"/>
      <c r="C13" s="284"/>
      <c r="D13" s="284"/>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191"/>
      <c r="BH13" s="69"/>
      <c r="BI13" s="73"/>
      <c r="BJ13" s="69"/>
      <c r="BK13" s="69"/>
      <c r="BL13" s="69"/>
      <c r="BM13" s="254" t="s">
        <v>374</v>
      </c>
      <c r="BN13" s="69"/>
      <c r="BO13" s="69"/>
      <c r="BP13" s="517" t="str">
        <f>+IF(BP49=1,"önkormányzati v. állami tulajdon","")</f>
        <v/>
      </c>
      <c r="BQ13" s="69"/>
      <c r="BR13" s="517" t="s">
        <v>883</v>
      </c>
      <c r="BS13" s="69"/>
      <c r="BT13" s="69"/>
      <c r="BU13" s="69"/>
      <c r="BV13" s="69"/>
      <c r="BW13" s="69"/>
      <c r="BX13" s="69"/>
      <c r="BY13" s="69"/>
      <c r="BZ13" s="69"/>
      <c r="CA13" s="69"/>
      <c r="CB13" s="69"/>
      <c r="CC13" s="69"/>
      <c r="CD13" s="441"/>
    </row>
    <row r="14" spans="1:82" ht="14.25" customHeight="1" x14ac:dyDescent="0.15">
      <c r="A14" s="283"/>
      <c r="B14" s="301"/>
      <c r="C14" s="1158"/>
      <c r="D14" s="1158"/>
      <c r="E14" s="1158"/>
      <c r="F14" s="1158"/>
      <c r="G14" s="1158"/>
      <c r="H14" s="1158"/>
      <c r="I14" s="1158"/>
      <c r="J14" s="1158"/>
      <c r="K14" s="1158"/>
      <c r="L14" s="1158"/>
      <c r="M14" s="1158"/>
      <c r="N14" s="1158"/>
      <c r="O14" s="1158"/>
      <c r="P14" s="1158"/>
      <c r="Q14" s="1158"/>
      <c r="R14" s="1158"/>
      <c r="S14" s="1158"/>
      <c r="T14" s="1158"/>
      <c r="U14" s="69"/>
      <c r="V14" s="69"/>
      <c r="W14" s="69"/>
      <c r="X14" s="1187"/>
      <c r="Y14" s="1158"/>
      <c r="Z14" s="1158"/>
      <c r="AA14" s="1158"/>
      <c r="AB14" s="1158"/>
      <c r="AC14" s="1158"/>
      <c r="AD14" s="1158"/>
      <c r="AE14" s="1158"/>
      <c r="AF14" s="1158"/>
      <c r="AG14" s="1158"/>
      <c r="AH14" s="1158"/>
      <c r="AI14" s="1158"/>
      <c r="AJ14" s="1158"/>
      <c r="AK14" s="1158"/>
      <c r="AL14" s="1158"/>
      <c r="AM14" s="1158"/>
      <c r="AN14" s="1158"/>
      <c r="AO14" s="284"/>
      <c r="AP14" s="284"/>
      <c r="AQ14" s="69"/>
      <c r="AR14" s="1187"/>
      <c r="AS14" s="1158"/>
      <c r="AT14" s="1158"/>
      <c r="AU14" s="1158"/>
      <c r="AV14" s="1158"/>
      <c r="AW14" s="1158"/>
      <c r="AX14" s="1158"/>
      <c r="AY14" s="1158"/>
      <c r="AZ14" s="1158"/>
      <c r="BA14" s="1158"/>
      <c r="BB14" s="1158"/>
      <c r="BC14" s="1158"/>
      <c r="BD14" s="1158"/>
      <c r="BE14" s="69"/>
      <c r="BF14" s="69"/>
      <c r="BG14" s="191"/>
      <c r="BH14" s="69"/>
      <c r="BI14" s="73"/>
      <c r="BJ14" s="69"/>
      <c r="BK14" s="69"/>
      <c r="BL14" s="69"/>
      <c r="BM14" s="254" t="s">
        <v>398</v>
      </c>
      <c r="BN14" s="69"/>
      <c r="BO14" s="69"/>
      <c r="BQ14" s="69"/>
      <c r="BR14" s="285" t="s">
        <v>1001</v>
      </c>
      <c r="BS14" s="69"/>
      <c r="BT14" s="69"/>
      <c r="BU14" s="69"/>
      <c r="BV14" s="69"/>
      <c r="BW14" s="69"/>
      <c r="BX14" s="69"/>
      <c r="BY14" s="69"/>
      <c r="BZ14" s="69"/>
      <c r="CA14" s="69"/>
      <c r="CB14" s="69"/>
      <c r="CC14" s="69"/>
      <c r="CD14" s="441"/>
    </row>
    <row r="15" spans="1:82" x14ac:dyDescent="0.15">
      <c r="A15" s="283"/>
      <c r="B15" s="301"/>
      <c r="C15" s="284" t="s">
        <v>581</v>
      </c>
      <c r="D15" s="284"/>
      <c r="E15" s="69"/>
      <c r="F15" s="69"/>
      <c r="G15" s="69"/>
      <c r="H15" s="69"/>
      <c r="I15" s="69"/>
      <c r="J15" s="69"/>
      <c r="K15" s="69"/>
      <c r="L15" s="69"/>
      <c r="M15" s="69"/>
      <c r="N15" s="69"/>
      <c r="O15" s="69"/>
      <c r="P15" s="69"/>
      <c r="Q15" s="69"/>
      <c r="R15" s="69"/>
      <c r="S15" s="69"/>
      <c r="T15" s="69"/>
      <c r="U15" s="69"/>
      <c r="V15" s="69"/>
      <c r="W15" s="69"/>
      <c r="X15" s="69" t="s">
        <v>582</v>
      </c>
      <c r="Y15" s="69"/>
      <c r="Z15" s="69"/>
      <c r="AA15" s="69"/>
      <c r="AB15" s="69"/>
      <c r="AC15" s="69"/>
      <c r="AD15" s="69"/>
      <c r="AE15" s="69"/>
      <c r="AF15" s="69"/>
      <c r="AG15" s="69"/>
      <c r="AH15" s="69"/>
      <c r="AI15" s="69"/>
      <c r="AJ15" s="69"/>
      <c r="AK15" s="69"/>
      <c r="AL15" s="69"/>
      <c r="AM15" s="69"/>
      <c r="AN15" s="69"/>
      <c r="AO15" s="69"/>
      <c r="AP15" s="69"/>
      <c r="AQ15" s="69"/>
      <c r="AR15" s="69" t="s">
        <v>583</v>
      </c>
      <c r="AS15" s="69"/>
      <c r="AT15" s="69"/>
      <c r="AU15" s="69"/>
      <c r="AV15" s="69"/>
      <c r="AW15" s="69"/>
      <c r="AX15" s="69"/>
      <c r="AY15" s="69"/>
      <c r="AZ15" s="69"/>
      <c r="BA15" s="69"/>
      <c r="BB15" s="69"/>
      <c r="BC15" s="69"/>
      <c r="BD15" s="69"/>
      <c r="BE15" s="69"/>
      <c r="BF15" s="69"/>
      <c r="BG15" s="191"/>
      <c r="BH15" s="69"/>
      <c r="BI15" s="73"/>
      <c r="BJ15" s="69"/>
      <c r="BK15" s="69"/>
      <c r="BL15" s="69"/>
      <c r="BM15" s="254" t="s">
        <v>375</v>
      </c>
      <c r="BN15" s="69"/>
      <c r="BO15" s="69"/>
      <c r="BQ15" s="69"/>
      <c r="BR15" s="517" t="s">
        <v>882</v>
      </c>
      <c r="BS15" s="69"/>
      <c r="BT15" s="69"/>
      <c r="BU15" s="69"/>
      <c r="BV15" s="69"/>
      <c r="BW15" s="69"/>
      <c r="BX15" s="69"/>
      <c r="BY15" s="69"/>
      <c r="BZ15" s="69"/>
      <c r="CA15" s="69"/>
      <c r="CB15" s="69"/>
      <c r="CC15" s="69"/>
      <c r="CD15" s="441"/>
    </row>
    <row r="16" spans="1:82" x14ac:dyDescent="0.15">
      <c r="A16" s="283"/>
      <c r="B16" s="301"/>
      <c r="C16" s="284"/>
      <c r="D16" s="284"/>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191"/>
      <c r="BH16" s="69"/>
      <c r="BI16" s="73"/>
      <c r="BJ16" s="69"/>
      <c r="BK16" s="69"/>
      <c r="BL16" s="69"/>
      <c r="BM16" s="254" t="s">
        <v>373</v>
      </c>
      <c r="BN16" s="69"/>
      <c r="BO16" s="69"/>
      <c r="BQ16" s="69"/>
      <c r="BR16" s="69"/>
      <c r="BS16" s="69"/>
      <c r="BT16" s="69"/>
      <c r="BU16" s="69"/>
      <c r="BV16" s="69"/>
      <c r="BW16" s="69"/>
      <c r="BX16" s="69"/>
      <c r="BY16" s="69"/>
      <c r="BZ16" s="69"/>
      <c r="CA16" s="69"/>
      <c r="CB16" s="69"/>
      <c r="CC16" s="69"/>
      <c r="CD16" s="441"/>
    </row>
    <row r="17" spans="1:82" ht="14" x14ac:dyDescent="0.15">
      <c r="A17" s="283"/>
      <c r="B17" s="301"/>
      <c r="C17" s="284"/>
      <c r="D17" s="284"/>
      <c r="E17" s="69"/>
      <c r="F17" s="69"/>
      <c r="G17" s="69"/>
      <c r="H17" s="69"/>
      <c r="I17" s="69"/>
      <c r="J17" s="69"/>
      <c r="K17" s="69"/>
      <c r="L17" s="69"/>
      <c r="M17" s="69"/>
      <c r="N17" s="69"/>
      <c r="O17" s="69"/>
      <c r="P17" s="1158"/>
      <c r="Q17" s="1158"/>
      <c r="R17" s="1158"/>
      <c r="S17" s="1158"/>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191"/>
      <c r="BH17" s="69"/>
      <c r="BI17" s="73"/>
      <c r="BJ17" s="69"/>
      <c r="BK17" s="69"/>
      <c r="BL17" s="69"/>
      <c r="BM17" s="254" t="s">
        <v>376</v>
      </c>
      <c r="BN17" s="69"/>
      <c r="BO17" s="69"/>
      <c r="BQ17" s="69"/>
      <c r="BR17" s="69"/>
      <c r="BS17" s="69"/>
      <c r="BT17" s="69"/>
      <c r="BU17" s="69"/>
      <c r="BV17" s="69"/>
      <c r="BW17" s="69"/>
      <c r="BX17" s="69"/>
      <c r="BY17" s="69"/>
      <c r="BZ17" s="69"/>
      <c r="CA17" s="69"/>
      <c r="CB17" s="69"/>
      <c r="CC17" s="69"/>
      <c r="CD17" s="441"/>
    </row>
    <row r="18" spans="1:82" ht="14" x14ac:dyDescent="0.15">
      <c r="A18" s="283"/>
      <c r="B18" s="301"/>
      <c r="C18" s="284"/>
      <c r="D18" s="1188" t="s">
        <v>584</v>
      </c>
      <c r="E18" s="1188"/>
      <c r="F18" s="1188"/>
      <c r="G18" s="1188"/>
      <c r="H18" s="1188"/>
      <c r="I18" s="1188"/>
      <c r="J18" s="1188"/>
      <c r="K18" s="1188"/>
      <c r="L18" s="1188"/>
      <c r="M18" s="1188"/>
      <c r="N18" s="1188"/>
      <c r="O18" s="276"/>
      <c r="P18" s="276" t="s">
        <v>297</v>
      </c>
      <c r="Q18" s="276"/>
      <c r="R18" s="276"/>
      <c r="S18" s="274"/>
      <c r="T18" s="276"/>
      <c r="U18" s="276"/>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550"/>
      <c r="BD18" s="274"/>
      <c r="BE18" s="274"/>
      <c r="BF18" s="274"/>
      <c r="BG18" s="191"/>
      <c r="BH18" s="69"/>
      <c r="BI18" s="73"/>
      <c r="BJ18" s="69"/>
      <c r="BK18" s="69"/>
      <c r="BL18" s="69"/>
      <c r="BM18" s="254" t="s">
        <v>379</v>
      </c>
      <c r="BN18" s="69"/>
      <c r="BO18" s="69"/>
      <c r="BQ18" s="69"/>
      <c r="BR18" s="69"/>
      <c r="BS18" s="69"/>
      <c r="BT18" s="69"/>
      <c r="BU18" s="69"/>
      <c r="BV18" s="69"/>
      <c r="BW18" s="69"/>
      <c r="BX18" s="69"/>
      <c r="BY18" s="69"/>
      <c r="BZ18" s="69"/>
      <c r="CA18" s="69"/>
      <c r="CB18" s="69"/>
      <c r="CC18" s="69"/>
      <c r="CD18" s="441"/>
    </row>
    <row r="19" spans="1:82" ht="14" x14ac:dyDescent="0.15">
      <c r="A19" s="283"/>
      <c r="B19" s="301"/>
      <c r="C19" s="284"/>
      <c r="D19" s="1188"/>
      <c r="E19" s="1188"/>
      <c r="F19" s="1188"/>
      <c r="G19" s="1188"/>
      <c r="H19" s="1188"/>
      <c r="I19" s="1188"/>
      <c r="J19" s="1188"/>
      <c r="K19" s="1188"/>
      <c r="L19" s="1188"/>
      <c r="M19" s="1188"/>
      <c r="N19" s="1188"/>
      <c r="O19" s="291"/>
      <c r="P19" s="1168"/>
      <c r="Q19" s="1168"/>
      <c r="R19" s="1168"/>
      <c r="S19" s="1168"/>
      <c r="T19" s="274"/>
      <c r="U19" s="1168"/>
      <c r="V19" s="1168"/>
      <c r="W19" s="1168"/>
      <c r="X19" s="1168"/>
      <c r="Y19" s="1168"/>
      <c r="Z19" s="1168"/>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274"/>
      <c r="BA19" s="1168"/>
      <c r="BB19" s="1168"/>
      <c r="BC19" s="1168"/>
      <c r="BD19" s="1168"/>
      <c r="BE19" s="1168"/>
      <c r="BF19" s="1168"/>
      <c r="BG19" s="191"/>
      <c r="BH19" s="69"/>
      <c r="BI19" s="73"/>
      <c r="BJ19" s="69"/>
      <c r="BK19" s="69"/>
      <c r="BL19" s="69"/>
      <c r="BM19" s="282" t="s">
        <v>377</v>
      </c>
      <c r="BN19" s="69"/>
      <c r="BO19" s="69"/>
      <c r="BQ19" s="69"/>
      <c r="BR19" s="69"/>
      <c r="BS19" s="69"/>
      <c r="BT19" s="69"/>
      <c r="BU19" s="69"/>
      <c r="BV19" s="69"/>
      <c r="BW19" s="69"/>
      <c r="BX19" s="69"/>
      <c r="BY19" s="69"/>
      <c r="BZ19" s="69"/>
      <c r="CA19" s="69"/>
      <c r="CB19" s="69"/>
      <c r="CC19" s="69"/>
      <c r="CD19" s="441"/>
    </row>
    <row r="20" spans="1:82" x14ac:dyDescent="0.15">
      <c r="A20" s="283"/>
      <c r="B20" s="301"/>
      <c r="C20" s="284"/>
      <c r="D20" s="1188"/>
      <c r="E20" s="1188"/>
      <c r="F20" s="1188"/>
      <c r="G20" s="1188"/>
      <c r="H20" s="1188"/>
      <c r="I20" s="1188"/>
      <c r="J20" s="1188"/>
      <c r="K20" s="1188"/>
      <c r="L20" s="1188"/>
      <c r="M20" s="1188"/>
      <c r="N20" s="1188"/>
      <c r="O20" s="274"/>
      <c r="P20" s="274" t="s">
        <v>146</v>
      </c>
      <c r="Q20" s="274"/>
      <c r="R20" s="274"/>
      <c r="S20" s="274"/>
      <c r="T20" s="274"/>
      <c r="U20" s="274" t="s">
        <v>147</v>
      </c>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t="s">
        <v>148</v>
      </c>
      <c r="BB20" s="274"/>
      <c r="BC20" s="274"/>
      <c r="BD20" s="274"/>
      <c r="BE20" s="274"/>
      <c r="BF20" s="274"/>
      <c r="BG20" s="191"/>
      <c r="BH20" s="69"/>
      <c r="BI20" s="73"/>
      <c r="BJ20" s="69"/>
      <c r="BK20" s="69"/>
      <c r="BL20" s="69"/>
      <c r="BM20" s="285" t="s">
        <v>869</v>
      </c>
      <c r="BN20" s="69"/>
      <c r="BO20" s="69"/>
      <c r="BQ20" s="69"/>
      <c r="BR20" s="69"/>
      <c r="BS20" s="69"/>
      <c r="BT20" s="69"/>
      <c r="BU20" s="69"/>
      <c r="BV20" s="69"/>
      <c r="BW20" s="69"/>
      <c r="BX20" s="69"/>
      <c r="BY20" s="69"/>
      <c r="BZ20" s="69"/>
      <c r="CA20" s="69"/>
      <c r="CB20" s="69"/>
      <c r="CC20" s="69"/>
      <c r="CD20" s="441"/>
    </row>
    <row r="21" spans="1:82" x14ac:dyDescent="0.15">
      <c r="A21" s="283"/>
      <c r="B21" s="301"/>
      <c r="C21" s="284"/>
      <c r="D21" s="228"/>
      <c r="E21" s="228"/>
      <c r="F21" s="228"/>
      <c r="G21" s="228"/>
      <c r="H21" s="228"/>
      <c r="I21" s="228"/>
      <c r="J21" s="228"/>
      <c r="K21" s="228"/>
      <c r="L21" s="228"/>
      <c r="M21" s="228"/>
      <c r="N21" s="228"/>
      <c r="O21" s="226"/>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191"/>
      <c r="BH21" s="69"/>
      <c r="BI21" s="73"/>
      <c r="BJ21" s="69"/>
      <c r="BK21" s="69"/>
      <c r="BL21" s="69"/>
      <c r="BM21" s="285" t="s">
        <v>531</v>
      </c>
      <c r="BN21" s="69"/>
      <c r="BO21" s="69"/>
      <c r="BP21" s="69"/>
      <c r="BQ21" s="69"/>
      <c r="BR21" s="69"/>
      <c r="BS21" s="69"/>
      <c r="BT21" s="69"/>
      <c r="BU21" s="69"/>
      <c r="BV21" s="69"/>
      <c r="BW21" s="69"/>
      <c r="BX21" s="69"/>
      <c r="BY21" s="69"/>
      <c r="BZ21" s="69"/>
      <c r="CA21" s="69"/>
      <c r="CB21" s="69"/>
      <c r="CC21" s="69"/>
      <c r="CD21" s="441"/>
    </row>
    <row r="22" spans="1:82" ht="15" customHeight="1" x14ac:dyDescent="0.15">
      <c r="A22" s="283"/>
      <c r="B22" s="301"/>
      <c r="C22" s="284"/>
      <c r="D22" s="1168"/>
      <c r="E22" s="1168"/>
      <c r="F22" s="1168"/>
      <c r="G22" s="1168"/>
      <c r="H22" s="1168"/>
      <c r="I22" s="1168"/>
      <c r="J22" s="1168"/>
      <c r="K22" s="1168"/>
      <c r="L22" s="1168"/>
      <c r="M22" s="1168"/>
      <c r="N22" s="1168"/>
      <c r="O22" s="1168"/>
      <c r="P22" s="1168"/>
      <c r="Q22" s="1168"/>
      <c r="R22" s="1168"/>
      <c r="S22" s="1168"/>
      <c r="T22" s="1168"/>
      <c r="U22" s="1168"/>
      <c r="V22" s="1168"/>
      <c r="W22" s="1168"/>
      <c r="X22" s="1168"/>
      <c r="Y22" s="1168"/>
      <c r="Z22" s="1168"/>
      <c r="AA22" s="1168"/>
      <c r="AB22" s="1168"/>
      <c r="AC22" s="1168"/>
      <c r="AD22" s="292"/>
      <c r="AE22" s="277"/>
      <c r="AF22" s="1167" t="s">
        <v>380</v>
      </c>
      <c r="AG22" s="1167"/>
      <c r="AH22" s="1167"/>
      <c r="AI22" s="1167"/>
      <c r="AJ22" s="1167"/>
      <c r="AK22" s="1167"/>
      <c r="AL22" s="1167"/>
      <c r="AM22" s="1167"/>
      <c r="AN22" s="1167"/>
      <c r="AO22" s="1167"/>
      <c r="AP22" s="1167"/>
      <c r="AQ22" s="292"/>
      <c r="AR22" s="291"/>
      <c r="AS22" s="1169"/>
      <c r="AT22" s="1169"/>
      <c r="AU22" s="1169"/>
      <c r="AV22" s="1169"/>
      <c r="AW22" s="1169"/>
      <c r="AX22" s="1169"/>
      <c r="AY22" s="1169"/>
      <c r="AZ22" s="1169"/>
      <c r="BA22" s="1169"/>
      <c r="BB22" s="1169"/>
      <c r="BC22" s="1169"/>
      <c r="BD22" s="1169"/>
      <c r="BE22" s="1169"/>
      <c r="BF22" s="1169"/>
      <c r="BG22" s="191"/>
      <c r="BH22" s="69"/>
      <c r="BI22" s="73"/>
      <c r="BJ22" s="69"/>
      <c r="BK22" s="69"/>
      <c r="BL22" s="69"/>
      <c r="BM22" s="285" t="s">
        <v>1142</v>
      </c>
      <c r="BN22" s="69"/>
      <c r="BO22" s="69"/>
      <c r="BP22" s="69"/>
      <c r="BQ22" s="69"/>
      <c r="BR22" s="69"/>
      <c r="BS22" s="69"/>
      <c r="BT22" s="69"/>
      <c r="BU22" s="69"/>
      <c r="BV22" s="69"/>
      <c r="BW22" s="69"/>
      <c r="BX22" s="69"/>
      <c r="BY22" s="69"/>
      <c r="BZ22" s="69"/>
      <c r="CA22" s="69"/>
      <c r="CB22" s="69"/>
      <c r="CC22" s="69"/>
      <c r="CD22" s="441"/>
    </row>
    <row r="23" spans="1:82" x14ac:dyDescent="0.15">
      <c r="A23" s="283"/>
      <c r="B23" s="301"/>
      <c r="C23" s="284"/>
      <c r="D23" s="274" t="s">
        <v>149</v>
      </c>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t="s">
        <v>150</v>
      </c>
      <c r="AG23" s="274"/>
      <c r="AH23" s="274"/>
      <c r="AI23" s="274"/>
      <c r="AJ23" s="277"/>
      <c r="AK23" s="274"/>
      <c r="AL23" s="274"/>
      <c r="AM23" s="274"/>
      <c r="AN23" s="274"/>
      <c r="AO23" s="274"/>
      <c r="AP23" s="274"/>
      <c r="AQ23" s="277"/>
      <c r="AR23" s="274"/>
      <c r="AS23" s="274"/>
      <c r="AT23" s="274"/>
      <c r="AU23" s="274"/>
      <c r="AV23" s="274"/>
      <c r="AW23" s="274"/>
      <c r="AX23" s="276" t="s">
        <v>151</v>
      </c>
      <c r="AY23" s="276"/>
      <c r="AZ23" s="276"/>
      <c r="BA23" s="276"/>
      <c r="BB23" s="276"/>
      <c r="BC23" s="276"/>
      <c r="BD23" s="276"/>
      <c r="BE23" s="276"/>
      <c r="BF23" s="276"/>
      <c r="BG23" s="191"/>
      <c r="BH23" s="69"/>
      <c r="BI23" s="73"/>
      <c r="BJ23" s="69"/>
      <c r="BK23" s="69"/>
      <c r="BL23" s="69"/>
      <c r="BM23" s="69"/>
      <c r="BN23" s="69"/>
      <c r="BO23" s="69"/>
      <c r="BP23" s="69"/>
      <c r="BQ23" s="69"/>
      <c r="BR23" s="69"/>
      <c r="BS23" s="69"/>
      <c r="BT23" s="69"/>
      <c r="BU23" s="69"/>
      <c r="BV23" s="69"/>
      <c r="BW23" s="69"/>
      <c r="BX23" s="69"/>
      <c r="BY23" s="69"/>
      <c r="BZ23" s="69"/>
      <c r="CA23" s="69"/>
      <c r="CB23" s="69"/>
      <c r="CC23" s="69"/>
      <c r="CD23" s="441"/>
    </row>
    <row r="24" spans="1:82" x14ac:dyDescent="0.15">
      <c r="A24" s="283"/>
      <c r="B24" s="301"/>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191"/>
      <c r="BH24" s="69"/>
      <c r="BI24" s="73"/>
      <c r="BJ24" s="69"/>
      <c r="BK24" s="69"/>
      <c r="BL24" s="69"/>
      <c r="BM24" s="69"/>
      <c r="BN24" s="69"/>
      <c r="BO24" s="69"/>
      <c r="BP24" s="69"/>
      <c r="BQ24" s="69"/>
      <c r="BR24" s="69"/>
      <c r="BS24" s="69"/>
      <c r="BT24" s="69"/>
      <c r="BU24" s="69"/>
      <c r="BV24" s="69"/>
      <c r="BW24" s="69"/>
      <c r="BX24" s="69"/>
      <c r="BY24" s="69"/>
      <c r="BZ24" s="69"/>
      <c r="CA24" s="69"/>
      <c r="CB24" s="69"/>
      <c r="CC24" s="69"/>
      <c r="CD24" s="441"/>
    </row>
    <row r="25" spans="1:82" ht="14" x14ac:dyDescent="0.15">
      <c r="A25" s="283"/>
      <c r="B25" s="301"/>
      <c r="C25" s="1158"/>
      <c r="D25" s="1158"/>
      <c r="E25" s="1158"/>
      <c r="F25" s="1158"/>
      <c r="G25" s="1158"/>
      <c r="H25" s="1158"/>
      <c r="I25" s="1158"/>
      <c r="J25" s="1158"/>
      <c r="K25" s="1158"/>
      <c r="L25" s="1158"/>
      <c r="M25" s="1158"/>
      <c r="N25" s="1158"/>
      <c r="O25" s="1158"/>
      <c r="P25" s="1158"/>
      <c r="Q25" s="1158"/>
      <c r="R25" s="1158"/>
      <c r="S25" s="1158"/>
      <c r="T25" s="1158"/>
      <c r="U25" s="69"/>
      <c r="V25" s="69"/>
      <c r="W25" s="69"/>
      <c r="X25" s="1158"/>
      <c r="Y25" s="1158"/>
      <c r="Z25" s="1158"/>
      <c r="AA25" s="1158"/>
      <c r="AB25" s="1158"/>
      <c r="AC25" s="1158"/>
      <c r="AD25" s="1158"/>
      <c r="AE25" s="1158"/>
      <c r="AF25" s="1158"/>
      <c r="AG25" s="1158"/>
      <c r="AH25" s="1158"/>
      <c r="AI25" s="1158"/>
      <c r="AJ25" s="1158"/>
      <c r="AK25" s="1158"/>
      <c r="AL25" s="1158"/>
      <c r="AM25" s="69"/>
      <c r="AN25" s="69"/>
      <c r="AO25" s="1158"/>
      <c r="AP25" s="1158"/>
      <c r="AQ25" s="1158"/>
      <c r="AR25" s="1158"/>
      <c r="AS25" s="1158"/>
      <c r="AT25" s="1158"/>
      <c r="AU25" s="1158"/>
      <c r="AV25" s="1158"/>
      <c r="AW25" s="1158"/>
      <c r="AX25" s="1158"/>
      <c r="AY25" s="1158"/>
      <c r="AZ25" s="1158"/>
      <c r="BA25" s="1158"/>
      <c r="BB25" s="1158"/>
      <c r="BC25" s="1158"/>
      <c r="BD25" s="1158"/>
      <c r="BE25" s="1158"/>
      <c r="BF25" s="1158"/>
      <c r="BG25" s="191"/>
      <c r="BH25" s="69"/>
      <c r="BI25" s="73"/>
      <c r="BJ25" s="69"/>
      <c r="BK25" s="69"/>
      <c r="BL25" s="69"/>
      <c r="BM25" s="69"/>
      <c r="BN25" s="69"/>
      <c r="BO25" s="69"/>
      <c r="BP25" s="69"/>
      <c r="BQ25" s="69"/>
      <c r="BR25" s="69"/>
      <c r="BS25" s="69"/>
      <c r="BT25" s="69"/>
      <c r="BU25" s="69"/>
      <c r="BV25" s="69"/>
      <c r="BW25" s="69"/>
      <c r="BX25" s="69"/>
      <c r="BY25" s="69"/>
      <c r="BZ25" s="69"/>
      <c r="CA25" s="69"/>
      <c r="CB25" s="69"/>
      <c r="CC25" s="69"/>
      <c r="CD25" s="441"/>
    </row>
    <row r="26" spans="1:82" x14ac:dyDescent="0.15">
      <c r="A26" s="283"/>
      <c r="B26" s="301"/>
      <c r="C26" s="69" t="s">
        <v>590</v>
      </c>
      <c r="D26" s="69"/>
      <c r="E26" s="69"/>
      <c r="F26" s="69"/>
      <c r="G26" s="69"/>
      <c r="H26" s="69"/>
      <c r="I26" s="69"/>
      <c r="J26" s="69"/>
      <c r="K26" s="69"/>
      <c r="L26" s="69"/>
      <c r="M26" s="69"/>
      <c r="N26" s="69"/>
      <c r="O26" s="69"/>
      <c r="P26" s="69"/>
      <c r="Q26" s="69"/>
      <c r="R26" s="69"/>
      <c r="S26" s="69"/>
      <c r="T26" s="69"/>
      <c r="U26" s="69"/>
      <c r="V26" s="69"/>
      <c r="W26" s="69"/>
      <c r="X26" s="69" t="s">
        <v>591</v>
      </c>
      <c r="Y26" s="69"/>
      <c r="Z26" s="69"/>
      <c r="AA26" s="69"/>
      <c r="AB26" s="69"/>
      <c r="AC26" s="69"/>
      <c r="AD26" s="69"/>
      <c r="AE26" s="69"/>
      <c r="AF26" s="69"/>
      <c r="AG26" s="69"/>
      <c r="AH26" s="69"/>
      <c r="AI26" s="69"/>
      <c r="AJ26" s="69"/>
      <c r="AK26" s="69"/>
      <c r="AL26" s="69"/>
      <c r="AM26" s="69"/>
      <c r="AN26" s="69"/>
      <c r="AO26" s="69" t="s">
        <v>592</v>
      </c>
      <c r="AP26" s="69"/>
      <c r="AQ26" s="69"/>
      <c r="AR26" s="69"/>
      <c r="AS26" s="69"/>
      <c r="AT26" s="69"/>
      <c r="AU26" s="69"/>
      <c r="AV26" s="69"/>
      <c r="AW26" s="69"/>
      <c r="AX26" s="69"/>
      <c r="AY26" s="69"/>
      <c r="AZ26" s="69"/>
      <c r="BA26" s="69"/>
      <c r="BB26" s="69"/>
      <c r="BC26" s="69"/>
      <c r="BD26" s="69"/>
      <c r="BE26" s="69"/>
      <c r="BF26" s="69"/>
      <c r="BG26" s="191"/>
      <c r="BH26" s="69"/>
      <c r="BI26" s="73"/>
      <c r="BJ26" s="69"/>
      <c r="BK26" s="69"/>
      <c r="BL26" s="69"/>
      <c r="BM26" s="69"/>
      <c r="BN26" s="69"/>
      <c r="BO26" s="69"/>
      <c r="BP26" s="69"/>
      <c r="BQ26" s="69"/>
      <c r="BR26" s="69"/>
      <c r="BS26" s="69"/>
      <c r="BT26" s="69"/>
      <c r="BU26" s="69"/>
      <c r="BV26" s="69"/>
      <c r="BW26" s="69"/>
      <c r="BX26" s="69"/>
      <c r="BY26" s="69"/>
      <c r="BZ26" s="69"/>
      <c r="CA26" s="69"/>
      <c r="CB26" s="69"/>
      <c r="CC26" s="69"/>
      <c r="CD26" s="441"/>
    </row>
    <row r="27" spans="1:82" x14ac:dyDescent="0.15">
      <c r="A27" s="283"/>
      <c r="B27" s="301"/>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191"/>
      <c r="BH27" s="69"/>
      <c r="BI27" s="73"/>
      <c r="BJ27" s="69"/>
      <c r="BK27" s="69"/>
      <c r="BL27" s="69"/>
      <c r="BM27" s="69"/>
      <c r="BN27" s="69"/>
      <c r="BO27" s="69"/>
      <c r="BP27" s="69"/>
      <c r="BQ27" s="69"/>
      <c r="BR27" s="69"/>
      <c r="BS27" s="69"/>
      <c r="BT27" s="69"/>
      <c r="BU27" s="69"/>
      <c r="BV27" s="69"/>
      <c r="BW27" s="69"/>
      <c r="BX27" s="69"/>
      <c r="BY27" s="69"/>
      <c r="BZ27" s="69"/>
      <c r="CA27" s="69"/>
      <c r="CB27" s="69"/>
      <c r="CC27" s="69"/>
      <c r="CD27" s="441"/>
    </row>
    <row r="28" spans="1:82" ht="14" x14ac:dyDescent="0.15">
      <c r="A28" s="283"/>
      <c r="B28" s="301"/>
      <c r="C28" s="1175" t="s">
        <v>380</v>
      </c>
      <c r="D28" s="1175"/>
      <c r="E28" s="1175"/>
      <c r="F28" s="1175"/>
      <c r="G28" s="1175"/>
      <c r="H28" s="1175"/>
      <c r="I28" s="1175"/>
      <c r="J28" s="1175"/>
      <c r="K28" s="1175"/>
      <c r="L28" s="1175"/>
      <c r="M28" s="1175"/>
      <c r="N28" s="1175"/>
      <c r="O28" s="1175"/>
      <c r="P28" s="1175"/>
      <c r="Q28" s="1175"/>
      <c r="R28" s="1175"/>
      <c r="S28" s="1175"/>
      <c r="T28" s="1175"/>
      <c r="U28" s="69"/>
      <c r="V28" s="69"/>
      <c r="W28" s="69"/>
      <c r="X28" s="1175" t="s">
        <v>380</v>
      </c>
      <c r="Y28" s="1175"/>
      <c r="Z28" s="1175"/>
      <c r="AA28" s="1175"/>
      <c r="AB28" s="1175"/>
      <c r="AC28" s="1175"/>
      <c r="AD28" s="1175"/>
      <c r="AE28" s="1175"/>
      <c r="AF28" s="1175"/>
      <c r="AG28" s="1175"/>
      <c r="AH28" s="1175"/>
      <c r="AI28" s="1175"/>
      <c r="AJ28" s="1175"/>
      <c r="AK28" s="1175"/>
      <c r="AL28" s="1175"/>
      <c r="AM28" s="69"/>
      <c r="AN28" s="69"/>
      <c r="AO28" s="1166"/>
      <c r="AP28" s="1166"/>
      <c r="AQ28" s="1166"/>
      <c r="AR28" s="1166"/>
      <c r="AS28" s="1166"/>
      <c r="AT28" s="1166"/>
      <c r="AU28" s="1166"/>
      <c r="AV28" s="1166"/>
      <c r="AW28" s="1166"/>
      <c r="AX28" s="1166"/>
      <c r="AY28" s="1166"/>
      <c r="AZ28" s="1166"/>
      <c r="BA28" s="1166"/>
      <c r="BB28" s="1166"/>
      <c r="BC28" s="1166"/>
      <c r="BD28" s="1166"/>
      <c r="BE28" s="1166"/>
      <c r="BF28" s="1166"/>
      <c r="BG28" s="191"/>
      <c r="BH28" s="69"/>
      <c r="BI28" s="73"/>
      <c r="BJ28" s="69"/>
      <c r="BK28" s="69"/>
      <c r="BL28" s="69"/>
      <c r="BM28" s="69"/>
      <c r="BN28" s="69"/>
      <c r="BO28" s="69"/>
      <c r="BP28" s="69"/>
      <c r="BQ28" s="69"/>
      <c r="BR28" s="69"/>
      <c r="BS28" s="69"/>
      <c r="BT28" s="69"/>
      <c r="BU28" s="69"/>
      <c r="BV28" s="69"/>
      <c r="BW28" s="69"/>
      <c r="BX28" s="69"/>
      <c r="BY28" s="69"/>
      <c r="BZ28" s="69"/>
      <c r="CA28" s="69"/>
      <c r="CB28" s="69"/>
      <c r="CC28" s="69"/>
      <c r="CD28" s="441"/>
    </row>
    <row r="29" spans="1:82" x14ac:dyDescent="0.15">
      <c r="A29" s="283"/>
      <c r="B29" s="301"/>
      <c r="C29" s="69" t="s">
        <v>1060</v>
      </c>
      <c r="D29" s="69"/>
      <c r="E29" s="69"/>
      <c r="F29" s="69"/>
      <c r="G29" s="69"/>
      <c r="H29" s="69"/>
      <c r="I29" s="69"/>
      <c r="J29" s="69"/>
      <c r="K29" s="69"/>
      <c r="L29" s="69"/>
      <c r="M29" s="69"/>
      <c r="N29" s="69"/>
      <c r="O29" s="69"/>
      <c r="P29" s="69"/>
      <c r="Q29" s="69"/>
      <c r="R29" s="69"/>
      <c r="S29" s="69"/>
      <c r="T29" s="69"/>
      <c r="U29" s="69"/>
      <c r="V29" s="69"/>
      <c r="W29" s="69"/>
      <c r="X29" s="69" t="s">
        <v>594</v>
      </c>
      <c r="Y29" s="69"/>
      <c r="Z29" s="69"/>
      <c r="AA29" s="69"/>
      <c r="AB29" s="69"/>
      <c r="AC29" s="69"/>
      <c r="AD29" s="69"/>
      <c r="AE29" s="69"/>
      <c r="AF29" s="69"/>
      <c r="AG29" s="69"/>
      <c r="AH29" s="69"/>
      <c r="AI29" s="69"/>
      <c r="AJ29" s="69"/>
      <c r="AK29" s="69"/>
      <c r="AL29" s="69"/>
      <c r="AM29" s="69"/>
      <c r="AN29" s="69"/>
      <c r="AO29" s="69" t="s">
        <v>1009</v>
      </c>
      <c r="AP29" s="69"/>
      <c r="AQ29" s="69"/>
      <c r="AR29" s="69"/>
      <c r="AS29" s="69"/>
      <c r="AT29" s="69"/>
      <c r="AU29" s="69"/>
      <c r="AV29" s="69"/>
      <c r="AW29" s="69"/>
      <c r="AX29" s="69"/>
      <c r="AY29" s="69"/>
      <c r="AZ29" s="69"/>
      <c r="BA29" s="69"/>
      <c r="BB29" s="69"/>
      <c r="BC29" s="69"/>
      <c r="BD29" s="69"/>
      <c r="BE29" s="69"/>
      <c r="BF29" s="69"/>
      <c r="BG29" s="191"/>
      <c r="BH29" s="69"/>
      <c r="BI29" s="73"/>
      <c r="BJ29" s="69"/>
      <c r="BK29" s="69"/>
      <c r="BL29" s="69"/>
      <c r="BM29" s="69"/>
      <c r="BN29" s="69"/>
      <c r="BO29" s="69"/>
      <c r="BP29" s="69"/>
      <c r="BQ29" s="69"/>
      <c r="BR29" s="69"/>
      <c r="BS29" s="69"/>
      <c r="BT29" s="69"/>
      <c r="BU29" s="69"/>
      <c r="BV29" s="69"/>
      <c r="BW29" s="69"/>
      <c r="BX29" s="69"/>
      <c r="BY29" s="69"/>
      <c r="BZ29" s="69"/>
      <c r="CA29" s="69"/>
      <c r="CB29" s="69"/>
      <c r="CC29" s="69"/>
      <c r="CD29" s="441"/>
    </row>
    <row r="30" spans="1:82" x14ac:dyDescent="0.15">
      <c r="A30" s="283"/>
      <c r="B30" s="301"/>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191"/>
      <c r="BH30" s="69"/>
      <c r="BI30" s="73"/>
      <c r="BJ30" s="69"/>
      <c r="BK30" s="69"/>
      <c r="BL30" s="69"/>
      <c r="BM30" s="69"/>
      <c r="BN30" s="69"/>
      <c r="BO30" s="69"/>
      <c r="BP30" s="69"/>
      <c r="BQ30" s="69"/>
      <c r="BR30" s="69"/>
      <c r="BS30" s="69"/>
      <c r="BT30" s="69"/>
      <c r="BU30" s="69"/>
      <c r="BV30" s="69"/>
      <c r="BW30" s="69"/>
      <c r="BX30" s="69"/>
      <c r="BY30" s="69"/>
      <c r="BZ30" s="69"/>
      <c r="CA30" s="69"/>
      <c r="CB30" s="69"/>
      <c r="CC30" s="69"/>
      <c r="CD30" s="441"/>
    </row>
    <row r="31" spans="1:82" ht="14" x14ac:dyDescent="0.15">
      <c r="A31" s="283"/>
      <c r="B31" s="301"/>
      <c r="C31" s="1158"/>
      <c r="D31" s="1158"/>
      <c r="E31" s="1158"/>
      <c r="F31" s="1158"/>
      <c r="G31" s="1158"/>
      <c r="H31" s="1158"/>
      <c r="I31" s="1158"/>
      <c r="J31" s="1158"/>
      <c r="K31" s="1158"/>
      <c r="L31" s="1158"/>
      <c r="M31" s="1158"/>
      <c r="N31" s="1158"/>
      <c r="O31" s="1158"/>
      <c r="P31" s="1158"/>
      <c r="Q31" s="1158"/>
      <c r="R31" s="1158"/>
      <c r="S31" s="1158"/>
      <c r="T31" s="1158"/>
      <c r="U31" s="69"/>
      <c r="V31" s="69"/>
      <c r="W31" s="69"/>
      <c r="X31" s="1159"/>
      <c r="Y31" s="1158"/>
      <c r="Z31" s="1158"/>
      <c r="AA31" s="1158"/>
      <c r="AB31" s="1158"/>
      <c r="AC31" s="1158"/>
      <c r="AD31" s="1158"/>
      <c r="AE31" s="1158"/>
      <c r="AF31" s="1158"/>
      <c r="AG31" s="1158"/>
      <c r="AH31" s="1158"/>
      <c r="AI31" s="1158"/>
      <c r="AJ31" s="1158"/>
      <c r="AK31" s="1158"/>
      <c r="AL31" s="1158"/>
      <c r="AM31" s="69"/>
      <c r="AN31" s="69"/>
      <c r="AO31" s="1189"/>
      <c r="AP31" s="1158"/>
      <c r="AQ31" s="1158"/>
      <c r="AR31" s="1158"/>
      <c r="AS31" s="1158"/>
      <c r="AT31" s="1158"/>
      <c r="AU31" s="1158"/>
      <c r="AV31" s="1158"/>
      <c r="AW31" s="1158"/>
      <c r="AX31" s="1158"/>
      <c r="AY31" s="1158"/>
      <c r="AZ31" s="1158"/>
      <c r="BA31" s="1158"/>
      <c r="BB31" s="1158"/>
      <c r="BC31" s="1158"/>
      <c r="BD31" s="1158"/>
      <c r="BE31" s="1158"/>
      <c r="BF31" s="1158"/>
      <c r="BG31" s="191"/>
      <c r="BH31" s="69"/>
      <c r="BI31" s="73"/>
      <c r="BJ31" s="69"/>
      <c r="BK31" s="69"/>
      <c r="BL31" s="69"/>
      <c r="BM31" s="69"/>
      <c r="BN31" s="69"/>
      <c r="BO31" s="69"/>
      <c r="BP31" s="69"/>
      <c r="BQ31" s="69"/>
      <c r="BR31" s="69"/>
      <c r="BS31" s="69"/>
      <c r="BT31" s="69"/>
      <c r="BU31" s="69"/>
      <c r="BV31" s="69"/>
      <c r="BW31" s="69"/>
      <c r="BX31" s="69"/>
      <c r="BY31" s="69"/>
      <c r="BZ31" s="69"/>
      <c r="CA31" s="69"/>
      <c r="CB31" s="69"/>
      <c r="CC31" s="69"/>
      <c r="CD31" s="441"/>
    </row>
    <row r="32" spans="1:82" x14ac:dyDescent="0.15">
      <c r="A32" s="283"/>
      <c r="B32" s="301"/>
      <c r="C32" s="69" t="s">
        <v>587</v>
      </c>
      <c r="D32" s="69"/>
      <c r="E32" s="69"/>
      <c r="F32" s="69"/>
      <c r="G32" s="69"/>
      <c r="H32" s="69"/>
      <c r="I32" s="69"/>
      <c r="J32" s="69"/>
      <c r="K32" s="69"/>
      <c r="L32" s="69"/>
      <c r="M32" s="69"/>
      <c r="N32" s="69"/>
      <c r="O32" s="69"/>
      <c r="P32" s="69"/>
      <c r="Q32" s="69"/>
      <c r="R32" s="69"/>
      <c r="S32" s="69"/>
      <c r="T32" s="69"/>
      <c r="U32" s="69"/>
      <c r="V32" s="69"/>
      <c r="W32" s="69"/>
      <c r="X32" s="69" t="s">
        <v>586</v>
      </c>
      <c r="Y32" s="69"/>
      <c r="Z32" s="69"/>
      <c r="AA32" s="69"/>
      <c r="AB32" s="69"/>
      <c r="AC32" s="69"/>
      <c r="AD32" s="69"/>
      <c r="AE32" s="69"/>
      <c r="AF32" s="69"/>
      <c r="AG32" s="69"/>
      <c r="AH32" s="69"/>
      <c r="AI32" s="69"/>
      <c r="AJ32" s="69"/>
      <c r="AK32" s="69"/>
      <c r="AL32" s="69"/>
      <c r="AM32" s="69"/>
      <c r="AN32" s="69"/>
      <c r="AO32" s="69" t="s">
        <v>585</v>
      </c>
      <c r="AP32" s="69"/>
      <c r="AQ32" s="69"/>
      <c r="AR32" s="69"/>
      <c r="AS32" s="69"/>
      <c r="AT32" s="69"/>
      <c r="AU32" s="69"/>
      <c r="AV32" s="69"/>
      <c r="AW32" s="69"/>
      <c r="AX32" s="69"/>
      <c r="AY32" s="69"/>
      <c r="AZ32" s="69"/>
      <c r="BA32" s="69"/>
      <c r="BB32" s="69"/>
      <c r="BC32" s="69"/>
      <c r="BD32" s="69"/>
      <c r="BE32" s="69"/>
      <c r="BF32" s="69"/>
      <c r="BG32" s="191"/>
      <c r="BH32" s="69"/>
      <c r="BI32" s="73"/>
      <c r="BJ32" s="69"/>
      <c r="BK32" s="69"/>
      <c r="BL32" s="69"/>
      <c r="BM32" s="69"/>
      <c r="BN32" s="69"/>
      <c r="BO32" s="69"/>
      <c r="BP32" s="69"/>
      <c r="BQ32" s="69"/>
      <c r="BR32" s="69"/>
      <c r="BS32" s="69"/>
      <c r="BT32" s="69"/>
      <c r="BU32" s="69"/>
      <c r="BV32" s="69"/>
      <c r="BW32" s="69"/>
      <c r="BX32" s="69"/>
      <c r="BY32" s="69"/>
      <c r="BZ32" s="69"/>
      <c r="CA32" s="69"/>
      <c r="CB32" s="69"/>
      <c r="CC32" s="69"/>
      <c r="CD32" s="441"/>
    </row>
    <row r="33" spans="1:82" x14ac:dyDescent="0.15">
      <c r="A33" s="283"/>
      <c r="B33" s="301"/>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191"/>
      <c r="BH33" s="69"/>
      <c r="BI33" s="73"/>
      <c r="BJ33" s="69"/>
      <c r="BK33" s="69"/>
      <c r="BL33" s="69"/>
      <c r="BM33" s="69"/>
      <c r="BN33" s="69"/>
      <c r="BO33" s="69"/>
      <c r="BP33" s="69"/>
      <c r="BQ33" s="69"/>
      <c r="BR33" s="69"/>
      <c r="BS33" s="69"/>
      <c r="BT33" s="69"/>
      <c r="BU33" s="69"/>
      <c r="BV33" s="69"/>
      <c r="BW33" s="69"/>
      <c r="BX33" s="69"/>
      <c r="BY33" s="69"/>
      <c r="BZ33" s="69"/>
      <c r="CA33" s="69"/>
      <c r="CB33" s="69"/>
      <c r="CC33" s="69"/>
      <c r="CD33" s="441"/>
    </row>
    <row r="34" spans="1:82" ht="15" x14ac:dyDescent="0.2">
      <c r="A34" s="283"/>
      <c r="B34" s="301"/>
      <c r="C34" s="1157"/>
      <c r="D34" s="1158"/>
      <c r="E34" s="1158"/>
      <c r="F34" s="1158"/>
      <c r="G34" s="1158"/>
      <c r="H34" s="1158"/>
      <c r="I34" s="1158"/>
      <c r="J34" s="1158"/>
      <c r="K34" s="1158"/>
      <c r="L34" s="1158"/>
      <c r="M34" s="1158"/>
      <c r="N34" s="1158"/>
      <c r="O34" s="1158"/>
      <c r="P34" s="1158"/>
      <c r="Q34" s="1158"/>
      <c r="R34" s="1158"/>
      <c r="S34" s="1158"/>
      <c r="T34" s="1158"/>
      <c r="U34" s="69"/>
      <c r="V34" s="69"/>
      <c r="W34" s="69"/>
      <c r="X34" s="1159"/>
      <c r="Y34" s="1158"/>
      <c r="Z34" s="1158"/>
      <c r="AA34" s="1158"/>
      <c r="AB34" s="1158"/>
      <c r="AC34" s="1158"/>
      <c r="AD34" s="1158"/>
      <c r="AE34" s="1158"/>
      <c r="AF34" s="1158"/>
      <c r="AG34" s="1158"/>
      <c r="AH34" s="1158"/>
      <c r="AI34" s="1158"/>
      <c r="AJ34" s="1158"/>
      <c r="AK34" s="1158"/>
      <c r="AL34" s="1158"/>
      <c r="AM34" s="69"/>
      <c r="AN34" s="424"/>
      <c r="AO34" s="1152"/>
      <c r="AP34" s="1153"/>
      <c r="AQ34" s="1153"/>
      <c r="AR34" s="1153"/>
      <c r="AS34" s="1153"/>
      <c r="AT34" s="1153"/>
      <c r="AU34" s="1153"/>
      <c r="AV34" s="1153"/>
      <c r="AW34" s="1153"/>
      <c r="AX34" s="1153"/>
      <c r="AY34" s="1153"/>
      <c r="AZ34" s="1153"/>
      <c r="BA34" s="1153"/>
      <c r="BB34" s="1153"/>
      <c r="BC34" s="1153"/>
      <c r="BD34" s="1153"/>
      <c r="BE34" s="1153"/>
      <c r="BF34" s="1154"/>
      <c r="BG34" s="425"/>
      <c r="BH34" s="69"/>
      <c r="BI34" s="73"/>
      <c r="BJ34" s="69"/>
      <c r="BK34" s="69"/>
      <c r="BL34" s="69"/>
      <c r="BM34" s="69"/>
      <c r="BN34" s="69"/>
      <c r="BO34" s="69"/>
      <c r="BP34" s="69"/>
      <c r="BQ34" s="69"/>
      <c r="BR34" s="69"/>
      <c r="BS34" s="69"/>
      <c r="BT34" s="69"/>
      <c r="BU34" s="69"/>
      <c r="BV34" s="69"/>
      <c r="BW34" s="69"/>
      <c r="BX34" s="69"/>
      <c r="BY34" s="69"/>
      <c r="BZ34" s="69"/>
      <c r="CA34" s="69"/>
      <c r="CB34" s="69"/>
      <c r="CC34" s="69"/>
      <c r="CD34" s="441"/>
    </row>
    <row r="35" spans="1:82" ht="15" customHeight="1" x14ac:dyDescent="0.15">
      <c r="A35" s="283"/>
      <c r="B35" s="301"/>
      <c r="C35" s="69" t="s">
        <v>588</v>
      </c>
      <c r="D35" s="69"/>
      <c r="E35" s="69"/>
      <c r="F35" s="69"/>
      <c r="G35" s="69"/>
      <c r="H35" s="69"/>
      <c r="I35" s="69"/>
      <c r="J35" s="69"/>
      <c r="K35" s="69"/>
      <c r="L35" s="69"/>
      <c r="M35" s="69"/>
      <c r="N35" s="69"/>
      <c r="O35" s="69"/>
      <c r="P35" s="69"/>
      <c r="Q35" s="69"/>
      <c r="R35" s="69"/>
      <c r="S35" s="69"/>
      <c r="T35" s="69"/>
      <c r="U35" s="69"/>
      <c r="V35" s="69"/>
      <c r="W35" s="69"/>
      <c r="X35" s="69" t="s">
        <v>589</v>
      </c>
      <c r="Y35" s="69"/>
      <c r="Z35" s="69"/>
      <c r="AA35" s="69"/>
      <c r="AB35" s="69"/>
      <c r="AC35" s="69"/>
      <c r="AD35" s="69"/>
      <c r="AE35" s="69"/>
      <c r="AF35" s="69"/>
      <c r="AG35" s="69"/>
      <c r="AH35" s="69"/>
      <c r="AI35" s="69"/>
      <c r="AJ35" s="69"/>
      <c r="AK35" s="69"/>
      <c r="AL35" s="69"/>
      <c r="AM35" s="69"/>
      <c r="AN35" s="69"/>
      <c r="AO35" s="69" t="s">
        <v>850</v>
      </c>
      <c r="AP35" s="69"/>
      <c r="AQ35" s="69"/>
      <c r="AR35" s="426"/>
      <c r="AS35" s="69"/>
      <c r="AT35" s="69"/>
      <c r="AU35" s="69"/>
      <c r="AV35" s="69"/>
      <c r="AW35" s="69"/>
      <c r="AX35" s="69"/>
      <c r="AY35" s="426"/>
      <c r="AZ35" s="69"/>
      <c r="BA35" s="69"/>
      <c r="BB35" s="69"/>
      <c r="BC35" s="69"/>
      <c r="BD35" s="69"/>
      <c r="BE35" s="69"/>
      <c r="BF35" s="69"/>
      <c r="BG35" s="302"/>
      <c r="BH35" s="284"/>
      <c r="BI35" s="73"/>
      <c r="BJ35" s="69"/>
      <c r="BK35" s="69"/>
      <c r="BL35" s="69"/>
      <c r="BM35" s="69"/>
      <c r="BN35" s="69"/>
      <c r="BO35" s="69"/>
      <c r="BP35" s="69"/>
      <c r="BQ35" s="69"/>
      <c r="BR35" s="69"/>
      <c r="BS35" s="69"/>
      <c r="BT35" s="69"/>
      <c r="BU35" s="69"/>
      <c r="BV35" s="69"/>
      <c r="BW35" s="69"/>
      <c r="BX35" s="69"/>
      <c r="BY35" s="69"/>
      <c r="BZ35" s="69"/>
      <c r="CA35" s="69"/>
      <c r="CB35" s="69"/>
      <c r="CC35" s="69"/>
      <c r="CD35" s="441"/>
    </row>
    <row r="36" spans="1:82" ht="15" customHeight="1" x14ac:dyDescent="0.15">
      <c r="A36" s="283"/>
      <c r="B36" s="301"/>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N36" s="69"/>
      <c r="AO36" s="69"/>
      <c r="AP36" s="69"/>
      <c r="AQ36" s="69"/>
      <c r="AR36" s="69"/>
      <c r="AS36" s="69"/>
      <c r="AT36" s="69"/>
      <c r="AU36" s="69"/>
      <c r="AV36" s="69"/>
      <c r="AW36" s="69"/>
      <c r="AX36" s="69"/>
      <c r="AY36" s="69"/>
      <c r="AZ36" s="69"/>
      <c r="BA36" s="69"/>
      <c r="BB36" s="69"/>
      <c r="BC36" s="69"/>
      <c r="BD36" s="69"/>
      <c r="BE36" s="69"/>
      <c r="BF36" s="69"/>
      <c r="BG36" s="302"/>
      <c r="BH36" s="284"/>
      <c r="BI36" s="73"/>
      <c r="BJ36" s="69"/>
      <c r="BK36" s="69"/>
      <c r="BL36" s="69"/>
      <c r="BM36" s="69"/>
      <c r="BN36" s="69"/>
      <c r="BO36" s="69"/>
      <c r="BP36" s="69"/>
      <c r="BQ36" s="69"/>
      <c r="BR36" s="69"/>
      <c r="BS36" s="69"/>
      <c r="BT36" s="69"/>
      <c r="BU36" s="69"/>
      <c r="BV36" s="69"/>
      <c r="BW36" s="69"/>
      <c r="BX36" s="69"/>
      <c r="BY36" s="69"/>
      <c r="BZ36" s="69"/>
      <c r="CA36" s="69"/>
      <c r="CB36" s="69"/>
      <c r="CC36" s="69"/>
      <c r="CD36" s="441"/>
    </row>
    <row r="37" spans="1:82" ht="15" customHeight="1" x14ac:dyDescent="0.15">
      <c r="A37" s="283"/>
      <c r="B37" s="301"/>
      <c r="C37" s="1166"/>
      <c r="D37" s="1166"/>
      <c r="E37" s="1166"/>
      <c r="F37" s="1166"/>
      <c r="G37" s="1166"/>
      <c r="H37" s="1166"/>
      <c r="I37" s="1166"/>
      <c r="J37" s="1166"/>
      <c r="K37" s="1166"/>
      <c r="L37" s="1166"/>
      <c r="M37" s="1166"/>
      <c r="N37" s="1166"/>
      <c r="O37" s="1166"/>
      <c r="P37" s="1166"/>
      <c r="Q37" s="1166"/>
      <c r="R37" s="1166"/>
      <c r="S37" s="1166"/>
      <c r="T37" s="1166"/>
      <c r="U37" s="69"/>
      <c r="V37" s="69"/>
      <c r="W37" s="69"/>
      <c r="X37" s="1166"/>
      <c r="Y37" s="1166"/>
      <c r="Z37" s="1166"/>
      <c r="AA37" s="1166"/>
      <c r="AB37" s="1166"/>
      <c r="AC37" s="1166"/>
      <c r="AD37" s="1166"/>
      <c r="AE37" s="1166"/>
      <c r="AF37" s="1166"/>
      <c r="AG37" s="69"/>
      <c r="AH37" s="69"/>
      <c r="AI37" s="69"/>
      <c r="AJ37" s="69"/>
      <c r="AL37" s="69"/>
      <c r="AM37" s="69"/>
      <c r="AN37" s="69"/>
      <c r="AO37" s="69"/>
      <c r="AP37" s="69"/>
      <c r="AQ37" s="69"/>
      <c r="AR37" s="69"/>
      <c r="AS37" s="69"/>
      <c r="AT37" s="69"/>
      <c r="AU37" s="69"/>
      <c r="AV37" s="69"/>
      <c r="AW37" s="69"/>
      <c r="AX37" s="69"/>
      <c r="AY37" s="69"/>
      <c r="AZ37" s="69"/>
      <c r="BA37" s="69"/>
      <c r="BB37" s="69"/>
      <c r="BC37" s="69"/>
      <c r="BD37" s="69"/>
      <c r="BE37" s="69"/>
      <c r="BF37" s="69"/>
      <c r="BG37" s="302"/>
      <c r="BH37" s="284"/>
      <c r="BI37" s="73"/>
      <c r="BJ37" s="69"/>
      <c r="BK37" s="69"/>
      <c r="BL37" s="69"/>
      <c r="BM37" s="69"/>
      <c r="BN37" s="69"/>
      <c r="BO37" s="69"/>
      <c r="BP37" s="69"/>
      <c r="BQ37" s="69"/>
      <c r="BR37" s="69"/>
      <c r="BS37" s="69"/>
      <c r="BT37" s="69"/>
      <c r="BU37" s="69"/>
      <c r="BV37" s="69"/>
      <c r="BW37" s="69"/>
      <c r="BX37" s="69"/>
      <c r="BY37" s="69"/>
      <c r="BZ37" s="69"/>
      <c r="CA37" s="69"/>
      <c r="CB37" s="69"/>
      <c r="CC37" s="69"/>
      <c r="CD37" s="441"/>
    </row>
    <row r="38" spans="1:82" ht="15" customHeight="1" x14ac:dyDescent="0.15">
      <c r="A38" s="283"/>
      <c r="B38" s="301"/>
      <c r="C38" s="69" t="s">
        <v>1023</v>
      </c>
      <c r="D38" s="69"/>
      <c r="E38" s="69"/>
      <c r="F38" s="69"/>
      <c r="G38" s="69"/>
      <c r="H38" s="69"/>
      <c r="I38" s="69"/>
      <c r="J38" s="69"/>
      <c r="K38" s="69"/>
      <c r="L38" s="69"/>
      <c r="M38" s="69"/>
      <c r="N38" s="69"/>
      <c r="O38" s="69"/>
      <c r="P38" s="69"/>
      <c r="Q38" s="69"/>
      <c r="R38" s="69"/>
      <c r="S38" s="69"/>
      <c r="T38" s="69"/>
      <c r="U38" s="69"/>
      <c r="V38" s="69"/>
      <c r="W38" s="69"/>
      <c r="X38" s="69" t="s">
        <v>1006</v>
      </c>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302"/>
      <c r="BH38" s="284"/>
      <c r="BI38" s="73"/>
      <c r="BJ38" s="69"/>
      <c r="BK38" s="69"/>
      <c r="BL38" s="69"/>
      <c r="BM38" s="69"/>
      <c r="BN38" s="69"/>
      <c r="BO38" s="69"/>
      <c r="BP38" s="69"/>
      <c r="BQ38" s="69"/>
      <c r="BR38" s="69"/>
      <c r="BS38" s="69"/>
      <c r="BT38" s="69"/>
      <c r="BU38" s="69"/>
      <c r="BV38" s="69"/>
      <c r="BW38" s="69"/>
      <c r="BX38" s="69"/>
      <c r="BY38" s="69"/>
      <c r="BZ38" s="69"/>
      <c r="CA38" s="69"/>
      <c r="CB38" s="69"/>
      <c r="CC38" s="69"/>
      <c r="CD38" s="441"/>
    </row>
    <row r="39" spans="1:82" ht="15" customHeight="1" x14ac:dyDescent="0.15">
      <c r="A39" s="283"/>
      <c r="B39" s="301"/>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302"/>
      <c r="BH39" s="284"/>
      <c r="BI39" s="73"/>
      <c r="BJ39" s="69"/>
      <c r="BK39" s="69"/>
      <c r="BL39" s="69"/>
      <c r="BM39" s="69"/>
      <c r="BN39" s="69"/>
      <c r="BO39" s="69"/>
      <c r="BP39" s="69"/>
      <c r="BQ39" s="69"/>
      <c r="BR39" s="69"/>
      <c r="BS39" s="69"/>
      <c r="BT39" s="69"/>
      <c r="BU39" s="69"/>
      <c r="BV39" s="69"/>
      <c r="BW39" s="69"/>
      <c r="BX39" s="69"/>
      <c r="BY39" s="69"/>
      <c r="BZ39" s="69"/>
      <c r="CA39" s="69"/>
      <c r="CB39" s="69"/>
      <c r="CC39" s="69"/>
      <c r="CD39" s="441"/>
    </row>
    <row r="40" spans="1:82" ht="15" customHeight="1" x14ac:dyDescent="0.15">
      <c r="A40" s="283"/>
      <c r="B40" s="301"/>
      <c r="C40" s="1166"/>
      <c r="D40" s="1166"/>
      <c r="E40" s="1166"/>
      <c r="F40" s="1166"/>
      <c r="G40" s="1166"/>
      <c r="H40" s="1166"/>
      <c r="I40" s="1166"/>
      <c r="J40" s="1166"/>
      <c r="K40" s="1166"/>
      <c r="L40" s="1166"/>
      <c r="M40" s="1166"/>
      <c r="N40" s="1166"/>
      <c r="O40" s="1166"/>
      <c r="P40" s="1166"/>
      <c r="Q40" s="1166"/>
      <c r="R40" s="1166"/>
      <c r="S40" s="1166"/>
      <c r="T40" s="1166"/>
      <c r="U40" s="69"/>
      <c r="V40" s="69"/>
      <c r="W40" s="69"/>
      <c r="X40" s="1166"/>
      <c r="Y40" s="1166"/>
      <c r="Z40" s="1166"/>
      <c r="AA40" s="1166"/>
      <c r="AB40" s="1166"/>
      <c r="AC40" s="1166"/>
      <c r="AD40" s="1166"/>
      <c r="AE40" s="1166"/>
      <c r="AF40" s="1166"/>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302"/>
      <c r="BH40" s="284"/>
      <c r="BI40" s="73"/>
      <c r="BJ40" s="69"/>
      <c r="BK40" s="69"/>
      <c r="BL40" s="69"/>
      <c r="BM40" s="69"/>
      <c r="BN40" s="69"/>
      <c r="BO40" s="69"/>
      <c r="BP40" s="69"/>
      <c r="BQ40" s="69"/>
      <c r="BR40" s="69"/>
      <c r="BS40" s="69"/>
      <c r="BT40" s="69"/>
      <c r="BU40" s="69"/>
      <c r="BV40" s="69"/>
      <c r="BW40" s="69"/>
      <c r="BX40" s="69"/>
      <c r="BY40" s="69"/>
      <c r="BZ40" s="69"/>
      <c r="CA40" s="69"/>
      <c r="CB40" s="69"/>
      <c r="CC40" s="69"/>
      <c r="CD40" s="441"/>
    </row>
    <row r="41" spans="1:82" ht="15" customHeight="1" x14ac:dyDescent="0.15">
      <c r="A41" s="283"/>
      <c r="B41" s="301"/>
      <c r="C41" s="69" t="s">
        <v>1007</v>
      </c>
      <c r="D41" s="69"/>
      <c r="E41" s="69"/>
      <c r="F41" s="69"/>
      <c r="G41" s="69"/>
      <c r="H41" s="69"/>
      <c r="I41" s="69"/>
      <c r="J41" s="69"/>
      <c r="K41" s="69"/>
      <c r="L41" s="69"/>
      <c r="M41" s="69"/>
      <c r="N41" s="69"/>
      <c r="O41" s="69"/>
      <c r="P41" s="69"/>
      <c r="Q41" s="69"/>
      <c r="R41" s="69"/>
      <c r="S41" s="69"/>
      <c r="T41" s="69"/>
      <c r="U41" s="69"/>
      <c r="V41" s="69"/>
      <c r="W41" s="69"/>
      <c r="X41" s="69" t="s">
        <v>1008</v>
      </c>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302"/>
      <c r="BH41" s="284"/>
      <c r="BI41" s="73"/>
      <c r="BJ41" s="69"/>
      <c r="BK41" s="69"/>
      <c r="BL41" s="69"/>
      <c r="BM41" s="69"/>
      <c r="BN41" s="69"/>
      <c r="BO41" s="69"/>
      <c r="BP41" s="69"/>
      <c r="BQ41" s="69"/>
      <c r="BR41" s="69"/>
      <c r="BS41" s="69"/>
      <c r="BT41" s="69"/>
      <c r="BU41" s="69"/>
      <c r="BV41" s="69"/>
      <c r="BW41" s="69"/>
      <c r="BX41" s="69"/>
      <c r="BY41" s="69"/>
      <c r="BZ41" s="69"/>
      <c r="CA41" s="69"/>
      <c r="CB41" s="69"/>
      <c r="CC41" s="69"/>
      <c r="CD41" s="441"/>
    </row>
    <row r="42" spans="1:82" ht="15" customHeight="1" x14ac:dyDescent="0.15">
      <c r="A42" s="283"/>
      <c r="B42" s="301"/>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302"/>
      <c r="BH42" s="284"/>
      <c r="BI42" s="73"/>
      <c r="BJ42" s="69"/>
      <c r="BK42" s="69"/>
      <c r="BL42" s="69"/>
      <c r="BM42" s="69"/>
      <c r="BN42" s="69"/>
      <c r="BO42" s="69"/>
      <c r="BP42" s="69"/>
      <c r="BQ42" s="69"/>
      <c r="BR42" s="69"/>
      <c r="BS42" s="69"/>
      <c r="BT42" s="69"/>
      <c r="BU42" s="69"/>
      <c r="BV42" s="69"/>
      <c r="BW42" s="69"/>
      <c r="BX42" s="69"/>
      <c r="BY42" s="69"/>
      <c r="BZ42" s="69"/>
      <c r="CA42" s="69"/>
      <c r="CB42" s="69"/>
      <c r="CC42" s="69"/>
      <c r="CD42" s="441"/>
    </row>
    <row r="43" spans="1:82" ht="15" customHeight="1" x14ac:dyDescent="0.15">
      <c r="A43" s="283"/>
      <c r="B43" s="301"/>
      <c r="C43" s="1166"/>
      <c r="D43" s="1166"/>
      <c r="E43" s="1166"/>
      <c r="F43" s="1166"/>
      <c r="G43" s="1166"/>
      <c r="H43" s="1166"/>
      <c r="I43" s="1166"/>
      <c r="J43" s="1166"/>
      <c r="K43" s="1166"/>
      <c r="L43" s="1166"/>
      <c r="M43" s="1166"/>
      <c r="N43" s="1166"/>
      <c r="O43" s="1166"/>
      <c r="P43" s="1166"/>
      <c r="Q43" s="1166"/>
      <c r="R43" s="1166"/>
      <c r="S43" s="1166"/>
      <c r="T43" s="1166"/>
      <c r="U43" s="69"/>
      <c r="V43" s="69"/>
      <c r="W43" s="69"/>
      <c r="X43" s="1166"/>
      <c r="Y43" s="1166"/>
      <c r="Z43" s="1166"/>
      <c r="AA43" s="1166"/>
      <c r="AB43" s="1166"/>
      <c r="AC43" s="1166"/>
      <c r="AD43" s="1166"/>
      <c r="AE43" s="1166"/>
      <c r="AF43" s="1166"/>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302"/>
      <c r="BH43" s="284"/>
      <c r="BI43" s="73"/>
      <c r="BJ43" s="69"/>
      <c r="BK43" s="69"/>
      <c r="BL43" s="69"/>
      <c r="BM43" s="69"/>
      <c r="BN43" s="69"/>
      <c r="BO43" s="69"/>
      <c r="BP43" s="69"/>
      <c r="BQ43" s="69"/>
      <c r="BR43" s="69"/>
      <c r="BS43" s="69"/>
      <c r="BT43" s="69"/>
      <c r="BU43" s="69"/>
      <c r="BV43" s="69"/>
      <c r="BW43" s="69"/>
      <c r="BX43" s="69"/>
      <c r="BY43" s="69"/>
      <c r="BZ43" s="69"/>
      <c r="CA43" s="69"/>
      <c r="CB43" s="69"/>
      <c r="CC43" s="69"/>
      <c r="CD43" s="441"/>
    </row>
    <row r="44" spans="1:82" ht="15" customHeight="1" x14ac:dyDescent="0.15">
      <c r="A44" s="283"/>
      <c r="B44" s="301"/>
      <c r="C44" s="69" t="s">
        <v>1010</v>
      </c>
      <c r="D44" s="69"/>
      <c r="E44" s="69"/>
      <c r="F44" s="69"/>
      <c r="G44" s="69"/>
      <c r="H44" s="69"/>
      <c r="I44" s="69"/>
      <c r="J44" s="69"/>
      <c r="K44" s="69"/>
      <c r="L44" s="69"/>
      <c r="M44" s="69"/>
      <c r="N44" s="69"/>
      <c r="O44" s="69"/>
      <c r="P44" s="69"/>
      <c r="Q44" s="69"/>
      <c r="R44" s="69"/>
      <c r="S44" s="69"/>
      <c r="T44" s="69"/>
      <c r="U44" s="69"/>
      <c r="V44" s="69"/>
      <c r="W44" s="69"/>
      <c r="X44" s="69" t="s">
        <v>1011</v>
      </c>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302"/>
      <c r="BH44" s="284"/>
      <c r="BI44" s="73"/>
      <c r="BJ44" s="69"/>
      <c r="BK44" s="69"/>
      <c r="BL44" s="69"/>
      <c r="BM44" s="69"/>
      <c r="BN44" s="69"/>
      <c r="BO44" s="69"/>
      <c r="BP44" s="69"/>
      <c r="BQ44" s="69"/>
      <c r="BR44" s="69"/>
      <c r="BS44" s="69"/>
      <c r="BT44" s="69"/>
      <c r="BU44" s="69"/>
      <c r="BV44" s="69"/>
      <c r="BW44" s="69"/>
      <c r="BX44" s="69"/>
      <c r="BY44" s="69"/>
      <c r="BZ44" s="69"/>
      <c r="CA44" s="69"/>
      <c r="CB44" s="69"/>
      <c r="CC44" s="69"/>
      <c r="CD44" s="441"/>
    </row>
    <row r="45" spans="1:82" ht="15" customHeight="1" thickBot="1" x14ac:dyDescent="0.2">
      <c r="A45" s="283"/>
      <c r="B45" s="301"/>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302"/>
      <c r="BH45" s="284"/>
      <c r="BI45" s="73"/>
      <c r="BJ45" s="69"/>
      <c r="BK45" s="69"/>
      <c r="BL45" s="69"/>
      <c r="BM45" s="69"/>
      <c r="BN45" s="69"/>
      <c r="BO45" s="69"/>
      <c r="BP45" s="69"/>
      <c r="BQ45" s="69"/>
      <c r="BR45" s="69"/>
      <c r="BS45" s="69"/>
      <c r="BT45" s="69"/>
      <c r="BU45" s="69"/>
      <c r="BV45" s="69"/>
      <c r="BW45" s="69"/>
      <c r="BX45" s="69"/>
      <c r="BY45" s="69"/>
      <c r="BZ45" s="69"/>
      <c r="CA45" s="69"/>
      <c r="CB45" s="69"/>
      <c r="CC45" s="69"/>
      <c r="CD45" s="441"/>
    </row>
    <row r="46" spans="1:82" x14ac:dyDescent="0.15">
      <c r="A46" s="283"/>
      <c r="B46" s="301"/>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302"/>
      <c r="BH46" s="284"/>
      <c r="BI46" s="455"/>
      <c r="BJ46" s="456"/>
      <c r="BK46" s="456"/>
      <c r="BL46" s="456"/>
      <c r="BM46" s="457"/>
      <c r="BN46" s="456"/>
      <c r="BO46" s="456"/>
      <c r="BP46" s="456"/>
      <c r="BQ46" s="456"/>
      <c r="BR46" s="456"/>
      <c r="BS46" s="456"/>
      <c r="BT46" s="456"/>
      <c r="BU46" s="456"/>
      <c r="BV46" s="456"/>
      <c r="BW46" s="456"/>
      <c r="BX46" s="456"/>
      <c r="BY46" s="456"/>
      <c r="BZ46" s="456"/>
      <c r="CA46" s="456"/>
      <c r="CB46" s="456"/>
      <c r="CC46" s="456"/>
      <c r="CD46" s="458"/>
    </row>
    <row r="47" spans="1:82" ht="14" x14ac:dyDescent="0.15">
      <c r="A47" s="283"/>
      <c r="B47" s="301"/>
      <c r="C47" s="284"/>
      <c r="D47" s="284"/>
      <c r="E47" s="284"/>
      <c r="F47" s="284"/>
      <c r="G47" s="284"/>
      <c r="H47" s="274"/>
      <c r="I47" s="275" t="s">
        <v>849</v>
      </c>
      <c r="J47" s="274"/>
      <c r="L47" s="274"/>
      <c r="M47" s="274"/>
      <c r="N47" s="274"/>
      <c r="O47" s="274"/>
      <c r="P47" s="274"/>
      <c r="Q47" s="274"/>
      <c r="R47" s="274"/>
      <c r="S47" s="274"/>
      <c r="T47" s="274"/>
      <c r="U47" s="1176" t="str">
        <f>+IF(U6="kitöltendő legördülő cella","",U6)</f>
        <v/>
      </c>
      <c r="V47" s="1176"/>
      <c r="W47" s="1176"/>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176"/>
      <c r="AS47" s="1176"/>
      <c r="AT47" s="1176"/>
      <c r="AU47" s="1176"/>
      <c r="AV47" s="1176"/>
      <c r="AW47" s="1176"/>
      <c r="AX47" s="1176"/>
      <c r="AY47" s="1176"/>
      <c r="AZ47" s="1176"/>
      <c r="BA47" s="1176"/>
      <c r="BB47" s="1176"/>
      <c r="BC47" s="1176"/>
      <c r="BD47" s="1176"/>
      <c r="BE47" s="1176"/>
      <c r="BF47" s="1176"/>
      <c r="BG47" s="302"/>
      <c r="BH47" s="284"/>
      <c r="BI47" s="73"/>
      <c r="BJ47" s="69"/>
      <c r="BK47" s="69"/>
      <c r="BL47" s="69"/>
      <c r="BM47" s="228"/>
      <c r="BN47" s="69"/>
      <c r="BO47" s="69"/>
      <c r="BP47" s="69"/>
      <c r="BQ47" s="234" t="s">
        <v>479</v>
      </c>
      <c r="BR47" s="227"/>
      <c r="BS47" s="226"/>
      <c r="BT47" s="226"/>
      <c r="BU47" s="69"/>
      <c r="BV47" s="69"/>
      <c r="BW47" s="69"/>
      <c r="BX47" s="69"/>
      <c r="BY47" s="69"/>
      <c r="BZ47" s="69"/>
      <c r="CA47" s="69"/>
      <c r="CB47" s="69"/>
      <c r="CC47" s="69"/>
      <c r="CD47" s="441"/>
    </row>
    <row r="48" spans="1:82" x14ac:dyDescent="0.15">
      <c r="A48" s="283"/>
      <c r="B48" s="301"/>
      <c r="C48" s="284"/>
      <c r="D48" s="284"/>
      <c r="E48" s="284"/>
      <c r="F48" s="284"/>
      <c r="G48" s="284"/>
      <c r="H48" s="274"/>
      <c r="I48" s="274"/>
      <c r="J48" s="274"/>
      <c r="K48" s="274"/>
      <c r="L48" s="274"/>
      <c r="M48" s="274"/>
      <c r="N48" s="274"/>
      <c r="O48" s="274"/>
      <c r="P48" s="274"/>
      <c r="Q48" s="274"/>
      <c r="R48" s="274"/>
      <c r="S48" s="274"/>
      <c r="T48" s="274"/>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4"/>
      <c r="BD48" s="274"/>
      <c r="BE48" s="274"/>
      <c r="BF48" s="274"/>
      <c r="BG48" s="302"/>
      <c r="BH48" s="284"/>
      <c r="BI48" s="225"/>
      <c r="BJ48" s="249" t="s">
        <v>477</v>
      </c>
      <c r="BK48" s="226"/>
      <c r="BL48" s="226"/>
      <c r="BM48" s="228"/>
      <c r="BN48" s="69"/>
      <c r="BO48" s="69"/>
      <c r="BP48" s="69"/>
      <c r="BQ48" s="253" t="s">
        <v>163</v>
      </c>
      <c r="BR48" s="254"/>
      <c r="BS48" s="222"/>
      <c r="BT48" s="222"/>
      <c r="BU48" s="69"/>
      <c r="BV48" s="69"/>
      <c r="BW48" s="69"/>
      <c r="BX48" s="69"/>
      <c r="BY48" s="69"/>
      <c r="BZ48" s="69"/>
      <c r="CA48" s="69"/>
      <c r="CB48" s="69"/>
      <c r="CC48" s="69"/>
      <c r="CD48" s="441"/>
    </row>
    <row r="49" spans="1:82" x14ac:dyDescent="0.15">
      <c r="A49" s="283"/>
      <c r="B49" s="301"/>
      <c r="C49" s="284"/>
      <c r="D49" s="284"/>
      <c r="E49" s="284"/>
      <c r="F49" s="284"/>
      <c r="G49" s="284"/>
      <c r="H49" s="1177" t="str">
        <f>+IF(U47="MFB Vállalkozásfinanszírozási Program 2020","Alprogram neve:","")</f>
        <v/>
      </c>
      <c r="I49" s="1178"/>
      <c r="J49" s="1178"/>
      <c r="K49" s="1178"/>
      <c r="L49" s="1178"/>
      <c r="M49" s="1178"/>
      <c r="N49" s="1178"/>
      <c r="O49" s="1178"/>
      <c r="P49" s="1178"/>
      <c r="Q49" s="1178"/>
      <c r="R49" s="1178"/>
      <c r="S49" s="274"/>
      <c r="T49" s="274"/>
      <c r="U49" s="1179" t="s">
        <v>163</v>
      </c>
      <c r="V49" s="1179"/>
      <c r="W49" s="1179"/>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179"/>
      <c r="AS49" s="1179"/>
      <c r="AT49" s="1179"/>
      <c r="AU49" s="1179"/>
      <c r="AV49" s="1179"/>
      <c r="AW49" s="1179"/>
      <c r="AX49" s="1179"/>
      <c r="AY49" s="1179"/>
      <c r="AZ49" s="1179"/>
      <c r="BA49" s="1179"/>
      <c r="BB49" s="1179"/>
      <c r="BC49" s="1179"/>
      <c r="BD49" s="1179"/>
      <c r="BE49" s="1179"/>
      <c r="BF49" s="1179"/>
      <c r="BG49" s="302"/>
      <c r="BH49" s="284"/>
      <c r="BI49" s="442"/>
      <c r="BJ49" s="256" t="s">
        <v>163</v>
      </c>
      <c r="BK49" s="222"/>
      <c r="BL49" s="222"/>
      <c r="BM49" s="228"/>
      <c r="BN49" s="69"/>
      <c r="BO49" s="69"/>
      <c r="BP49" s="285" t="str">
        <f>IF(U47="MFB Vállalkozásfinanszírozási Program 2020",1,"")</f>
        <v/>
      </c>
      <c r="BQ49" s="253" t="s">
        <v>461</v>
      </c>
      <c r="BR49" s="254"/>
      <c r="BS49" s="222"/>
      <c r="BT49" s="222"/>
      <c r="BU49" s="69"/>
      <c r="BV49" s="69"/>
      <c r="BW49" s="69"/>
      <c r="BX49" s="69"/>
      <c r="BY49" s="69"/>
      <c r="BZ49" s="69"/>
      <c r="CA49" s="69"/>
      <c r="CB49" s="69"/>
      <c r="CC49" s="69"/>
      <c r="CD49" s="441"/>
    </row>
    <row r="50" spans="1:82" x14ac:dyDescent="0.15">
      <c r="A50" s="283"/>
      <c r="B50" s="301"/>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1156" t="str">
        <f>+IF(AO34&lt;&gt;"","",IF(Alprogram="Patika Hitelprogram","Kérem töltse ki az alapadatoknál megjelenő Magyar Államkincstári ügyfélazonosítót!",""))</f>
        <v/>
      </c>
      <c r="AI50" s="1156"/>
      <c r="AJ50" s="1156"/>
      <c r="AK50" s="1156"/>
      <c r="AL50" s="1156"/>
      <c r="AM50" s="1156"/>
      <c r="AN50" s="1156"/>
      <c r="AO50" s="1156"/>
      <c r="AP50" s="1156"/>
      <c r="AQ50" s="1156"/>
      <c r="AR50" s="1156"/>
      <c r="AS50" s="1156"/>
      <c r="AT50" s="1156"/>
      <c r="AU50" s="1156"/>
      <c r="AV50" s="1156"/>
      <c r="AW50" s="1156"/>
      <c r="AX50" s="1156"/>
      <c r="AY50" s="1156"/>
      <c r="AZ50" s="1156"/>
      <c r="BA50" s="1156"/>
      <c r="BB50" s="1156"/>
      <c r="BC50" s="1156"/>
      <c r="BD50" s="1156"/>
      <c r="BE50" s="1156"/>
      <c r="BF50" s="1156"/>
      <c r="BG50" s="302"/>
      <c r="BH50" s="284"/>
      <c r="BI50" s="443" t="str">
        <f>+IF(U49="MFB Vállalkozásfinanszírozási Program 2020","a","")</f>
        <v/>
      </c>
      <c r="BJ50" s="221" t="str">
        <f>+IF(BP49=1,"MFB Vállalkozásfinanszírozási Program 2020","")</f>
        <v/>
      </c>
      <c r="BK50" s="222"/>
      <c r="BL50" s="222"/>
      <c r="BM50" s="228"/>
      <c r="BN50" s="69"/>
      <c r="BO50" s="69"/>
      <c r="BP50" s="285" t="str">
        <f>+IF(U47="MFB Lízing Refinanszírozási Program",2,"")</f>
        <v/>
      </c>
      <c r="BQ50" s="253" t="s">
        <v>480</v>
      </c>
      <c r="BR50" s="254"/>
      <c r="BS50" s="222"/>
      <c r="BT50" s="222"/>
      <c r="BU50" s="69"/>
      <c r="BV50" s="69"/>
      <c r="BW50" s="69"/>
      <c r="BX50" s="69"/>
      <c r="BY50" s="69"/>
      <c r="BZ50" s="69"/>
      <c r="CA50" s="69"/>
      <c r="CB50" s="69"/>
      <c r="CC50" s="69"/>
      <c r="CD50" s="441"/>
    </row>
    <row r="51" spans="1:82" ht="14" x14ac:dyDescent="0.15">
      <c r="A51" s="283"/>
      <c r="B51" s="301"/>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1162" t="s">
        <v>672</v>
      </c>
      <c r="AI51" s="1162"/>
      <c r="AJ51" s="1162"/>
      <c r="AK51" s="1162"/>
      <c r="AL51" s="1162"/>
      <c r="AM51" s="1162"/>
      <c r="AN51" s="1162"/>
      <c r="AO51" s="1162"/>
      <c r="AP51" s="1162"/>
      <c r="AQ51" s="1162"/>
      <c r="AR51" s="1162"/>
      <c r="AS51" s="1162"/>
      <c r="AT51" s="1162"/>
      <c r="AU51" s="1162"/>
      <c r="AV51" s="1162"/>
      <c r="AW51" s="1162"/>
      <c r="AX51" s="1162"/>
      <c r="AY51" s="1162"/>
      <c r="AZ51" s="1162"/>
      <c r="BA51" s="1162"/>
      <c r="BB51" s="1162"/>
      <c r="BC51" s="1162"/>
      <c r="BD51" s="1162"/>
      <c r="BE51" s="1162"/>
      <c r="BF51" s="1162"/>
      <c r="BG51" s="302"/>
      <c r="BH51" s="284"/>
      <c r="BI51" s="443" t="str">
        <f>+IF(U49="MFB Kisfaludy Turizmus-fejlesztési Hitelprogram","b","")</f>
        <v/>
      </c>
      <c r="BJ51" s="221" t="str">
        <f>IF(BP49=1,"MFB Kisfaludy Turizmus-fejlesztési Hitelprogram","")</f>
        <v/>
      </c>
      <c r="BK51" s="222"/>
      <c r="BL51" s="222"/>
      <c r="BM51" s="69"/>
      <c r="BN51" s="69"/>
      <c r="BO51" s="69"/>
      <c r="BP51" s="285" t="str">
        <f>+IF(U47="MFB NHP Fix Lízing Refinanszírozási Program",3,"")</f>
        <v/>
      </c>
      <c r="BQ51" s="255" t="s">
        <v>488</v>
      </c>
      <c r="BR51" s="254"/>
      <c r="BS51" s="222"/>
      <c r="BT51" s="222"/>
      <c r="BU51" s="69"/>
      <c r="BV51" s="69"/>
      <c r="BW51" s="69"/>
      <c r="BX51" s="69"/>
      <c r="BY51" s="285" t="s">
        <v>671</v>
      </c>
      <c r="BZ51" s="69"/>
      <c r="CA51" s="69"/>
      <c r="CB51" s="69"/>
      <c r="CC51" s="69"/>
      <c r="CD51" s="441"/>
    </row>
    <row r="52" spans="1:82" ht="14" x14ac:dyDescent="0.15">
      <c r="A52" s="283"/>
      <c r="B52" s="301"/>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1180" t="str">
        <f t="shared" ref="AH52:AH60" si="0">+BY52</f>
        <v/>
      </c>
      <c r="AI52" s="1181"/>
      <c r="AJ52" s="1181"/>
      <c r="AK52" s="1181"/>
      <c r="AL52" s="1181"/>
      <c r="AM52" s="1181"/>
      <c r="AN52" s="1181"/>
      <c r="AO52" s="1181"/>
      <c r="AP52" s="1181"/>
      <c r="AQ52" s="1181"/>
      <c r="AR52" s="1181"/>
      <c r="AS52" s="1181"/>
      <c r="AT52" s="1181"/>
      <c r="AU52" s="1181"/>
      <c r="AV52" s="1181"/>
      <c r="AW52" s="1181"/>
      <c r="AX52" s="1181"/>
      <c r="AY52" s="1181"/>
      <c r="AZ52" s="1181"/>
      <c r="BA52" s="1181"/>
      <c r="BB52" s="1181"/>
      <c r="BC52" s="1181"/>
      <c r="BD52" s="1181"/>
      <c r="BE52" s="1181"/>
      <c r="BF52" s="1182"/>
      <c r="BG52" s="302"/>
      <c r="BH52" s="284"/>
      <c r="BI52" s="443" t="str">
        <f>+IF(U49="Patika Hitelprogram","c","")</f>
        <v/>
      </c>
      <c r="BJ52" s="221" t="str">
        <f>IF(BP49=1,"Patika Hitelprogram","")</f>
        <v/>
      </c>
      <c r="BK52" s="222"/>
      <c r="BL52" s="222"/>
      <c r="BM52" s="69"/>
      <c r="BN52" s="69"/>
      <c r="BO52" s="69"/>
      <c r="BP52" s="285" t="str">
        <f>+IF(U47=BQ52,4,"")</f>
        <v/>
      </c>
      <c r="BQ52" s="253" t="s">
        <v>1146</v>
      </c>
      <c r="BR52" s="254"/>
      <c r="BS52" s="222"/>
      <c r="BT52" s="222"/>
      <c r="BU52" s="69"/>
      <c r="BV52" s="69"/>
      <c r="BW52" s="69"/>
      <c r="BX52" s="69"/>
      <c r="BY52" s="285" t="str">
        <f>+IF(OR(BP50=2,BP52=4,BI50="a",BI51="b",BI52="c",BP53=5),"általános csekély összegű támogatás","")</f>
        <v/>
      </c>
      <c r="BZ52" s="69"/>
      <c r="CA52" s="69"/>
      <c r="CB52" s="69"/>
      <c r="CC52" s="69"/>
      <c r="CD52" s="441"/>
    </row>
    <row r="53" spans="1:82" ht="14" x14ac:dyDescent="0.15">
      <c r="A53" s="283"/>
      <c r="B53" s="301"/>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1164" t="str">
        <f t="shared" si="0"/>
        <v/>
      </c>
      <c r="AI53" s="1163"/>
      <c r="AJ53" s="1163"/>
      <c r="AK53" s="1163"/>
      <c r="AL53" s="1163"/>
      <c r="AM53" s="1163"/>
      <c r="AN53" s="1163"/>
      <c r="AO53" s="1163"/>
      <c r="AP53" s="1163"/>
      <c r="AQ53" s="1163"/>
      <c r="AR53" s="1163"/>
      <c r="AS53" s="1163"/>
      <c r="AT53" s="1163"/>
      <c r="AU53" s="1163"/>
      <c r="AV53" s="1163"/>
      <c r="AW53" s="1163"/>
      <c r="AX53" s="1163"/>
      <c r="AY53" s="1163"/>
      <c r="AZ53" s="1163"/>
      <c r="BA53" s="1163"/>
      <c r="BB53" s="1163"/>
      <c r="BC53" s="1163"/>
      <c r="BD53" s="1163"/>
      <c r="BE53" s="1163"/>
      <c r="BF53" s="1165"/>
      <c r="BG53" s="302"/>
      <c r="BH53" s="284"/>
      <c r="BI53" s="444"/>
      <c r="BJ53" s="269"/>
      <c r="BK53" s="219"/>
      <c r="BL53" s="219"/>
      <c r="BM53" s="69"/>
      <c r="BN53" s="69"/>
      <c r="BO53" s="69"/>
      <c r="BP53" s="285" t="str">
        <f>+IF(U47="MFB Régió Versenyképességi Pénzügyi Vállalkozás Refinanszírozási Program",5,"")</f>
        <v/>
      </c>
      <c r="BQ53" s="1107" t="s">
        <v>1086</v>
      </c>
      <c r="BR53" s="217"/>
      <c r="BS53" s="219"/>
      <c r="BT53" s="219"/>
      <c r="BU53" s="69"/>
      <c r="BV53" s="69"/>
      <c r="BW53" s="69"/>
      <c r="BX53" s="69"/>
      <c r="BY53" s="285" t="str">
        <f>+IF(OR(BP50=2,BP51=3,BP52=4,BI50="a",BI51="b"),"regionális beruházási támogatás","")</f>
        <v/>
      </c>
      <c r="BZ53" s="69"/>
      <c r="CA53" s="69"/>
      <c r="CB53" s="69"/>
      <c r="CC53" s="69"/>
      <c r="CD53" s="441"/>
    </row>
    <row r="54" spans="1:82" ht="14" x14ac:dyDescent="0.15">
      <c r="A54" s="283"/>
      <c r="B54" s="301"/>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1164" t="str">
        <f t="shared" si="0"/>
        <v/>
      </c>
      <c r="AI54" s="1163"/>
      <c r="AJ54" s="1163"/>
      <c r="AK54" s="1163"/>
      <c r="AL54" s="1163"/>
      <c r="AM54" s="1163"/>
      <c r="AN54" s="1163"/>
      <c r="AO54" s="1163"/>
      <c r="AP54" s="1163"/>
      <c r="AQ54" s="1163"/>
      <c r="AR54" s="1163"/>
      <c r="AS54" s="1163"/>
      <c r="AT54" s="1163"/>
      <c r="AU54" s="1163"/>
      <c r="AV54" s="1163"/>
      <c r="AW54" s="1163"/>
      <c r="AX54" s="1163"/>
      <c r="AY54" s="1163"/>
      <c r="AZ54" s="1163"/>
      <c r="BA54" s="1163"/>
      <c r="BB54" s="1163"/>
      <c r="BC54" s="1163"/>
      <c r="BD54" s="1163"/>
      <c r="BE54" s="1163"/>
      <c r="BF54" s="1165"/>
      <c r="BG54" s="302"/>
      <c r="BH54" s="284"/>
      <c r="BI54" s="444"/>
      <c r="BJ54" s="269"/>
      <c r="BK54" s="219"/>
      <c r="BL54" s="219"/>
      <c r="BM54" s="69"/>
      <c r="BN54" s="69"/>
      <c r="BO54" s="69"/>
      <c r="BP54" s="69"/>
      <c r="BQ54" s="217"/>
      <c r="BR54" s="217"/>
      <c r="BS54" s="219"/>
      <c r="BT54" s="219"/>
      <c r="BU54" s="69"/>
      <c r="BV54" s="69"/>
      <c r="BW54" s="69"/>
      <c r="BX54" s="69"/>
      <c r="BY54" s="286" t="str">
        <f>+IF(OR(BI51="b"),"megújuló energiatermelésre irányuló beruházási támogatás","")</f>
        <v/>
      </c>
      <c r="BZ54" s="69"/>
      <c r="CA54" s="69"/>
      <c r="CB54" s="69"/>
      <c r="CC54" s="69"/>
      <c r="CD54" s="441"/>
    </row>
    <row r="55" spans="1:82" ht="14" x14ac:dyDescent="0.15">
      <c r="A55" s="283"/>
      <c r="B55" s="301"/>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1164" t="str">
        <f t="shared" si="0"/>
        <v/>
      </c>
      <c r="AI55" s="1163"/>
      <c r="AJ55" s="1163"/>
      <c r="AK55" s="1163"/>
      <c r="AL55" s="1163"/>
      <c r="AM55" s="1163"/>
      <c r="AN55" s="1163"/>
      <c r="AO55" s="1163"/>
      <c r="AP55" s="1163"/>
      <c r="AQ55" s="1163"/>
      <c r="AR55" s="1163"/>
      <c r="AS55" s="1163"/>
      <c r="AT55" s="1163"/>
      <c r="AU55" s="1163"/>
      <c r="AV55" s="1163"/>
      <c r="AW55" s="1163"/>
      <c r="AX55" s="1163"/>
      <c r="AY55" s="1163"/>
      <c r="AZ55" s="1163"/>
      <c r="BA55" s="1163"/>
      <c r="BB55" s="1163"/>
      <c r="BC55" s="1163"/>
      <c r="BD55" s="1163"/>
      <c r="BE55" s="1163"/>
      <c r="BF55" s="1165"/>
      <c r="BG55" s="302"/>
      <c r="BH55" s="284"/>
      <c r="BI55" s="444"/>
      <c r="BJ55" s="270"/>
      <c r="BK55" s="219"/>
      <c r="BL55" s="219"/>
      <c r="BM55" s="69"/>
      <c r="BN55" s="69"/>
      <c r="BO55" s="69"/>
      <c r="BP55" s="69"/>
      <c r="BQ55" s="218"/>
      <c r="BR55" s="218"/>
      <c r="BS55" s="219"/>
      <c r="BT55" s="219"/>
      <c r="BU55" s="69"/>
      <c r="BV55" s="69"/>
      <c r="BW55" s="69"/>
      <c r="BX55" s="69"/>
      <c r="BY55" s="285" t="str">
        <f>+IF(BI51="b","helyi infrastruktúrára irányuló támogatás","")</f>
        <v/>
      </c>
      <c r="BZ55" s="69"/>
      <c r="CA55" s="69"/>
      <c r="CB55" s="69"/>
      <c r="CC55" s="69"/>
      <c r="CD55" s="441"/>
    </row>
    <row r="56" spans="1:82" ht="14" x14ac:dyDescent="0.15">
      <c r="A56" s="283"/>
      <c r="B56" s="301"/>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1164" t="str">
        <f t="shared" si="0"/>
        <v/>
      </c>
      <c r="AI56" s="1163"/>
      <c r="AJ56" s="1163"/>
      <c r="AK56" s="1163"/>
      <c r="AL56" s="1163"/>
      <c r="AM56" s="1163"/>
      <c r="AN56" s="1163"/>
      <c r="AO56" s="1163"/>
      <c r="AP56" s="1163"/>
      <c r="AQ56" s="1163"/>
      <c r="AR56" s="1163"/>
      <c r="AS56" s="1163"/>
      <c r="AT56" s="1163"/>
      <c r="AU56" s="1163"/>
      <c r="AV56" s="1163"/>
      <c r="AW56" s="1163"/>
      <c r="AX56" s="1163"/>
      <c r="AY56" s="1163"/>
      <c r="AZ56" s="1163"/>
      <c r="BA56" s="1163"/>
      <c r="BB56" s="1163"/>
      <c r="BC56" s="1163"/>
      <c r="BD56" s="1163"/>
      <c r="BE56" s="1163"/>
      <c r="BF56" s="1165"/>
      <c r="BG56" s="302"/>
      <c r="BH56" s="284"/>
      <c r="BI56" s="445"/>
      <c r="BJ56" s="219"/>
      <c r="BK56" s="219"/>
      <c r="BL56" s="219"/>
      <c r="BM56" s="69"/>
      <c r="BN56" s="69"/>
      <c r="BO56" s="69"/>
      <c r="BP56" s="69"/>
      <c r="BQ56" s="218"/>
      <c r="BR56" s="218"/>
      <c r="BS56" s="219"/>
      <c r="BT56" s="219"/>
      <c r="BU56" s="69"/>
      <c r="BV56" s="69"/>
      <c r="BW56" s="69"/>
      <c r="BX56" s="69"/>
      <c r="BY56" s="285" t="str">
        <f>+IF(OR(BP50=2,BP51=3,BP52=4),"KKV-knak nyújtott beruházási támogatás","")</f>
        <v/>
      </c>
      <c r="BZ56" s="69"/>
      <c r="CA56" s="69"/>
      <c r="CB56" s="69"/>
      <c r="CC56" s="69"/>
      <c r="CD56" s="441"/>
    </row>
    <row r="57" spans="1:82" ht="14" x14ac:dyDescent="0.15">
      <c r="A57" s="283"/>
      <c r="B57" s="301"/>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1164" t="str">
        <f t="shared" si="0"/>
        <v/>
      </c>
      <c r="AI57" s="1163"/>
      <c r="AJ57" s="1163"/>
      <c r="AK57" s="1163"/>
      <c r="AL57" s="1163"/>
      <c r="AM57" s="1163"/>
      <c r="AN57" s="1163"/>
      <c r="AO57" s="1163"/>
      <c r="AP57" s="1163"/>
      <c r="AQ57" s="1163"/>
      <c r="AR57" s="1163"/>
      <c r="AS57" s="1163"/>
      <c r="AT57" s="1163"/>
      <c r="AU57" s="1163"/>
      <c r="AV57" s="1163"/>
      <c r="AW57" s="1163"/>
      <c r="AX57" s="1163"/>
      <c r="AY57" s="1163"/>
      <c r="AZ57" s="1163"/>
      <c r="BA57" s="1163"/>
      <c r="BB57" s="1163"/>
      <c r="BC57" s="1163"/>
      <c r="BD57" s="1163"/>
      <c r="BE57" s="1163"/>
      <c r="BF57" s="1165"/>
      <c r="BG57" s="302"/>
      <c r="BH57" s="284"/>
      <c r="BI57" s="445"/>
      <c r="BJ57" s="219"/>
      <c r="BK57" s="219"/>
      <c r="BL57" s="219"/>
      <c r="BM57" s="69"/>
      <c r="BN57" s="69"/>
      <c r="BO57" s="69"/>
      <c r="BP57" s="69"/>
      <c r="BQ57" s="218"/>
      <c r="BR57" s="218"/>
      <c r="BS57" s="219"/>
      <c r="BT57" s="219"/>
      <c r="BU57" s="69"/>
      <c r="BV57" s="69"/>
      <c r="BW57" s="69"/>
      <c r="BX57" s="69"/>
      <c r="BY57" s="285" t="str">
        <f>+IF(OR(BP50=2,BP52=4,BP53=5),"mezőgazdasági csekély összegű támogatás","")</f>
        <v/>
      </c>
      <c r="BZ57" s="69"/>
      <c r="CA57" s="69"/>
      <c r="CB57" s="69"/>
      <c r="CC57" s="69"/>
      <c r="CD57" s="441"/>
    </row>
    <row r="58" spans="1:82" ht="14" x14ac:dyDescent="0.15">
      <c r="A58" s="283"/>
      <c r="B58" s="301"/>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1164" t="str">
        <f t="shared" si="0"/>
        <v/>
      </c>
      <c r="AI58" s="1163"/>
      <c r="AJ58" s="1163"/>
      <c r="AK58" s="1163"/>
      <c r="AL58" s="1163"/>
      <c r="AM58" s="1163"/>
      <c r="AN58" s="1163"/>
      <c r="AO58" s="1163"/>
      <c r="AP58" s="1163"/>
      <c r="AQ58" s="1163"/>
      <c r="AR58" s="1163"/>
      <c r="AS58" s="1163"/>
      <c r="AT58" s="1163"/>
      <c r="AU58" s="1163"/>
      <c r="AV58" s="1163"/>
      <c r="AW58" s="1163"/>
      <c r="AX58" s="1163"/>
      <c r="AY58" s="1163"/>
      <c r="AZ58" s="1163"/>
      <c r="BA58" s="1163"/>
      <c r="BB58" s="1163"/>
      <c r="BC58" s="1163"/>
      <c r="BD58" s="1163"/>
      <c r="BE58" s="1163"/>
      <c r="BF58" s="1165"/>
      <c r="BG58" s="302"/>
      <c r="BH58" s="284"/>
      <c r="BI58" s="445"/>
      <c r="BJ58" s="219"/>
      <c r="BK58" s="219"/>
      <c r="BL58" s="219"/>
      <c r="BM58" s="69"/>
      <c r="BN58" s="69"/>
      <c r="BO58" s="69"/>
      <c r="BP58" s="69"/>
      <c r="BQ58" s="218"/>
      <c r="BR58" s="218"/>
      <c r="BS58" s="219"/>
      <c r="BT58" s="219"/>
      <c r="BU58" s="69"/>
      <c r="BV58" s="69"/>
      <c r="BW58" s="69"/>
      <c r="BX58" s="69"/>
      <c r="BY58" s="285" t="str">
        <f>+IF(OR(BP50=2,BP51=3,BP52=4),"mezőgazdasági termékek feldolgozásának, forgalmazásának támogatása","")</f>
        <v/>
      </c>
      <c r="BZ58" s="69"/>
      <c r="CA58" s="69"/>
      <c r="CB58" s="69"/>
      <c r="CC58" s="69"/>
      <c r="CD58" s="441"/>
    </row>
    <row r="59" spans="1:82" ht="14" x14ac:dyDescent="0.15">
      <c r="A59" s="283"/>
      <c r="B59" s="301"/>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1164" t="str">
        <f t="shared" si="0"/>
        <v/>
      </c>
      <c r="AI59" s="1163"/>
      <c r="AJ59" s="1163"/>
      <c r="AK59" s="1163"/>
      <c r="AL59" s="1163"/>
      <c r="AM59" s="1163"/>
      <c r="AN59" s="1163"/>
      <c r="AO59" s="1163"/>
      <c r="AP59" s="1163"/>
      <c r="AQ59" s="1163"/>
      <c r="AR59" s="1163"/>
      <c r="AS59" s="1163"/>
      <c r="AT59" s="1163"/>
      <c r="AU59" s="1163"/>
      <c r="AV59" s="1163"/>
      <c r="AW59" s="1163"/>
      <c r="AX59" s="1163"/>
      <c r="AY59" s="1163"/>
      <c r="AZ59" s="1163"/>
      <c r="BA59" s="1163"/>
      <c r="BB59" s="1163"/>
      <c r="BC59" s="1163"/>
      <c r="BD59" s="1163"/>
      <c r="BE59" s="1163"/>
      <c r="BF59" s="1165"/>
      <c r="BG59" s="302"/>
      <c r="BH59" s="284"/>
      <c r="BI59" s="445"/>
      <c r="BJ59" s="219"/>
      <c r="BK59" s="219"/>
      <c r="BL59" s="219"/>
      <c r="BM59" s="69"/>
      <c r="BN59" s="69"/>
      <c r="BO59" s="69"/>
      <c r="BP59" s="69"/>
      <c r="BQ59" s="217"/>
      <c r="BR59" s="217"/>
      <c r="BS59" s="219"/>
      <c r="BT59" s="219"/>
      <c r="BU59" s="69"/>
      <c r="BV59" s="69"/>
      <c r="BW59" s="69"/>
      <c r="BX59" s="69"/>
      <c r="BY59" s="285" t="str">
        <f>+IF(OR(BP50=2,BP51=3,BP52=4),"elsődleges mezőgazdasági termeléshez kapcsolódó támogatás","")</f>
        <v/>
      </c>
      <c r="BZ59" s="69"/>
      <c r="CA59" s="69"/>
      <c r="CB59" s="69"/>
      <c r="CC59" s="69"/>
      <c r="CD59" s="441"/>
    </row>
    <row r="60" spans="1:82" ht="14" x14ac:dyDescent="0.15">
      <c r="A60" s="283"/>
      <c r="B60" s="301"/>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1184" t="str">
        <f t="shared" si="0"/>
        <v/>
      </c>
      <c r="AI60" s="1185"/>
      <c r="AJ60" s="1185"/>
      <c r="AK60" s="1185"/>
      <c r="AL60" s="1185"/>
      <c r="AM60" s="1185"/>
      <c r="AN60" s="1185"/>
      <c r="AO60" s="1185"/>
      <c r="AP60" s="1185"/>
      <c r="AQ60" s="1185"/>
      <c r="AR60" s="1185"/>
      <c r="AS60" s="1185"/>
      <c r="AT60" s="1185"/>
      <c r="AU60" s="1185"/>
      <c r="AV60" s="1185"/>
      <c r="AW60" s="1185"/>
      <c r="AX60" s="1185"/>
      <c r="AY60" s="1185"/>
      <c r="AZ60" s="1185"/>
      <c r="BA60" s="1185"/>
      <c r="BB60" s="1185"/>
      <c r="BC60" s="1185"/>
      <c r="BD60" s="1185"/>
      <c r="BE60" s="1185"/>
      <c r="BF60" s="1186"/>
      <c r="BG60" s="302"/>
      <c r="BH60" s="284"/>
      <c r="BI60" s="445"/>
      <c r="BJ60" s="219"/>
      <c r="BK60" s="219"/>
      <c r="BL60" s="219"/>
      <c r="BM60" s="69"/>
      <c r="BN60" s="69"/>
      <c r="BO60" s="69"/>
      <c r="BP60" s="69"/>
      <c r="BQ60" s="217"/>
      <c r="BR60" s="217"/>
      <c r="BS60" s="219"/>
      <c r="BT60" s="219"/>
      <c r="BU60" s="69"/>
      <c r="BV60" s="69"/>
      <c r="BW60" s="69"/>
      <c r="BX60" s="69"/>
      <c r="BY60" s="285" t="str">
        <f>IF(BP50=5,"halászati csekély összegű","")</f>
        <v/>
      </c>
      <c r="BZ60" s="69"/>
      <c r="CA60" s="69"/>
      <c r="CB60" s="69"/>
      <c r="CC60" s="69"/>
      <c r="CD60" s="441"/>
    </row>
    <row r="61" spans="1:82" x14ac:dyDescent="0.15">
      <c r="A61" s="283"/>
      <c r="B61" s="301"/>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4"/>
      <c r="BF61" s="284"/>
      <c r="BG61" s="302"/>
      <c r="BH61" s="284"/>
      <c r="BI61" s="73"/>
      <c r="BJ61" s="69"/>
      <c r="BK61" s="69"/>
      <c r="BL61" s="69"/>
      <c r="BM61" s="228"/>
      <c r="BN61" s="69"/>
      <c r="BO61" s="69"/>
      <c r="BP61" s="69"/>
      <c r="BQ61" s="69"/>
      <c r="BR61" s="69"/>
      <c r="BS61" s="69"/>
      <c r="BT61" s="69"/>
      <c r="BU61" s="69"/>
      <c r="BV61" s="69"/>
      <c r="BW61" s="69"/>
      <c r="BX61" s="69"/>
      <c r="BY61" s="69"/>
      <c r="BZ61" s="69"/>
      <c r="CA61" s="69"/>
      <c r="CB61" s="69"/>
      <c r="CC61" s="69"/>
      <c r="CD61" s="441"/>
    </row>
    <row r="62" spans="1:82" x14ac:dyDescent="0.15">
      <c r="A62" s="283"/>
      <c r="B62" s="303"/>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4"/>
      <c r="BH62" s="284"/>
      <c r="BI62" s="73"/>
      <c r="BJ62" s="69"/>
      <c r="BK62" s="69"/>
      <c r="BL62" s="69"/>
      <c r="BM62" s="228"/>
      <c r="BN62" s="69"/>
      <c r="BO62" s="69"/>
      <c r="BP62" s="69"/>
      <c r="BQ62" s="69"/>
      <c r="BR62" s="69"/>
      <c r="BS62" s="69"/>
      <c r="BT62" s="69"/>
      <c r="BU62" s="69"/>
      <c r="BV62" s="69"/>
      <c r="BW62" s="69"/>
      <c r="BX62" s="69"/>
      <c r="BY62" s="69"/>
      <c r="BZ62" s="69"/>
      <c r="CA62" s="69"/>
      <c r="CB62" s="69"/>
      <c r="CC62" s="69"/>
      <c r="CD62" s="441"/>
    </row>
    <row r="63" spans="1:82" ht="14" x14ac:dyDescent="0.15">
      <c r="A63" s="283"/>
      <c r="B63" s="1171" t="s">
        <v>858</v>
      </c>
      <c r="C63" s="1172"/>
      <c r="D63" s="1172"/>
      <c r="E63" s="1172"/>
      <c r="F63" s="1172"/>
      <c r="G63" s="1172"/>
      <c r="H63" s="1172"/>
      <c r="I63" s="1172"/>
      <c r="J63" s="1172"/>
      <c r="K63" s="1172"/>
      <c r="L63" s="1172"/>
      <c r="M63" s="1172"/>
      <c r="N63" s="1172"/>
      <c r="O63" s="1172"/>
      <c r="P63" s="1172"/>
      <c r="Q63" s="1172"/>
      <c r="R63" s="1172"/>
      <c r="S63" s="1172"/>
      <c r="T63" s="1172"/>
      <c r="U63" s="1172"/>
      <c r="V63" s="1172"/>
      <c r="W63" s="1172"/>
      <c r="X63" s="1172"/>
      <c r="Y63" s="1172"/>
      <c r="Z63" s="1172"/>
      <c r="AA63" s="1172"/>
      <c r="AB63" s="1172"/>
      <c r="AC63" s="1172"/>
      <c r="AD63" s="1172"/>
      <c r="AE63" s="1172"/>
      <c r="AF63" s="1172"/>
      <c r="AG63" s="1172"/>
      <c r="AH63" s="1172"/>
      <c r="AI63" s="1172"/>
      <c r="AJ63" s="1172"/>
      <c r="AK63" s="1172"/>
      <c r="AL63" s="1172"/>
      <c r="AM63" s="1172"/>
      <c r="AN63" s="1172"/>
      <c r="AO63" s="1172"/>
      <c r="AP63" s="1172"/>
      <c r="AQ63" s="1172"/>
      <c r="AR63" s="1172"/>
      <c r="AS63" s="1172"/>
      <c r="AT63" s="1172"/>
      <c r="AU63" s="1172"/>
      <c r="AV63" s="1172"/>
      <c r="AW63" s="1172"/>
      <c r="AX63" s="1172"/>
      <c r="AY63" s="1172"/>
      <c r="AZ63" s="1172"/>
      <c r="BA63" s="1172"/>
      <c r="BB63" s="1172"/>
      <c r="BC63" s="1172"/>
      <c r="BD63" s="1172"/>
      <c r="BE63" s="1172"/>
      <c r="BF63" s="1172"/>
      <c r="BG63" s="1173"/>
      <c r="BH63" s="265"/>
      <c r="BI63" s="73"/>
      <c r="BJ63" s="69"/>
      <c r="BK63" s="69"/>
      <c r="BL63" s="69"/>
      <c r="BM63" s="69"/>
      <c r="BN63" s="69"/>
      <c r="BO63" s="69"/>
      <c r="BP63" s="69"/>
      <c r="BQ63" s="69"/>
      <c r="BR63" s="69"/>
      <c r="BS63" s="69"/>
      <c r="BT63" s="69"/>
      <c r="BU63" s="69"/>
      <c r="BV63" s="69"/>
      <c r="BW63" s="69"/>
      <c r="BX63" s="69"/>
      <c r="BY63" s="69"/>
      <c r="BZ63" s="69"/>
      <c r="CA63" s="69"/>
      <c r="CB63" s="69"/>
      <c r="CC63" s="69"/>
      <c r="CD63" s="441"/>
    </row>
    <row r="64" spans="1:82" ht="14" x14ac:dyDescent="0.15">
      <c r="A64" s="287"/>
      <c r="B64" s="930"/>
      <c r="C64" s="534"/>
      <c r="D64" s="534"/>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311"/>
      <c r="BH64" s="69"/>
      <c r="BI64" s="73"/>
      <c r="BJ64" s="69"/>
      <c r="BK64" s="69"/>
      <c r="BL64" s="69"/>
      <c r="BM64" s="69"/>
      <c r="BN64" s="69"/>
      <c r="BO64" s="69"/>
      <c r="BP64" s="69"/>
      <c r="BQ64" s="69"/>
      <c r="BR64" s="69"/>
      <c r="BS64" s="69"/>
      <c r="BT64" s="69"/>
      <c r="BU64" s="69"/>
      <c r="BV64" s="69"/>
      <c r="BW64" s="69"/>
      <c r="BX64" s="69"/>
      <c r="BY64" s="69"/>
      <c r="BZ64" s="69"/>
      <c r="CA64" s="69"/>
      <c r="CB64" s="69"/>
      <c r="CC64" s="69"/>
      <c r="CD64" s="441"/>
    </row>
    <row r="65" spans="1:82" ht="15" x14ac:dyDescent="0.15">
      <c r="A65" s="287"/>
      <c r="B65" s="930"/>
      <c r="C65" s="534"/>
      <c r="D65" s="534"/>
      <c r="E65" s="252"/>
      <c r="F65" s="1197" t="str">
        <f>+IF(BP52=4,"Amennyiben még nem ismeri a kiválasztani kívánt támogatási kategóriát, kérem csak akkor töltse ki az alábbi kérdésekre a választ!","")</f>
        <v/>
      </c>
      <c r="G65" s="1197"/>
      <c r="H65" s="1197"/>
      <c r="I65" s="1197"/>
      <c r="J65" s="1197"/>
      <c r="K65" s="1197"/>
      <c r="L65" s="1197"/>
      <c r="M65" s="1197"/>
      <c r="N65" s="1197"/>
      <c r="O65" s="1197"/>
      <c r="P65" s="1197"/>
      <c r="Q65" s="1197"/>
      <c r="R65" s="1197"/>
      <c r="S65" s="1197"/>
      <c r="T65" s="1197"/>
      <c r="U65" s="1197"/>
      <c r="V65" s="1197"/>
      <c r="W65" s="1197"/>
      <c r="X65" s="1197"/>
      <c r="Y65" s="1197"/>
      <c r="Z65" s="1197"/>
      <c r="AA65" s="1197"/>
      <c r="AB65" s="1197"/>
      <c r="AC65" s="1197"/>
      <c r="AD65" s="1197"/>
      <c r="AE65" s="1197"/>
      <c r="AF65" s="1197"/>
      <c r="AG65" s="1197"/>
      <c r="AH65" s="1197"/>
      <c r="AI65" s="1197"/>
      <c r="AJ65" s="1197"/>
      <c r="AK65" s="1197"/>
      <c r="AL65" s="1197"/>
      <c r="AM65" s="1197"/>
      <c r="AN65" s="1197"/>
      <c r="AO65" s="1197"/>
      <c r="AP65" s="1197"/>
      <c r="AQ65" s="1197"/>
      <c r="AR65" s="1197"/>
      <c r="AS65" s="1197"/>
      <c r="AT65" s="1197"/>
      <c r="AU65" s="1197"/>
      <c r="AV65" s="1197"/>
      <c r="AW65" s="1197"/>
      <c r="AX65" s="1197"/>
      <c r="AY65" s="1197"/>
      <c r="AZ65" s="1197"/>
      <c r="BA65" s="1197"/>
      <c r="BB65" s="1197"/>
      <c r="BC65" s="1197"/>
      <c r="BD65" s="1197"/>
      <c r="BE65" s="1197"/>
      <c r="BF65" s="252"/>
      <c r="BG65" s="311"/>
      <c r="BH65" s="69"/>
      <c r="BI65" s="73"/>
      <c r="BJ65" s="69"/>
      <c r="BK65" s="69"/>
      <c r="BL65" s="69"/>
      <c r="BM65" s="69"/>
      <c r="BN65" s="69"/>
      <c r="BO65" s="69"/>
      <c r="BP65" s="69"/>
      <c r="BQ65" s="69"/>
      <c r="BR65" s="69"/>
      <c r="BS65" s="69"/>
      <c r="BT65" s="69"/>
      <c r="BU65" s="69"/>
      <c r="BV65" s="69"/>
      <c r="BW65" s="69"/>
      <c r="BX65" s="69"/>
      <c r="BY65" s="69"/>
      <c r="BZ65" s="69"/>
      <c r="CA65" s="69"/>
      <c r="CB65" s="69"/>
      <c r="CC65" s="69"/>
      <c r="CD65" s="441"/>
    </row>
    <row r="66" spans="1:82" ht="14" x14ac:dyDescent="0.15">
      <c r="A66" s="287"/>
      <c r="B66" s="930"/>
      <c r="C66" s="534"/>
      <c r="D66" s="534"/>
      <c r="E66" s="1162" t="s">
        <v>532</v>
      </c>
      <c r="F66" s="1162"/>
      <c r="G66" s="1162"/>
      <c r="H66" s="1162"/>
      <c r="I66" s="1162"/>
      <c r="J66" s="1162"/>
      <c r="K66" s="1162"/>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2"/>
      <c r="AK66" s="1162"/>
      <c r="AL66" s="1162" t="s">
        <v>533</v>
      </c>
      <c r="AM66" s="1162"/>
      <c r="AN66" s="1162"/>
      <c r="AO66" s="1162"/>
      <c r="AP66" s="1162"/>
      <c r="AQ66" s="1162"/>
      <c r="AR66" s="1162"/>
      <c r="AS66" s="1162"/>
      <c r="AT66" s="1162"/>
      <c r="AU66" s="1162"/>
      <c r="AV66" s="1162"/>
      <c r="AW66" s="1162"/>
      <c r="AX66" s="1162"/>
      <c r="AY66" s="1162"/>
      <c r="AZ66" s="1162"/>
      <c r="BA66" s="1162"/>
      <c r="BB66" s="1162"/>
      <c r="BC66" s="1162"/>
      <c r="BD66" s="1162"/>
      <c r="BE66" s="1162"/>
      <c r="BF66" s="252"/>
      <c r="BG66" s="311"/>
      <c r="BH66" s="69"/>
      <c r="BI66" s="73"/>
      <c r="BJ66" s="69"/>
      <c r="BK66" s="69"/>
      <c r="BL66" s="69"/>
      <c r="BM66" s="69"/>
      <c r="BN66" s="69"/>
      <c r="BO66" s="69"/>
      <c r="BP66" s="69"/>
      <c r="BQ66" s="69"/>
      <c r="BR66" s="69"/>
      <c r="BS66" s="69"/>
      <c r="BT66" s="69"/>
      <c r="BU66" s="69"/>
      <c r="BV66" s="69"/>
      <c r="BW66" s="69"/>
      <c r="BX66" s="69"/>
      <c r="BY66" s="285" t="s">
        <v>550</v>
      </c>
      <c r="BZ66" s="69"/>
      <c r="CA66" s="69"/>
      <c r="CB66" s="69"/>
      <c r="CC66" s="69"/>
      <c r="CD66" s="441"/>
    </row>
    <row r="67" spans="1:82" ht="14" x14ac:dyDescent="0.15">
      <c r="A67" s="287"/>
      <c r="B67" s="930"/>
      <c r="C67" s="534"/>
      <c r="D67" s="534"/>
      <c r="E67" s="1198" t="str">
        <f>IF(BU79="kell","A finanszírozás típusa beruházási hitel vagy lízing?","")</f>
        <v/>
      </c>
      <c r="F67" s="1198"/>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c r="AD67" s="1198"/>
      <c r="AE67" s="1198"/>
      <c r="AF67" s="1198"/>
      <c r="AG67" s="1198"/>
      <c r="AH67" s="252"/>
      <c r="AI67" s="252"/>
      <c r="AJ67" s="252"/>
      <c r="AK67" s="252"/>
      <c r="AL67" s="1183" t="s">
        <v>380</v>
      </c>
      <c r="AM67" s="1183"/>
      <c r="AN67" s="1183"/>
      <c r="AO67" s="1183"/>
      <c r="AP67" s="1183"/>
      <c r="AQ67" s="1183"/>
      <c r="AR67" s="1183"/>
      <c r="AS67" s="1183"/>
      <c r="AT67" s="1183"/>
      <c r="AU67" s="1183"/>
      <c r="AV67" s="1183"/>
      <c r="AW67" s="1183"/>
      <c r="AX67" s="1183"/>
      <c r="AY67" s="1183"/>
      <c r="AZ67" s="1183"/>
      <c r="BA67" s="1183"/>
      <c r="BB67" s="1183"/>
      <c r="BC67" s="1183"/>
      <c r="BD67" s="1183"/>
      <c r="BE67" s="1183"/>
      <c r="BF67" s="252"/>
      <c r="BG67" s="311"/>
      <c r="BH67" s="69"/>
      <c r="BI67" s="73"/>
      <c r="BJ67" s="69"/>
      <c r="BK67" s="69"/>
      <c r="BL67" s="69"/>
      <c r="BM67" s="69"/>
      <c r="BN67" s="69"/>
      <c r="BO67" s="69"/>
      <c r="BP67" s="69"/>
      <c r="BQ67" s="69"/>
      <c r="BR67" s="69"/>
      <c r="BS67" s="69"/>
      <c r="BT67" s="69"/>
      <c r="BU67" s="69"/>
      <c r="BV67" s="69"/>
      <c r="BW67" s="69"/>
      <c r="BX67" s="446">
        <f>+IF(OR(AH84="mezőgazdasági csekély összegű támogatás",AH87="halászati csekély összegű támogatás"),1,0)</f>
        <v>0</v>
      </c>
      <c r="BY67" s="285" t="str">
        <f>+IF(OR(AL70="nem",BM76="igen",BM72="igen",AL71="TEÁOR’08 031-032",AL71="TEÁOR’08 011-015"),"","általános csekély összegű támogatás")</f>
        <v>általános csekély összegű támogatás</v>
      </c>
      <c r="BZ67" s="69"/>
      <c r="CA67" s="69"/>
      <c r="CB67" s="69"/>
      <c r="CC67" s="69"/>
      <c r="CD67" s="441"/>
    </row>
    <row r="68" spans="1:82" ht="14" x14ac:dyDescent="0.15">
      <c r="B68" s="312"/>
      <c r="C68" s="252"/>
      <c r="D68" s="252"/>
      <c r="E68" s="1163" t="s">
        <v>529</v>
      </c>
      <c r="F68" s="1163"/>
      <c r="G68" s="1163"/>
      <c r="H68" s="1163"/>
      <c r="I68" s="1163"/>
      <c r="J68" s="1163"/>
      <c r="K68" s="1163"/>
      <c r="L68" s="1163"/>
      <c r="M68" s="1163"/>
      <c r="N68" s="1163"/>
      <c r="O68" s="1163"/>
      <c r="P68" s="1163"/>
      <c r="Q68" s="1163"/>
      <c r="R68" s="1163"/>
      <c r="S68" s="1163"/>
      <c r="T68" s="1163"/>
      <c r="U68" s="1163"/>
      <c r="V68" s="1163"/>
      <c r="W68" s="1163"/>
      <c r="X68" s="1163"/>
      <c r="Y68" s="1163"/>
      <c r="Z68" s="1163"/>
      <c r="AA68" s="1163"/>
      <c r="AB68" s="1163"/>
      <c r="AC68" s="1163"/>
      <c r="AD68" s="1163"/>
      <c r="AE68" s="1163"/>
      <c r="AF68" s="1163"/>
      <c r="AG68" s="1163"/>
      <c r="AH68" s="1162"/>
      <c r="AI68" s="1162"/>
      <c r="AJ68" s="1162"/>
      <c r="AK68" s="1162"/>
      <c r="AL68" s="1158" t="s">
        <v>380</v>
      </c>
      <c r="AM68" s="1158"/>
      <c r="AN68" s="1158"/>
      <c r="AO68" s="1158"/>
      <c r="AP68" s="1158"/>
      <c r="AQ68" s="1158"/>
      <c r="AR68" s="1158"/>
      <c r="AS68" s="1158"/>
      <c r="AT68" s="1158"/>
      <c r="AU68" s="1158"/>
      <c r="AV68" s="1158"/>
      <c r="AW68" s="1158"/>
      <c r="AX68" s="1158"/>
      <c r="AY68" s="1158"/>
      <c r="AZ68" s="1158"/>
      <c r="BA68" s="1158"/>
      <c r="BB68" s="1158"/>
      <c r="BC68" s="1158"/>
      <c r="BD68" s="1158"/>
      <c r="BE68" s="1158"/>
      <c r="BF68" s="252"/>
      <c r="BG68" s="311"/>
      <c r="BH68" s="69"/>
      <c r="BI68" s="73"/>
      <c r="BJ68" s="69"/>
      <c r="BK68" s="69"/>
      <c r="BL68" s="69"/>
      <c r="BM68" s="69"/>
      <c r="BN68" s="69"/>
      <c r="BO68" s="69"/>
      <c r="BP68" s="69"/>
      <c r="BQ68" s="69"/>
      <c r="BR68" s="69"/>
      <c r="BS68" s="69"/>
      <c r="BT68" s="69"/>
      <c r="BU68" s="69"/>
      <c r="BV68" s="69"/>
      <c r="BW68" s="69"/>
      <c r="BX68" s="69"/>
      <c r="BY68" s="285" t="str">
        <f>+IF(OR(AL67="nem",AL68="igen",AL75="nem",BM72="igen",BM76="igen",BM74="igen",AL73="igen",AL71="TEÁOR’08 011-015",AL71="TEÁOR’08 031-032"),"","regionális beruházási támogatás")</f>
        <v>regionális beruházási támogatás</v>
      </c>
      <c r="BZ68" s="69"/>
      <c r="CA68" s="69"/>
      <c r="CB68" s="69"/>
      <c r="CC68" s="69"/>
      <c r="CD68" s="441"/>
    </row>
    <row r="69" spans="1:82" ht="24.75" customHeight="1" x14ac:dyDescent="0.15">
      <c r="B69" s="312"/>
      <c r="C69" s="252"/>
      <c r="D69" s="252"/>
      <c r="E69" s="1174" t="s">
        <v>871</v>
      </c>
      <c r="F69" s="1174"/>
      <c r="G69" s="1174"/>
      <c r="H69" s="1174"/>
      <c r="I69" s="1174"/>
      <c r="J69" s="1174"/>
      <c r="K69" s="1174"/>
      <c r="L69" s="1174"/>
      <c r="M69" s="1174"/>
      <c r="N69" s="1174"/>
      <c r="O69" s="1174"/>
      <c r="P69" s="1174"/>
      <c r="Q69" s="1174"/>
      <c r="R69" s="1174"/>
      <c r="S69" s="1174"/>
      <c r="T69" s="1174"/>
      <c r="U69" s="1174"/>
      <c r="V69" s="1174"/>
      <c r="W69" s="1174"/>
      <c r="X69" s="1174"/>
      <c r="Y69" s="1174"/>
      <c r="Z69" s="1174"/>
      <c r="AA69" s="1174"/>
      <c r="AB69" s="1174"/>
      <c r="AC69" s="1174"/>
      <c r="AD69" s="1174"/>
      <c r="AE69" s="1174"/>
      <c r="AF69" s="1174"/>
      <c r="AG69" s="1174"/>
      <c r="AH69" s="1162"/>
      <c r="AI69" s="1162"/>
      <c r="AJ69" s="1162"/>
      <c r="AK69" s="1162"/>
      <c r="AL69" s="1160" t="s">
        <v>380</v>
      </c>
      <c r="AM69" s="1160"/>
      <c r="AN69" s="1160"/>
      <c r="AO69" s="1160"/>
      <c r="AP69" s="1160"/>
      <c r="AQ69" s="1160"/>
      <c r="AR69" s="1160"/>
      <c r="AS69" s="1160"/>
      <c r="AT69" s="1160"/>
      <c r="AU69" s="1160"/>
      <c r="AV69" s="1160"/>
      <c r="AW69" s="1160"/>
      <c r="AX69" s="1160"/>
      <c r="AY69" s="1160"/>
      <c r="AZ69" s="1160"/>
      <c r="BA69" s="1160"/>
      <c r="BB69" s="1160"/>
      <c r="BC69" s="1160"/>
      <c r="BD69" s="1160"/>
      <c r="BE69" s="1160"/>
      <c r="BF69" s="252"/>
      <c r="BG69" s="311"/>
      <c r="BH69" s="69"/>
      <c r="BI69" s="73"/>
      <c r="BJ69" s="69"/>
      <c r="BK69" s="69"/>
      <c r="BL69" s="69"/>
      <c r="BM69" s="69"/>
      <c r="BN69" s="69"/>
      <c r="BO69" s="69"/>
      <c r="BP69" s="69"/>
      <c r="BQ69" s="69"/>
      <c r="BR69" s="69"/>
      <c r="BS69" s="69"/>
      <c r="BT69" s="69"/>
      <c r="BU69" s="69"/>
      <c r="BV69" s="69"/>
      <c r="BW69" s="69"/>
      <c r="BX69" s="69"/>
      <c r="BY69" s="286" t="str">
        <f>+IF(OR(AL67="nem",AL68="igen",BM72="igen",BM73="igen",BM76="igen",BM74="igen",BM77="igen",AL71="TEÁOR’08 031-032"),"","megújuló energiatermelésre irányuló beruházási támogatás")</f>
        <v>megújuló energiatermelésre irányuló beruházási támogatás</v>
      </c>
      <c r="BZ69" s="69"/>
      <c r="CA69" s="69"/>
      <c r="CB69" s="69"/>
      <c r="CC69" s="69"/>
      <c r="CD69" s="441"/>
    </row>
    <row r="70" spans="1:82" ht="29.25" customHeight="1" x14ac:dyDescent="0.15">
      <c r="B70" s="312"/>
      <c r="C70" s="252"/>
      <c r="D70" s="252"/>
      <c r="E70" s="1195" t="s">
        <v>534</v>
      </c>
      <c r="F70" s="1195"/>
      <c r="G70" s="1195"/>
      <c r="H70" s="1195"/>
      <c r="I70" s="1195"/>
      <c r="J70" s="1195"/>
      <c r="K70" s="1195"/>
      <c r="L70" s="1195"/>
      <c r="M70" s="1195"/>
      <c r="N70" s="1195"/>
      <c r="O70" s="1195"/>
      <c r="P70" s="1195"/>
      <c r="Q70" s="1195"/>
      <c r="R70" s="1195"/>
      <c r="S70" s="1195"/>
      <c r="T70" s="1195"/>
      <c r="U70" s="1195"/>
      <c r="V70" s="1195"/>
      <c r="W70" s="1195"/>
      <c r="X70" s="1195"/>
      <c r="Y70" s="1195"/>
      <c r="Z70" s="1195"/>
      <c r="AA70" s="1195"/>
      <c r="AB70" s="1195"/>
      <c r="AC70" s="1195"/>
      <c r="AD70" s="1195"/>
      <c r="AE70" s="1195"/>
      <c r="AF70" s="1195"/>
      <c r="AG70" s="1195"/>
      <c r="AH70" s="1162"/>
      <c r="AI70" s="1162"/>
      <c r="AJ70" s="1162"/>
      <c r="AK70" s="1162"/>
      <c r="AL70" s="1161" t="s">
        <v>380</v>
      </c>
      <c r="AM70" s="1161"/>
      <c r="AN70" s="1161"/>
      <c r="AO70" s="1161"/>
      <c r="AP70" s="1161"/>
      <c r="AQ70" s="1161"/>
      <c r="AR70" s="1161"/>
      <c r="AS70" s="1161"/>
      <c r="AT70" s="1161"/>
      <c r="AU70" s="1161"/>
      <c r="AV70" s="1161"/>
      <c r="AW70" s="1161"/>
      <c r="AX70" s="1161"/>
      <c r="AY70" s="1161"/>
      <c r="AZ70" s="1161"/>
      <c r="BA70" s="1161"/>
      <c r="BB70" s="1161"/>
      <c r="BC70" s="1161"/>
      <c r="BD70" s="1161"/>
      <c r="BE70" s="1161"/>
      <c r="BF70" s="252"/>
      <c r="BG70" s="311"/>
      <c r="BH70" s="69"/>
      <c r="BI70" s="73"/>
      <c r="BJ70" s="69"/>
      <c r="BK70" s="69"/>
      <c r="BL70" s="69"/>
      <c r="BM70" s="69"/>
      <c r="BN70" s="69"/>
      <c r="BO70" s="69"/>
      <c r="BP70" s="69"/>
      <c r="BQ70" s="69"/>
      <c r="BR70" s="69"/>
      <c r="BS70" s="69"/>
      <c r="BT70" s="69"/>
      <c r="BU70" s="69"/>
      <c r="BV70" s="69"/>
      <c r="BW70" s="69"/>
      <c r="BX70" s="69"/>
      <c r="BY70" s="285" t="str">
        <f>+IF(OR(AL67="nem",AL68="igen",BM72="igen",BM73="igen",BM76="igen",BM74="igen",BM77="igen",AL71="TEÁOR’08 031-032"),"","helyi infrastruktúrára irányuló támogatás")</f>
        <v>helyi infrastruktúrára irányuló támogatás</v>
      </c>
      <c r="BZ70" s="69"/>
      <c r="CA70" s="69"/>
      <c r="CB70" s="69"/>
      <c r="CC70" s="69"/>
      <c r="CD70" s="441"/>
    </row>
    <row r="71" spans="1:82" ht="14" x14ac:dyDescent="0.15">
      <c r="B71" s="312"/>
      <c r="C71" s="252"/>
      <c r="D71" s="252"/>
      <c r="E71" s="1163" t="s">
        <v>542</v>
      </c>
      <c r="F71" s="1163"/>
      <c r="G71" s="1163"/>
      <c r="H71" s="1163"/>
      <c r="I71" s="1163"/>
      <c r="J71" s="1163"/>
      <c r="K71" s="1163"/>
      <c r="L71" s="1163"/>
      <c r="M71" s="1163"/>
      <c r="N71" s="1163"/>
      <c r="O71" s="1163"/>
      <c r="P71" s="1163"/>
      <c r="Q71" s="1163"/>
      <c r="R71" s="1163"/>
      <c r="S71" s="1163"/>
      <c r="T71" s="1163"/>
      <c r="U71" s="1163"/>
      <c r="V71" s="1163"/>
      <c r="W71" s="1163"/>
      <c r="X71" s="1163"/>
      <c r="Y71" s="1163"/>
      <c r="Z71" s="1163"/>
      <c r="AA71" s="1163"/>
      <c r="AB71" s="1163"/>
      <c r="AC71" s="1163"/>
      <c r="AD71" s="1163"/>
      <c r="AE71" s="1163"/>
      <c r="AF71" s="1163"/>
      <c r="AG71" s="1163"/>
      <c r="AH71" s="1162"/>
      <c r="AI71" s="1162"/>
      <c r="AJ71" s="1162"/>
      <c r="AK71" s="1162"/>
      <c r="AL71" s="1158" t="s">
        <v>380</v>
      </c>
      <c r="AM71" s="1158"/>
      <c r="AN71" s="1158"/>
      <c r="AO71" s="1158"/>
      <c r="AP71" s="1158"/>
      <c r="AQ71" s="1158"/>
      <c r="AR71" s="1158"/>
      <c r="AS71" s="1158"/>
      <c r="AT71" s="1158"/>
      <c r="AU71" s="1158"/>
      <c r="AV71" s="1158"/>
      <c r="AW71" s="1158"/>
      <c r="AX71" s="1158"/>
      <c r="AY71" s="1158"/>
      <c r="AZ71" s="1158"/>
      <c r="BA71" s="1158"/>
      <c r="BB71" s="1158"/>
      <c r="BC71" s="1158"/>
      <c r="BD71" s="1158"/>
      <c r="BE71" s="1158"/>
      <c r="BF71" s="252"/>
      <c r="BG71" s="311"/>
      <c r="BH71" s="69"/>
      <c r="BI71" s="73"/>
      <c r="BJ71" s="69"/>
      <c r="BK71" s="69"/>
      <c r="BL71" s="69"/>
      <c r="BM71" s="69"/>
      <c r="BN71" s="285" t="s">
        <v>380</v>
      </c>
      <c r="BO71" s="69"/>
      <c r="BP71" s="69"/>
      <c r="BQ71" s="69"/>
      <c r="BR71" s="69"/>
      <c r="BS71" s="69"/>
      <c r="BT71" s="69"/>
      <c r="BU71" s="447" t="s">
        <v>380</v>
      </c>
      <c r="BV71" s="448"/>
      <c r="BW71" s="69"/>
      <c r="BX71" s="69"/>
      <c r="BY71" s="285" t="str">
        <f>+IF(OR(AL67="nem",AL68="igen",BM72="igen",BM76="igen",BM75="igen",AL72="nagyvállalat",AL71="TEÁOR’08 011-015",AL71="TEÁOR’08 031-032"),"","KKV-knak nyújtott beruházási támogatás")</f>
        <v>KKV-knak nyújtott beruházási támogatás</v>
      </c>
      <c r="BZ71" s="69"/>
      <c r="CA71" s="69"/>
      <c r="CB71" s="69"/>
      <c r="CC71" s="69"/>
      <c r="CD71" s="441"/>
    </row>
    <row r="72" spans="1:82" ht="14" x14ac:dyDescent="0.15">
      <c r="B72" s="312"/>
      <c r="C72" s="252"/>
      <c r="D72" s="252"/>
      <c r="E72" s="1163" t="s">
        <v>535</v>
      </c>
      <c r="F72" s="1163"/>
      <c r="G72" s="1163"/>
      <c r="H72" s="1163"/>
      <c r="I72" s="1163"/>
      <c r="J72" s="1163"/>
      <c r="K72" s="1163"/>
      <c r="L72" s="1163"/>
      <c r="M72" s="1163"/>
      <c r="N72" s="1163"/>
      <c r="O72" s="1163"/>
      <c r="P72" s="1163"/>
      <c r="Q72" s="1163"/>
      <c r="R72" s="1163"/>
      <c r="S72" s="1163"/>
      <c r="T72" s="1163"/>
      <c r="U72" s="1163"/>
      <c r="V72" s="1163"/>
      <c r="W72" s="1163"/>
      <c r="X72" s="1163"/>
      <c r="Y72" s="1163"/>
      <c r="Z72" s="1163"/>
      <c r="AA72" s="1163"/>
      <c r="AB72" s="1163"/>
      <c r="AC72" s="1163"/>
      <c r="AD72" s="1163"/>
      <c r="AE72" s="1163"/>
      <c r="AF72" s="1163"/>
      <c r="AG72" s="1163"/>
      <c r="AH72" s="1162"/>
      <c r="AI72" s="1162"/>
      <c r="AJ72" s="1162"/>
      <c r="AK72" s="1162"/>
      <c r="AL72" s="1158" t="s">
        <v>380</v>
      </c>
      <c r="AM72" s="1158"/>
      <c r="AN72" s="1158"/>
      <c r="AO72" s="1158"/>
      <c r="AP72" s="1158"/>
      <c r="AQ72" s="1158"/>
      <c r="AR72" s="1158"/>
      <c r="AS72" s="1158"/>
      <c r="AT72" s="1158"/>
      <c r="AU72" s="1158"/>
      <c r="AV72" s="1158"/>
      <c r="AW72" s="1158"/>
      <c r="AX72" s="1158"/>
      <c r="AY72" s="1158"/>
      <c r="AZ72" s="1158"/>
      <c r="BA72" s="1158"/>
      <c r="BB72" s="1158"/>
      <c r="BC72" s="1158"/>
      <c r="BD72" s="1158"/>
      <c r="BE72" s="1158"/>
      <c r="BF72" s="252"/>
      <c r="BG72" s="311"/>
      <c r="BH72" s="69"/>
      <c r="BI72" s="73"/>
      <c r="BJ72" s="69"/>
      <c r="BK72" s="69"/>
      <c r="BL72" s="69"/>
      <c r="BM72" s="449" t="str">
        <f>+IF(AL69="legördülő cella","",IF(AL69="EUMSZ I. szerinti mezőgazdasági termék előállítása? – kivéve szőlőbor termelése","igen","nem"))</f>
        <v/>
      </c>
      <c r="BN72" s="450" t="s">
        <v>997</v>
      </c>
      <c r="BO72" s="69"/>
      <c r="BP72" s="69"/>
      <c r="BQ72" s="69"/>
      <c r="BR72" s="69"/>
      <c r="BS72" s="69"/>
      <c r="BT72" s="69"/>
      <c r="BU72" s="451" t="s">
        <v>543</v>
      </c>
      <c r="BV72" s="448"/>
      <c r="BW72" s="69"/>
      <c r="BX72" s="69"/>
      <c r="BY72" s="285" t="str">
        <f>+IF(AL69="","mezőgazdasági csekély összegű támogatás",IF(OR(AL70="nem",AL71="TEÁOR’08 031-032",AL71="egyéb",AND(BM72="nem",BM73="nem")),"","mezőgazdasági csekély összegű támogatás"))</f>
        <v>mezőgazdasági csekély összegű támogatás</v>
      </c>
      <c r="BZ72" s="69"/>
      <c r="CA72" s="69"/>
      <c r="CB72" s="69"/>
      <c r="CC72" s="69"/>
      <c r="CD72" s="441"/>
    </row>
    <row r="73" spans="1:82" ht="14" x14ac:dyDescent="0.15">
      <c r="B73" s="312"/>
      <c r="C73" s="252"/>
      <c r="D73" s="252"/>
      <c r="E73" s="1163" t="s">
        <v>545</v>
      </c>
      <c r="F73" s="1163"/>
      <c r="G73" s="1163"/>
      <c r="H73" s="1163"/>
      <c r="I73" s="1163"/>
      <c r="J73" s="1163"/>
      <c r="K73" s="1163"/>
      <c r="L73" s="1163"/>
      <c r="M73" s="1163"/>
      <c r="N73" s="1163"/>
      <c r="O73" s="1163"/>
      <c r="P73" s="1163"/>
      <c r="Q73" s="1163"/>
      <c r="R73" s="1163"/>
      <c r="S73" s="1163"/>
      <c r="T73" s="1163"/>
      <c r="U73" s="1163"/>
      <c r="V73" s="1163"/>
      <c r="W73" s="1163"/>
      <c r="X73" s="1163"/>
      <c r="Y73" s="1163"/>
      <c r="Z73" s="1163"/>
      <c r="AA73" s="1163"/>
      <c r="AB73" s="1163"/>
      <c r="AC73" s="1163"/>
      <c r="AD73" s="1163"/>
      <c r="AE73" s="1163"/>
      <c r="AF73" s="1163"/>
      <c r="AG73" s="1163"/>
      <c r="AH73" s="1162"/>
      <c r="AI73" s="1162"/>
      <c r="AJ73" s="1162"/>
      <c r="AK73" s="1162"/>
      <c r="AL73" s="1161" t="s">
        <v>380</v>
      </c>
      <c r="AM73" s="1161"/>
      <c r="AN73" s="1161"/>
      <c r="AO73" s="1161"/>
      <c r="AP73" s="1161"/>
      <c r="AQ73" s="1161"/>
      <c r="AR73" s="1161"/>
      <c r="AS73" s="1161"/>
      <c r="AT73" s="1161"/>
      <c r="AU73" s="1161"/>
      <c r="AV73" s="1161"/>
      <c r="AW73" s="1161"/>
      <c r="AX73" s="1161"/>
      <c r="AY73" s="1161"/>
      <c r="AZ73" s="1161"/>
      <c r="BA73" s="1161"/>
      <c r="BB73" s="1161"/>
      <c r="BC73" s="1161"/>
      <c r="BD73" s="1161"/>
      <c r="BE73" s="1161"/>
      <c r="BF73" s="252"/>
      <c r="BG73" s="311"/>
      <c r="BH73" s="69"/>
      <c r="BI73" s="73"/>
      <c r="BJ73" s="69"/>
      <c r="BK73" s="69"/>
      <c r="BL73" s="69"/>
      <c r="BM73" s="449" t="str">
        <f>+IF(AL69="legördülő cella","",IF(AL69="mezőgazdasági termék feldolgozása, forgalmazása","igen","nem"))</f>
        <v/>
      </c>
      <c r="BN73" s="450" t="s">
        <v>872</v>
      </c>
      <c r="BO73" s="69"/>
      <c r="BP73" s="69"/>
      <c r="BQ73" s="69"/>
      <c r="BR73" s="69"/>
      <c r="BS73" s="69"/>
      <c r="BT73" s="69"/>
      <c r="BU73" s="451" t="s">
        <v>117</v>
      </c>
      <c r="BV73" s="448"/>
      <c r="BW73" s="69"/>
      <c r="BX73" s="69"/>
      <c r="BY73" s="285" t="str">
        <f>+IF(OR(AL67="nem",AL68="igen",BM72="igen",BM75="igen",BM77="igen",AL72="nagyvállalat",AL71="TEÁOR’08 031-032"),"","mezőgazdasági termékek feldolgozásának, forgalmazásának támogatása")</f>
        <v>mezőgazdasági termékek feldolgozásának, forgalmazásának támogatása</v>
      </c>
      <c r="BZ73" s="69"/>
      <c r="CA73" s="69"/>
      <c r="CB73" s="69"/>
      <c r="CC73" s="69"/>
      <c r="CD73" s="441"/>
    </row>
    <row r="74" spans="1:82" ht="14" x14ac:dyDescent="0.15">
      <c r="B74" s="312"/>
      <c r="C74" s="252"/>
      <c r="D74" s="252"/>
      <c r="E74" s="1163" t="s">
        <v>877</v>
      </c>
      <c r="F74" s="1163"/>
      <c r="G74" s="1163"/>
      <c r="H74" s="1163"/>
      <c r="I74" s="1163"/>
      <c r="J74" s="1163"/>
      <c r="K74" s="1163"/>
      <c r="L74" s="1163"/>
      <c r="M74" s="1163"/>
      <c r="N74" s="1163"/>
      <c r="O74" s="1163"/>
      <c r="P74" s="1163"/>
      <c r="Q74" s="1163"/>
      <c r="R74" s="1163"/>
      <c r="S74" s="1163"/>
      <c r="T74" s="1163"/>
      <c r="U74" s="1163"/>
      <c r="V74" s="1163"/>
      <c r="W74" s="1163"/>
      <c r="X74" s="1163"/>
      <c r="Y74" s="1163"/>
      <c r="Z74" s="1163"/>
      <c r="AA74" s="1163"/>
      <c r="AB74" s="1163"/>
      <c r="AC74" s="1163"/>
      <c r="AD74" s="1163"/>
      <c r="AE74" s="1163"/>
      <c r="AF74" s="1163"/>
      <c r="AG74" s="1163"/>
      <c r="AH74" s="252"/>
      <c r="AI74" s="252"/>
      <c r="AJ74" s="252"/>
      <c r="AK74" s="252"/>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252"/>
      <c r="BG74" s="311"/>
      <c r="BH74" s="69"/>
      <c r="BI74" s="73"/>
      <c r="BJ74" s="69"/>
      <c r="BK74" s="69"/>
      <c r="BL74" s="69"/>
      <c r="BM74" s="449" t="str">
        <f>+IF(AL69="legördülő cella","",IF(AL69="megújulóenergia-termelés finanszírozása","igen","nem"))</f>
        <v/>
      </c>
      <c r="BN74" s="450" t="s">
        <v>873</v>
      </c>
      <c r="BO74" s="69"/>
      <c r="BP74" s="69"/>
      <c r="BQ74" s="69"/>
      <c r="BR74" s="69"/>
      <c r="BS74" s="69"/>
      <c r="BT74" s="69"/>
      <c r="BU74" s="451" t="s">
        <v>118</v>
      </c>
      <c r="BV74" s="448"/>
      <c r="BW74" s="69"/>
      <c r="BX74" s="69"/>
      <c r="BY74" s="285" t="str">
        <f>+IF(OR(AL67="nem",AL68="IGEN",BM73="igen",BM75="igen",BM77="igen",AL72="nagyvállalat",AL71="TEÁOR’08 031-032"),"","elsődleges mezőgazdasági termeléshez kapcsolódó támogatás")</f>
        <v>elsődleges mezőgazdasági termeléshez kapcsolódó támogatás</v>
      </c>
      <c r="BZ74" s="69"/>
      <c r="CA74" s="69"/>
      <c r="CB74" s="69"/>
      <c r="CC74" s="69"/>
      <c r="CD74" s="441"/>
    </row>
    <row r="75" spans="1:82" ht="14" x14ac:dyDescent="0.15">
      <c r="B75" s="312"/>
      <c r="C75" s="252"/>
      <c r="D75" s="252"/>
      <c r="E75" s="1163" t="s">
        <v>536</v>
      </c>
      <c r="F75" s="1163"/>
      <c r="G75" s="1163"/>
      <c r="H75" s="1163"/>
      <c r="I75" s="1163"/>
      <c r="J75" s="1163"/>
      <c r="K75" s="1163"/>
      <c r="L75" s="1163"/>
      <c r="M75" s="1163"/>
      <c r="N75" s="1163"/>
      <c r="O75" s="1163"/>
      <c r="P75" s="1163"/>
      <c r="Q75" s="1163"/>
      <c r="R75" s="1163"/>
      <c r="S75" s="1163"/>
      <c r="T75" s="1163"/>
      <c r="U75" s="1163"/>
      <c r="V75" s="1163"/>
      <c r="W75" s="1163"/>
      <c r="X75" s="1163"/>
      <c r="Y75" s="1163"/>
      <c r="Z75" s="1163"/>
      <c r="AA75" s="1163"/>
      <c r="AB75" s="1163"/>
      <c r="AC75" s="1163"/>
      <c r="AD75" s="1163"/>
      <c r="AE75" s="1163"/>
      <c r="AF75" s="1163"/>
      <c r="AG75" s="1163"/>
      <c r="AH75" s="1162"/>
      <c r="AI75" s="1162"/>
      <c r="AJ75" s="1162"/>
      <c r="AK75" s="1162"/>
      <c r="AL75" s="1158" t="s">
        <v>380</v>
      </c>
      <c r="AM75" s="1158"/>
      <c r="AN75" s="1158"/>
      <c r="AO75" s="1158"/>
      <c r="AP75" s="1158"/>
      <c r="AQ75" s="1158"/>
      <c r="AR75" s="1158"/>
      <c r="AS75" s="1158"/>
      <c r="AT75" s="1158"/>
      <c r="AU75" s="1158"/>
      <c r="AV75" s="1158"/>
      <c r="AW75" s="1158"/>
      <c r="AX75" s="1158"/>
      <c r="AY75" s="1158"/>
      <c r="AZ75" s="1158"/>
      <c r="BA75" s="1158"/>
      <c r="BB75" s="1158"/>
      <c r="BC75" s="1158"/>
      <c r="BD75" s="1158"/>
      <c r="BE75" s="1158"/>
      <c r="BF75" s="252"/>
      <c r="BG75" s="311"/>
      <c r="BH75" s="69"/>
      <c r="BI75" s="73"/>
      <c r="BJ75" s="69"/>
      <c r="BK75" s="69"/>
      <c r="BL75" s="69"/>
      <c r="BM75" s="449" t="str">
        <f>+IF(AL69="legördülő cella","",IF(AL69="helyi infrastruktúra kiépítése, korszerűsítése","igen","nem"))</f>
        <v/>
      </c>
      <c r="BN75" s="450" t="s">
        <v>874</v>
      </c>
      <c r="BO75" s="69"/>
      <c r="BP75" s="69"/>
      <c r="BQ75" s="69"/>
      <c r="BR75" s="69"/>
      <c r="BS75" s="69"/>
      <c r="BT75" s="69"/>
      <c r="BU75" s="451" t="s">
        <v>544</v>
      </c>
      <c r="BV75" s="448"/>
      <c r="BW75" s="69"/>
      <c r="BX75" s="69"/>
      <c r="BY75" s="285" t="str">
        <f>+IF(OR(AL70="nem",AL71="TEÁOR’08 011-015",AL71="egyéb",BM74="igen",BM75="igen",BM77="igen"),"","halászati csekély összegű támogatás")</f>
        <v>halászati csekély összegű támogatás</v>
      </c>
      <c r="BZ75" s="69"/>
      <c r="CA75" s="69"/>
      <c r="CB75" s="69"/>
      <c r="CC75" s="69"/>
      <c r="CD75" s="441"/>
    </row>
    <row r="76" spans="1:82" ht="14" x14ac:dyDescent="0.15">
      <c r="B76" s="312"/>
      <c r="C76" s="252"/>
      <c r="D76" s="252"/>
      <c r="E76" s="1162"/>
      <c r="F76" s="1162"/>
      <c r="G76" s="1162"/>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1162"/>
      <c r="AD76" s="1162"/>
      <c r="AE76" s="1162"/>
      <c r="AF76" s="1162"/>
      <c r="AG76" s="1162"/>
      <c r="AH76" s="1162"/>
      <c r="AI76" s="1162"/>
      <c r="AJ76" s="1162"/>
      <c r="AK76" s="1162"/>
      <c r="AL76" s="1163"/>
      <c r="AM76" s="1163"/>
      <c r="AN76" s="1163"/>
      <c r="AO76" s="1163"/>
      <c r="AP76" s="1163"/>
      <c r="AQ76" s="1163"/>
      <c r="AR76" s="533"/>
      <c r="AS76" s="252"/>
      <c r="AT76" s="252"/>
      <c r="AU76" s="252"/>
      <c r="AV76" s="252"/>
      <c r="AW76" s="252"/>
      <c r="AX76" s="252"/>
      <c r="AY76" s="252"/>
      <c r="AZ76" s="252"/>
      <c r="BA76" s="252"/>
      <c r="BB76" s="252"/>
      <c r="BC76" s="252"/>
      <c r="BD76" s="252"/>
      <c r="BE76" s="252"/>
      <c r="BF76" s="252"/>
      <c r="BG76" s="311"/>
      <c r="BH76" s="69"/>
      <c r="BI76" s="73"/>
      <c r="BJ76" s="69"/>
      <c r="BK76" s="69"/>
      <c r="BL76" s="69"/>
      <c r="BM76" s="449" t="str">
        <f>+IF(AL69="legördülő cella","",IF(AL69="halászat/akvakultúra fejlesztése","igen","nem"))</f>
        <v/>
      </c>
      <c r="BN76" s="450" t="s">
        <v>875</v>
      </c>
      <c r="BO76" s="69"/>
      <c r="BP76" s="69"/>
      <c r="BQ76" s="69"/>
      <c r="BR76" s="69"/>
      <c r="BS76" s="69"/>
      <c r="BT76" s="69"/>
      <c r="BU76" s="448"/>
      <c r="BV76" s="448"/>
      <c r="BW76" s="69"/>
      <c r="BX76" s="69"/>
      <c r="BY76" s="69"/>
      <c r="BZ76" s="69"/>
      <c r="CA76" s="69"/>
      <c r="CB76" s="69"/>
      <c r="CC76" s="69"/>
      <c r="CD76" s="441"/>
    </row>
    <row r="77" spans="1:82" ht="30" customHeight="1" x14ac:dyDescent="0.15">
      <c r="B77" s="312"/>
      <c r="C77" s="252"/>
      <c r="D77" s="252"/>
      <c r="E77" s="1162"/>
      <c r="F77" s="1162"/>
      <c r="G77" s="1162"/>
      <c r="H77" s="1162"/>
      <c r="I77" s="1162"/>
      <c r="J77" s="1162"/>
      <c r="K77" s="1162"/>
      <c r="L77" s="1162"/>
      <c r="M77" s="1162"/>
      <c r="N77" s="1162"/>
      <c r="O77" s="1162"/>
      <c r="P77" s="1162"/>
      <c r="Q77" s="1162"/>
      <c r="R77" s="1162"/>
      <c r="S77" s="1162"/>
      <c r="T77" s="1162"/>
      <c r="U77" s="1162"/>
      <c r="V77" s="1162"/>
      <c r="W77" s="1162"/>
      <c r="X77" s="1162"/>
      <c r="Y77" s="1162"/>
      <c r="Z77" s="1162"/>
      <c r="AA77" s="1162"/>
      <c r="AB77" s="1162"/>
      <c r="AC77" s="1162"/>
      <c r="AD77" s="1162"/>
      <c r="AE77" s="1162"/>
      <c r="AF77" s="1162"/>
      <c r="AG77" s="1162"/>
      <c r="AH77" s="1155" t="str">
        <f>+IF(AO34&lt;&gt;"","",IF(OR(AH84="mezőgazdasági csekély összegű támogatás",AH87="halászati csekély összegű támogatás"),"Mg./Halászati csekély összegű támogatás esetén kérem töltse ki az alapadatoknál megjelenő Magyar Államkincstári ügyfélazonosítót!",""))</f>
        <v/>
      </c>
      <c r="AI77" s="1155"/>
      <c r="AJ77" s="1155"/>
      <c r="AK77" s="1155"/>
      <c r="AL77" s="1155"/>
      <c r="AM77" s="1155"/>
      <c r="AN77" s="1155"/>
      <c r="AO77" s="1155"/>
      <c r="AP77" s="1155"/>
      <c r="AQ77" s="1155"/>
      <c r="AR77" s="1155"/>
      <c r="AS77" s="1155"/>
      <c r="AT77" s="1155"/>
      <c r="AU77" s="1155"/>
      <c r="AV77" s="1155"/>
      <c r="AW77" s="1155"/>
      <c r="AX77" s="1155"/>
      <c r="AY77" s="1155"/>
      <c r="AZ77" s="1155"/>
      <c r="BA77" s="1155"/>
      <c r="BB77" s="1155"/>
      <c r="BC77" s="1155"/>
      <c r="BD77" s="1155"/>
      <c r="BE77" s="1155"/>
      <c r="BF77" s="1155"/>
      <c r="BG77" s="311"/>
      <c r="BH77" s="69"/>
      <c r="BI77" s="73"/>
      <c r="BJ77" s="69"/>
      <c r="BK77" s="69"/>
      <c r="BL77" s="69"/>
      <c r="BM77" s="449" t="str">
        <f>+IF(AL69="legördülő cella","",IF(AL69="egyéb","igen","nem"))</f>
        <v/>
      </c>
      <c r="BN77" s="450" t="s">
        <v>876</v>
      </c>
      <c r="BO77" s="69"/>
      <c r="BP77" s="69"/>
      <c r="BQ77" s="69"/>
      <c r="BR77" s="69"/>
      <c r="BS77" s="69"/>
      <c r="BT77" s="69"/>
      <c r="BU77" s="69"/>
      <c r="BV77" s="448"/>
      <c r="BW77" s="69"/>
      <c r="BX77" s="69"/>
      <c r="BY77" s="69" t="s">
        <v>847</v>
      </c>
      <c r="BZ77" s="69"/>
      <c r="CA77" s="69"/>
      <c r="CB77" s="69"/>
      <c r="CC77" s="69"/>
      <c r="CD77" s="441"/>
    </row>
    <row r="78" spans="1:82" ht="14" x14ac:dyDescent="0.15">
      <c r="B78" s="312"/>
      <c r="C78" s="252"/>
      <c r="D78" s="252"/>
      <c r="E78" s="252"/>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1162" t="s">
        <v>551</v>
      </c>
      <c r="AI78" s="1162"/>
      <c r="AJ78" s="1162"/>
      <c r="AK78" s="1162"/>
      <c r="AL78" s="1162"/>
      <c r="AM78" s="1162"/>
      <c r="AN78" s="1162"/>
      <c r="AO78" s="1162"/>
      <c r="AP78" s="1162"/>
      <c r="AQ78" s="1162"/>
      <c r="AR78" s="1162"/>
      <c r="AS78" s="1162"/>
      <c r="AT78" s="1162"/>
      <c r="AU78" s="1162"/>
      <c r="AV78" s="1162"/>
      <c r="AW78" s="1162"/>
      <c r="AX78" s="1162"/>
      <c r="AY78" s="1162"/>
      <c r="AZ78" s="1162"/>
      <c r="BA78" s="1162"/>
      <c r="BB78" s="1162"/>
      <c r="BC78" s="1162"/>
      <c r="BD78" s="1162"/>
      <c r="BE78" s="1162"/>
      <c r="BF78" s="1162"/>
      <c r="BG78" s="311"/>
      <c r="BH78" s="69"/>
      <c r="BI78" s="73"/>
      <c r="BJ78" s="69"/>
      <c r="BK78" s="69"/>
      <c r="BL78" s="69"/>
      <c r="BM78" s="69"/>
      <c r="BN78" s="69"/>
      <c r="BO78" s="69"/>
      <c r="BP78" s="69"/>
      <c r="BQ78" s="69"/>
      <c r="BR78" s="1077" t="s">
        <v>1078</v>
      </c>
      <c r="BS78" s="69"/>
      <c r="BT78" s="69"/>
      <c r="BU78" s="1120" t="s">
        <v>1135</v>
      </c>
      <c r="BV78" s="69"/>
      <c r="BW78" s="69"/>
      <c r="BX78" s="69"/>
      <c r="BY78" s="285" t="str">
        <f t="shared" ref="BY78:BY86" si="1">+AH79</f>
        <v/>
      </c>
      <c r="BZ78" s="69"/>
      <c r="CA78" s="69"/>
      <c r="CB78" s="69"/>
      <c r="CC78" s="69"/>
      <c r="CD78" s="441"/>
    </row>
    <row r="79" spans="1:82" ht="14" x14ac:dyDescent="0.15">
      <c r="B79" s="312"/>
      <c r="C79" s="252"/>
      <c r="D79" s="252"/>
      <c r="E79" s="252"/>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1180" t="str">
        <f>+IF(OR(AH52="",BY67=""),"",AH52)</f>
        <v/>
      </c>
      <c r="AI79" s="1181"/>
      <c r="AJ79" s="1181"/>
      <c r="AK79" s="1181"/>
      <c r="AL79" s="1181"/>
      <c r="AM79" s="1181"/>
      <c r="AN79" s="1181"/>
      <c r="AO79" s="1181"/>
      <c r="AP79" s="1181"/>
      <c r="AQ79" s="1181"/>
      <c r="AR79" s="1181"/>
      <c r="AS79" s="1181"/>
      <c r="AT79" s="1181"/>
      <c r="AU79" s="1181"/>
      <c r="AV79" s="1181"/>
      <c r="AW79" s="1181"/>
      <c r="AX79" s="1181"/>
      <c r="AY79" s="1181"/>
      <c r="AZ79" s="1181"/>
      <c r="BA79" s="1181"/>
      <c r="BB79" s="1181"/>
      <c r="BC79" s="1181"/>
      <c r="BD79" s="1181"/>
      <c r="BE79" s="1181"/>
      <c r="BF79" s="1182"/>
      <c r="BG79" s="311"/>
      <c r="BH79" s="69"/>
      <c r="BI79" s="73"/>
      <c r="BJ79" s="69"/>
      <c r="BK79" s="69"/>
      <c r="BL79" s="69"/>
      <c r="BM79" s="69"/>
      <c r="BN79" s="69"/>
      <c r="BO79" s="69"/>
      <c r="BP79" s="69"/>
      <c r="BQ79" s="69"/>
      <c r="BR79" s="285" t="b">
        <f>OR(AND(lrp=2,lehetaltdemin&lt;&gt;""),AND(lrpn=3,lehetaltdemin&lt;&gt;""))</f>
        <v>0</v>
      </c>
      <c r="BS79" s="69"/>
      <c r="BT79" s="69"/>
      <c r="BU79" s="236" t="str">
        <f>IF(OR(BP52=4,BP53=5),"kell","")</f>
        <v/>
      </c>
      <c r="BV79" s="69"/>
      <c r="BW79" s="69"/>
      <c r="BX79" s="69"/>
      <c r="BY79" s="285" t="str">
        <f t="shared" si="1"/>
        <v/>
      </c>
      <c r="BZ79" s="69"/>
      <c r="CA79" s="69"/>
      <c r="CB79" s="69"/>
      <c r="CC79" s="69"/>
      <c r="CD79" s="441"/>
    </row>
    <row r="80" spans="1:82" ht="14" x14ac:dyDescent="0.15">
      <c r="B80" s="312"/>
      <c r="C80" s="252"/>
      <c r="D80" s="252"/>
      <c r="E80" s="252"/>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1164" t="str">
        <f>+IF(OR(AH53="",BY68=""),"",AH53)</f>
        <v/>
      </c>
      <c r="AI80" s="1163"/>
      <c r="AJ80" s="1163"/>
      <c r="AK80" s="1163"/>
      <c r="AL80" s="1163"/>
      <c r="AM80" s="1163"/>
      <c r="AN80" s="1163"/>
      <c r="AO80" s="1163"/>
      <c r="AP80" s="1163"/>
      <c r="AQ80" s="1163"/>
      <c r="AR80" s="1163"/>
      <c r="AS80" s="1163"/>
      <c r="AT80" s="1163"/>
      <c r="AU80" s="1163"/>
      <c r="AV80" s="1163"/>
      <c r="AW80" s="1163"/>
      <c r="AX80" s="1163"/>
      <c r="AY80" s="1163"/>
      <c r="AZ80" s="1163"/>
      <c r="BA80" s="1163"/>
      <c r="BB80" s="1163"/>
      <c r="BC80" s="1163"/>
      <c r="BD80" s="1163"/>
      <c r="BE80" s="1163"/>
      <c r="BF80" s="1165"/>
      <c r="BG80" s="311"/>
      <c r="BH80" s="69"/>
      <c r="BI80" s="73"/>
      <c r="BJ80" s="69"/>
      <c r="BK80" s="69"/>
      <c r="BL80" s="69"/>
      <c r="BM80" s="69"/>
      <c r="BN80" s="69"/>
      <c r="BO80" s="69"/>
      <c r="BP80" s="69"/>
      <c r="BQ80" s="69"/>
      <c r="BR80" s="285" t="b">
        <f>OR(AND(lrp=2,lehetregber&lt;&gt;""),AND(lrpn=3,lehetregber&lt;&gt;""))</f>
        <v>0</v>
      </c>
      <c r="BS80" s="69"/>
      <c r="BT80" s="69"/>
      <c r="BU80" s="69"/>
      <c r="BV80" s="69"/>
      <c r="BW80" s="69"/>
      <c r="BX80" s="69"/>
      <c r="BY80" s="285" t="str">
        <f t="shared" si="1"/>
        <v/>
      </c>
      <c r="BZ80" s="69"/>
      <c r="CA80" s="69"/>
      <c r="CB80" s="69"/>
      <c r="CC80" s="69"/>
      <c r="CD80" s="441"/>
    </row>
    <row r="81" spans="2:82" ht="14" x14ac:dyDescent="0.15">
      <c r="B81" s="312"/>
      <c r="C81" s="252"/>
      <c r="D81" s="252"/>
      <c r="E81" s="252"/>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1164" t="str">
        <f t="shared" ref="AH81:AH87" si="2">+IF(OR(AH54="",BY69=""),"",AH54)</f>
        <v/>
      </c>
      <c r="AI81" s="1163"/>
      <c r="AJ81" s="1163"/>
      <c r="AK81" s="1163"/>
      <c r="AL81" s="1163"/>
      <c r="AM81" s="1163"/>
      <c r="AN81" s="1163"/>
      <c r="AO81" s="1163"/>
      <c r="AP81" s="1163"/>
      <c r="AQ81" s="1163"/>
      <c r="AR81" s="1163"/>
      <c r="AS81" s="1163"/>
      <c r="AT81" s="1163"/>
      <c r="AU81" s="1163"/>
      <c r="AV81" s="1163"/>
      <c r="AW81" s="1163"/>
      <c r="AX81" s="1163"/>
      <c r="AY81" s="1163"/>
      <c r="AZ81" s="1163"/>
      <c r="BA81" s="1163"/>
      <c r="BB81" s="1163"/>
      <c r="BC81" s="1163"/>
      <c r="BD81" s="1163"/>
      <c r="BE81" s="1163"/>
      <c r="BF81" s="1165"/>
      <c r="BG81" s="311"/>
      <c r="BH81" s="69"/>
      <c r="BI81" s="73"/>
      <c r="BJ81" s="69"/>
      <c r="BK81" s="69"/>
      <c r="BL81" s="69"/>
      <c r="BM81" s="285" t="s">
        <v>380</v>
      </c>
      <c r="BN81" s="69"/>
      <c r="BO81" s="69"/>
      <c r="BP81" s="69"/>
      <c r="BQ81" s="69"/>
      <c r="BR81" s="285" t="b">
        <f>OR(AND(lrp=2,lehetmegujulo&lt;&gt;""),AND(lrpn=3,lehetmegujulo&lt;&gt;""))</f>
        <v>0</v>
      </c>
      <c r="BS81" s="69"/>
      <c r="BT81" s="69"/>
      <c r="BU81" s="69"/>
      <c r="BV81" s="69"/>
      <c r="BW81" s="69"/>
      <c r="BX81" s="69"/>
      <c r="BY81" s="285" t="str">
        <f t="shared" si="1"/>
        <v/>
      </c>
      <c r="BZ81" s="69"/>
      <c r="CA81" s="69"/>
      <c r="CB81" s="69"/>
      <c r="CC81" s="69"/>
      <c r="CD81" s="441"/>
    </row>
    <row r="82" spans="2:82" ht="14" x14ac:dyDescent="0.15">
      <c r="B82" s="312"/>
      <c r="C82" s="252"/>
      <c r="D82" s="252"/>
      <c r="E82" s="252"/>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1164" t="str">
        <f t="shared" si="2"/>
        <v/>
      </c>
      <c r="AI82" s="1163"/>
      <c r="AJ82" s="1163"/>
      <c r="AK82" s="1163"/>
      <c r="AL82" s="1163"/>
      <c r="AM82" s="1163"/>
      <c r="AN82" s="1163"/>
      <c r="AO82" s="1163"/>
      <c r="AP82" s="1163"/>
      <c r="AQ82" s="1163"/>
      <c r="AR82" s="1163"/>
      <c r="AS82" s="1163"/>
      <c r="AT82" s="1163"/>
      <c r="AU82" s="1163"/>
      <c r="AV82" s="1163"/>
      <c r="AW82" s="1163"/>
      <c r="AX82" s="1163"/>
      <c r="AY82" s="1163"/>
      <c r="AZ82" s="1163"/>
      <c r="BA82" s="1163"/>
      <c r="BB82" s="1163"/>
      <c r="BC82" s="1163"/>
      <c r="BD82" s="1163"/>
      <c r="BE82" s="1163"/>
      <c r="BF82" s="1165"/>
      <c r="BG82" s="311"/>
      <c r="BH82" s="69"/>
      <c r="BI82" s="73"/>
      <c r="BJ82" s="69"/>
      <c r="BK82" s="69"/>
      <c r="BL82" s="69"/>
      <c r="BM82" s="450" t="s">
        <v>540</v>
      </c>
      <c r="BN82" s="69"/>
      <c r="BO82" s="69"/>
      <c r="BP82" s="69"/>
      <c r="BQ82" s="69"/>
      <c r="BR82" s="285" t="b">
        <f>OR(AND(lrp=2,lehethif&lt;&gt;""),AND(lrpn=3,lehethif&lt;&gt;""))</f>
        <v>0</v>
      </c>
      <c r="BS82" s="69"/>
      <c r="BT82" s="69"/>
      <c r="BU82" s="69"/>
      <c r="BV82" s="69"/>
      <c r="BW82" s="69"/>
      <c r="BX82" s="69"/>
      <c r="BY82" s="285" t="str">
        <f t="shared" si="1"/>
        <v/>
      </c>
      <c r="BZ82" s="69"/>
      <c r="CA82" s="69"/>
      <c r="CB82" s="69"/>
      <c r="CC82" s="69"/>
      <c r="CD82" s="441"/>
    </row>
    <row r="83" spans="2:82" ht="14" x14ac:dyDescent="0.15">
      <c r="B83" s="312"/>
      <c r="C83" s="252"/>
      <c r="D83" s="252"/>
      <c r="E83" s="252"/>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1164" t="str">
        <f t="shared" si="2"/>
        <v/>
      </c>
      <c r="AI83" s="1163"/>
      <c r="AJ83" s="1163"/>
      <c r="AK83" s="1163"/>
      <c r="AL83" s="1163"/>
      <c r="AM83" s="1163"/>
      <c r="AN83" s="1163"/>
      <c r="AO83" s="1163"/>
      <c r="AP83" s="1163"/>
      <c r="AQ83" s="1163"/>
      <c r="AR83" s="1163"/>
      <c r="AS83" s="1163"/>
      <c r="AT83" s="1163"/>
      <c r="AU83" s="1163"/>
      <c r="AV83" s="1163"/>
      <c r="AW83" s="1163"/>
      <c r="AX83" s="1163"/>
      <c r="AY83" s="1163"/>
      <c r="AZ83" s="1163"/>
      <c r="BA83" s="1163"/>
      <c r="BB83" s="1163"/>
      <c r="BC83" s="1163"/>
      <c r="BD83" s="1163"/>
      <c r="BE83" s="1163"/>
      <c r="BF83" s="1165"/>
      <c r="BG83" s="311"/>
      <c r="BH83" s="69"/>
      <c r="BI83" s="73"/>
      <c r="BJ83" s="69"/>
      <c r="BK83" s="69"/>
      <c r="BL83" s="69"/>
      <c r="BM83" s="450" t="s">
        <v>541</v>
      </c>
      <c r="BN83" s="69"/>
      <c r="BO83" s="69"/>
      <c r="BP83" s="69"/>
      <c r="BQ83" s="69"/>
      <c r="BR83" s="285" t="b">
        <f>OR(AND(lrp=2,lehetkkvber&lt;&gt;""),AND(lrpn=3,lehetkkvber&lt;&gt;""))</f>
        <v>0</v>
      </c>
      <c r="BS83" s="69"/>
      <c r="BT83" s="69"/>
      <c r="BU83" s="69"/>
      <c r="BV83" s="69"/>
      <c r="BW83" s="69"/>
      <c r="BX83" s="69"/>
      <c r="BY83" s="285" t="str">
        <f t="shared" si="1"/>
        <v/>
      </c>
      <c r="BZ83" s="69"/>
      <c r="CA83" s="69"/>
      <c r="CB83" s="69"/>
      <c r="CC83" s="69"/>
      <c r="CD83" s="441"/>
    </row>
    <row r="84" spans="2:82" ht="14" x14ac:dyDescent="0.15">
      <c r="B84" s="312"/>
      <c r="C84" s="252"/>
      <c r="D84" s="252"/>
      <c r="E84" s="252"/>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1164" t="str">
        <f t="shared" si="2"/>
        <v/>
      </c>
      <c r="AI84" s="1163"/>
      <c r="AJ84" s="1163"/>
      <c r="AK84" s="1163"/>
      <c r="AL84" s="1163"/>
      <c r="AM84" s="1163"/>
      <c r="AN84" s="1163"/>
      <c r="AO84" s="1163"/>
      <c r="AP84" s="1163"/>
      <c r="AQ84" s="1163"/>
      <c r="AR84" s="1163"/>
      <c r="AS84" s="1163"/>
      <c r="AT84" s="1163"/>
      <c r="AU84" s="1163"/>
      <c r="AV84" s="1163"/>
      <c r="AW84" s="1163"/>
      <c r="AX84" s="1163"/>
      <c r="AY84" s="1163"/>
      <c r="AZ84" s="1163"/>
      <c r="BA84" s="1163"/>
      <c r="BB84" s="1163"/>
      <c r="BC84" s="1163"/>
      <c r="BD84" s="1163"/>
      <c r="BE84" s="1163"/>
      <c r="BF84" s="1165"/>
      <c r="BG84" s="311"/>
      <c r="BH84" s="69"/>
      <c r="BI84" s="73"/>
      <c r="BJ84" s="69"/>
      <c r="BK84" s="69"/>
      <c r="BL84" s="69"/>
      <c r="BM84" s="450" t="s">
        <v>158</v>
      </c>
      <c r="BN84" s="69"/>
      <c r="BO84" s="69"/>
      <c r="BP84" s="69"/>
      <c r="BQ84" s="69"/>
      <c r="BR84" s="285" t="b">
        <f>OR(AND(lrp=2,lehetmgdemin&lt;&gt;""),AND(lrpn=3,lehetmgdemin&lt;&gt;""))</f>
        <v>0</v>
      </c>
      <c r="BS84" s="69"/>
      <c r="BT84" s="69"/>
      <c r="BU84" s="69"/>
      <c r="BV84" s="69"/>
      <c r="BW84" s="69"/>
      <c r="BX84" s="69"/>
      <c r="BY84" s="285" t="str">
        <f t="shared" si="1"/>
        <v/>
      </c>
      <c r="BZ84" s="69"/>
      <c r="CA84" s="69"/>
      <c r="CB84" s="69"/>
      <c r="CC84" s="69"/>
      <c r="CD84" s="441"/>
    </row>
    <row r="85" spans="2:82" ht="14" x14ac:dyDescent="0.15">
      <c r="B85" s="312"/>
      <c r="C85" s="252"/>
      <c r="D85" s="252"/>
      <c r="E85" s="252"/>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1164" t="str">
        <f t="shared" si="2"/>
        <v/>
      </c>
      <c r="AI85" s="1163"/>
      <c r="AJ85" s="1163"/>
      <c r="AK85" s="1163"/>
      <c r="AL85" s="1163"/>
      <c r="AM85" s="1163"/>
      <c r="AN85" s="1163"/>
      <c r="AO85" s="1163"/>
      <c r="AP85" s="1163"/>
      <c r="AQ85" s="1163"/>
      <c r="AR85" s="1163"/>
      <c r="AS85" s="1163"/>
      <c r="AT85" s="1163"/>
      <c r="AU85" s="1163"/>
      <c r="AV85" s="1163"/>
      <c r="AW85" s="1163"/>
      <c r="AX85" s="1163"/>
      <c r="AY85" s="1163"/>
      <c r="AZ85" s="1163"/>
      <c r="BA85" s="1163"/>
      <c r="BB85" s="1163"/>
      <c r="BC85" s="1163"/>
      <c r="BD85" s="1163"/>
      <c r="BE85" s="1163"/>
      <c r="BF85" s="1165"/>
      <c r="BG85" s="311"/>
      <c r="BH85" s="69"/>
      <c r="BI85" s="73"/>
      <c r="BJ85" s="69"/>
      <c r="BK85" s="69"/>
      <c r="BL85" s="69"/>
      <c r="BM85" s="69"/>
      <c r="BN85" s="69"/>
      <c r="BO85" s="69"/>
      <c r="BP85" s="69"/>
      <c r="BQ85" s="69"/>
      <c r="BR85" s="285" t="b">
        <f>OR(AND(lrp=2,lehetmgfeldolg&lt;&gt;""),AND(lrpn=3,lehetmgfeldolg&lt;&gt;""))</f>
        <v>0</v>
      </c>
      <c r="BS85" s="69"/>
      <c r="BT85" s="69"/>
      <c r="BU85" s="69"/>
      <c r="BV85" s="69"/>
      <c r="BW85" s="69"/>
      <c r="BX85" s="69"/>
      <c r="BY85" s="285" t="str">
        <f t="shared" si="1"/>
        <v/>
      </c>
      <c r="BZ85" s="69"/>
      <c r="CA85" s="69"/>
      <c r="CB85" s="69"/>
      <c r="CC85" s="69"/>
      <c r="CD85" s="441"/>
    </row>
    <row r="86" spans="2:82" ht="14" x14ac:dyDescent="0.15">
      <c r="B86" s="312"/>
      <c r="C86" s="252"/>
      <c r="D86" s="252"/>
      <c r="E86" s="252"/>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1164" t="str">
        <f t="shared" si="2"/>
        <v/>
      </c>
      <c r="AI86" s="1163"/>
      <c r="AJ86" s="1163"/>
      <c r="AK86" s="1163"/>
      <c r="AL86" s="1163"/>
      <c r="AM86" s="1163"/>
      <c r="AN86" s="1163"/>
      <c r="AO86" s="1163"/>
      <c r="AP86" s="1163"/>
      <c r="AQ86" s="1163"/>
      <c r="AR86" s="1163"/>
      <c r="AS86" s="1163"/>
      <c r="AT86" s="1163"/>
      <c r="AU86" s="1163"/>
      <c r="AV86" s="1163"/>
      <c r="AW86" s="1163"/>
      <c r="AX86" s="1163"/>
      <c r="AY86" s="1163"/>
      <c r="AZ86" s="1163"/>
      <c r="BA86" s="1163"/>
      <c r="BB86" s="1163"/>
      <c r="BC86" s="1163"/>
      <c r="BD86" s="1163"/>
      <c r="BE86" s="1163"/>
      <c r="BF86" s="1165"/>
      <c r="BG86" s="311"/>
      <c r="BH86" s="69"/>
      <c r="BI86" s="73"/>
      <c r="BJ86" s="69"/>
      <c r="BK86" s="69"/>
      <c r="BL86" s="69"/>
      <c r="BM86" s="69" t="s">
        <v>537</v>
      </c>
      <c r="BN86" s="69"/>
      <c r="BO86" s="69"/>
      <c r="BP86" s="69"/>
      <c r="BQ86" s="69"/>
      <c r="BR86" s="285" t="b">
        <f>OR(AND(lrp=2,lehetmgterm&lt;&gt;""),AND(lrpn=3,lehetmgterm&lt;&gt;""))</f>
        <v>0</v>
      </c>
      <c r="BS86" s="69"/>
      <c r="BT86" s="69"/>
      <c r="BU86" s="69"/>
      <c r="BV86" s="69"/>
      <c r="BW86" s="69"/>
      <c r="BX86" s="69"/>
      <c r="BY86" s="285" t="str">
        <f t="shared" si="1"/>
        <v/>
      </c>
      <c r="BZ86" s="69"/>
      <c r="CA86" s="69"/>
      <c r="CB86" s="69"/>
      <c r="CC86" s="69"/>
      <c r="CD86" s="441"/>
    </row>
    <row r="87" spans="2:82" ht="14" x14ac:dyDescent="0.15">
      <c r="B87" s="312"/>
      <c r="C87" s="252"/>
      <c r="D87" s="252"/>
      <c r="E87" s="252"/>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1164" t="str">
        <f t="shared" si="2"/>
        <v/>
      </c>
      <c r="AI87" s="1163"/>
      <c r="AJ87" s="1163"/>
      <c r="AK87" s="1163"/>
      <c r="AL87" s="1163"/>
      <c r="AM87" s="1163"/>
      <c r="AN87" s="1163"/>
      <c r="AO87" s="1163"/>
      <c r="AP87" s="1163"/>
      <c r="AQ87" s="1163"/>
      <c r="AR87" s="1163"/>
      <c r="AS87" s="1163"/>
      <c r="AT87" s="1163"/>
      <c r="AU87" s="1163"/>
      <c r="AV87" s="1163"/>
      <c r="AW87" s="1163"/>
      <c r="AX87" s="1163"/>
      <c r="AY87" s="1163"/>
      <c r="AZ87" s="1163"/>
      <c r="BA87" s="1163"/>
      <c r="BB87" s="1163"/>
      <c r="BC87" s="1163"/>
      <c r="BD87" s="1163"/>
      <c r="BE87" s="1163"/>
      <c r="BF87" s="1165"/>
      <c r="BG87" s="311"/>
      <c r="BH87" s="69"/>
      <c r="BI87" s="73"/>
      <c r="BJ87" s="69"/>
      <c r="BK87" s="69"/>
      <c r="BL87" s="69"/>
      <c r="BM87" s="285" t="s">
        <v>380</v>
      </c>
      <c r="BN87" s="69"/>
      <c r="BO87" s="69"/>
      <c r="BP87" s="69"/>
      <c r="BQ87" s="69"/>
      <c r="BR87" s="285" t="b">
        <f>OR(AND(lrp=2,lehethaldemin&lt;&gt;""),AND(lrpn=3,lehethaldemin&lt;&gt;""))</f>
        <v>0</v>
      </c>
      <c r="BS87" s="69"/>
      <c r="BT87" s="69"/>
      <c r="BU87" s="69"/>
      <c r="BV87" s="69"/>
      <c r="BW87" s="69"/>
      <c r="BX87" s="69"/>
      <c r="BY87" s="69"/>
      <c r="BZ87" s="69"/>
      <c r="CA87" s="69"/>
      <c r="CB87" s="69"/>
      <c r="CC87" s="69"/>
      <c r="CD87" s="441"/>
    </row>
    <row r="88" spans="2:82" ht="14" x14ac:dyDescent="0.15">
      <c r="B88" s="315"/>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1191" t="str">
        <f>+IF(AND(AH79="",AH80="",AH81="",AH82="",AH83="",AH84="",AH776="",AH85="",AH86="",AH87=""),"A kiválasztott Programot és a fenti válaszokat figyelembe véve nincs olyan kategória, amelyben az MFB Zrt. finanszírozná az ügyletet, kérem konzultáljon a kapcsolattartójával!","A fenti kategóriák közül a Refinanszírozási kérelem fülön tud választani!")</f>
        <v>A kiválasztott Programot és a fenti válaszokat figyelembe véve nincs olyan kategória, amelyben az MFB Zrt. finanszírozná az ügyletet, kérem konzultáljon a kapcsolattartójával!</v>
      </c>
      <c r="AI88" s="1191"/>
      <c r="AJ88" s="1191"/>
      <c r="AK88" s="1191"/>
      <c r="AL88" s="1191"/>
      <c r="AM88" s="1191"/>
      <c r="AN88" s="1191"/>
      <c r="AO88" s="1191"/>
      <c r="AP88" s="1191"/>
      <c r="AQ88" s="1191"/>
      <c r="AR88" s="1191"/>
      <c r="AS88" s="1191"/>
      <c r="AT88" s="1191"/>
      <c r="AU88" s="1191"/>
      <c r="AV88" s="1191"/>
      <c r="AW88" s="1191"/>
      <c r="AX88" s="1191"/>
      <c r="AY88" s="1191"/>
      <c r="AZ88" s="1191"/>
      <c r="BA88" s="1191"/>
      <c r="BB88" s="1191"/>
      <c r="BC88" s="1191"/>
      <c r="BD88" s="1191"/>
      <c r="BE88" s="1191"/>
      <c r="BF88" s="1191"/>
      <c r="BG88" s="321"/>
      <c r="BH88" s="69"/>
      <c r="BI88" s="73"/>
      <c r="BJ88" s="69"/>
      <c r="BK88" s="69"/>
      <c r="BL88" s="69"/>
      <c r="BM88" s="285" t="s">
        <v>538</v>
      </c>
      <c r="BN88" s="69"/>
      <c r="BO88" s="69"/>
      <c r="BP88" s="69"/>
      <c r="BQ88" s="69"/>
      <c r="BR88" s="69"/>
      <c r="BS88" s="69"/>
      <c r="BT88" s="69"/>
      <c r="BU88" s="69"/>
      <c r="BV88" s="69"/>
      <c r="BW88" s="69"/>
      <c r="BX88" s="69"/>
      <c r="BY88" s="69"/>
      <c r="BZ88" s="69"/>
      <c r="CA88" s="69"/>
      <c r="CB88" s="69"/>
      <c r="CC88" s="69"/>
      <c r="CD88" s="441"/>
    </row>
    <row r="89" spans="2:82" x14ac:dyDescent="0.15">
      <c r="B89" s="1027"/>
      <c r="C89" s="1027"/>
      <c r="D89" s="1027"/>
      <c r="E89" s="1027"/>
      <c r="F89" s="1027"/>
      <c r="G89" s="1027"/>
      <c r="H89" s="1027"/>
      <c r="I89" s="1027"/>
      <c r="J89" s="1027"/>
      <c r="K89" s="1027"/>
      <c r="L89" s="1027"/>
      <c r="M89" s="1027"/>
      <c r="N89" s="1027"/>
      <c r="O89" s="1027"/>
      <c r="P89" s="1027"/>
      <c r="Q89" s="1027"/>
      <c r="R89" s="1027"/>
      <c r="S89" s="1027"/>
      <c r="T89" s="1027"/>
      <c r="U89" s="1027"/>
      <c r="V89" s="1027"/>
      <c r="W89" s="1027"/>
      <c r="X89" s="1027"/>
      <c r="Y89" s="1027"/>
      <c r="Z89" s="1027"/>
      <c r="AA89" s="1027"/>
      <c r="AB89" s="1027"/>
      <c r="AC89" s="1027"/>
      <c r="AD89" s="1027"/>
      <c r="AE89" s="1027"/>
      <c r="AF89" s="1027"/>
      <c r="AG89" s="1027"/>
      <c r="AH89" s="1027"/>
      <c r="AI89" s="1027"/>
      <c r="AJ89" s="1027"/>
      <c r="AK89" s="1027"/>
      <c r="AL89" s="1027"/>
      <c r="AM89" s="1027"/>
      <c r="AN89" s="1027"/>
      <c r="AO89" s="1027"/>
      <c r="AP89" s="1027"/>
      <c r="AQ89" s="1027"/>
      <c r="AR89" s="1027"/>
      <c r="AS89" s="1027"/>
      <c r="AT89" s="1027"/>
      <c r="AU89" s="1027"/>
      <c r="AV89" s="1027"/>
      <c r="AW89" s="1027"/>
      <c r="AX89" s="1027"/>
      <c r="AY89" s="1027"/>
      <c r="AZ89" s="1027"/>
      <c r="BA89" s="1027"/>
      <c r="BB89" s="1027"/>
      <c r="BC89" s="1027"/>
      <c r="BD89" s="1027"/>
      <c r="BE89" s="1027"/>
      <c r="BF89" s="1027"/>
      <c r="BG89" s="1027"/>
      <c r="BH89" s="288"/>
      <c r="BI89" s="73"/>
      <c r="BJ89" s="69"/>
      <c r="BK89" s="69"/>
      <c r="BL89" s="69"/>
      <c r="BM89" s="285" t="s">
        <v>539</v>
      </c>
      <c r="BN89" s="69"/>
      <c r="BO89" s="69"/>
      <c r="BP89" s="69"/>
      <c r="BQ89" s="69"/>
      <c r="BR89" s="69"/>
      <c r="BS89" s="69"/>
      <c r="BT89" s="69"/>
      <c r="BU89" s="69"/>
      <c r="BV89" s="69"/>
      <c r="BW89" s="69"/>
      <c r="BX89" s="69"/>
      <c r="BY89" s="69"/>
      <c r="BZ89" s="69"/>
      <c r="CA89" s="69"/>
      <c r="CB89" s="69"/>
      <c r="CC89" s="69"/>
      <c r="CD89" s="441"/>
    </row>
    <row r="90" spans="2:82" ht="14" thickBot="1" x14ac:dyDescent="0.2">
      <c r="BI90" s="76"/>
      <c r="BJ90" s="452"/>
      <c r="BK90" s="452"/>
      <c r="BL90" s="452"/>
      <c r="BM90" s="452"/>
      <c r="BN90" s="452"/>
      <c r="BO90" s="452"/>
      <c r="BP90" s="452"/>
      <c r="BQ90" s="452"/>
      <c r="BR90" s="452"/>
      <c r="BS90" s="452"/>
      <c r="BT90" s="452"/>
      <c r="BU90" s="452"/>
      <c r="BV90" s="452"/>
      <c r="BW90" s="452"/>
      <c r="BX90" s="452"/>
      <c r="BY90" s="452"/>
      <c r="BZ90" s="452"/>
      <c r="CA90" s="452"/>
      <c r="CB90" s="452"/>
      <c r="CC90" s="452"/>
      <c r="CD90" s="454"/>
    </row>
    <row r="91" spans="2:82" x14ac:dyDescent="0.15">
      <c r="BI91" s="73"/>
      <c r="BJ91" s="69"/>
      <c r="BK91" s="69"/>
      <c r="BL91" s="69"/>
      <c r="BM91" s="69"/>
      <c r="BN91" s="69"/>
      <c r="BO91" s="69"/>
      <c r="BP91" s="69"/>
      <c r="BQ91" s="69"/>
      <c r="BR91" s="69"/>
      <c r="BS91" s="69"/>
      <c r="BT91" s="69"/>
      <c r="BU91" s="69"/>
      <c r="BV91" s="69"/>
      <c r="BW91" s="69"/>
      <c r="BX91" s="69"/>
      <c r="BY91" s="69"/>
      <c r="BZ91" s="69"/>
      <c r="CA91" s="69"/>
      <c r="CB91" s="69"/>
      <c r="CC91" s="69"/>
      <c r="CD91" s="441"/>
    </row>
    <row r="92" spans="2:82" x14ac:dyDescent="0.15">
      <c r="BI92" s="73"/>
      <c r="BJ92" s="69"/>
      <c r="BK92" s="69"/>
      <c r="BL92" s="69"/>
      <c r="BM92" s="69"/>
      <c r="BN92" s="69"/>
      <c r="BO92" s="69"/>
      <c r="BP92" s="69"/>
      <c r="BQ92" s="69"/>
      <c r="BR92" s="69"/>
      <c r="BS92" s="69"/>
      <c r="BT92" s="459" t="s">
        <v>877</v>
      </c>
      <c r="BU92" s="69"/>
      <c r="BV92" s="69"/>
      <c r="BW92" s="69"/>
      <c r="BX92" s="69"/>
      <c r="BY92" s="69"/>
      <c r="BZ92" s="69"/>
      <c r="CA92" s="69"/>
      <c r="CB92" s="69"/>
      <c r="CC92" s="69"/>
      <c r="CD92" s="441"/>
    </row>
    <row r="93" spans="2:82" x14ac:dyDescent="0.15">
      <c r="BI93" s="73"/>
      <c r="BJ93" s="69"/>
      <c r="BK93" s="69"/>
      <c r="BL93" s="69"/>
      <c r="BM93" s="69"/>
      <c r="BN93" s="69"/>
      <c r="BO93" s="69"/>
      <c r="BP93" s="69"/>
      <c r="BQ93" s="69"/>
      <c r="BR93" s="69"/>
      <c r="BS93" s="69"/>
      <c r="BT93" s="285" t="s">
        <v>10</v>
      </c>
      <c r="BU93" s="69"/>
      <c r="BV93" s="69"/>
      <c r="BW93" s="69"/>
      <c r="BX93" s="69"/>
      <c r="BY93" s="69"/>
      <c r="BZ93" s="69"/>
      <c r="CA93" s="69"/>
      <c r="CB93" s="69"/>
      <c r="CC93" s="69"/>
      <c r="CD93" s="441"/>
    </row>
    <row r="94" spans="2:82" x14ac:dyDescent="0.15">
      <c r="BI94" s="73"/>
      <c r="BJ94" s="69"/>
      <c r="BK94" s="69"/>
      <c r="BL94" s="69"/>
      <c r="BM94" s="69"/>
      <c r="BN94" s="69"/>
      <c r="BO94" s="69"/>
      <c r="BP94" s="69"/>
      <c r="BQ94" s="69"/>
      <c r="BR94" s="69"/>
      <c r="BS94" s="69"/>
      <c r="BT94" s="285" t="s">
        <v>11</v>
      </c>
      <c r="BU94" s="69"/>
      <c r="BV94" s="69"/>
      <c r="BW94" s="69"/>
      <c r="BX94" s="69"/>
      <c r="BY94" s="69"/>
      <c r="BZ94" s="69"/>
      <c r="CA94" s="69"/>
      <c r="CB94" s="69"/>
      <c r="CC94" s="69"/>
      <c r="CD94" s="441"/>
    </row>
    <row r="95" spans="2:82" x14ac:dyDescent="0.15">
      <c r="BI95" s="73"/>
      <c r="BJ95" s="69"/>
      <c r="BK95" s="69"/>
      <c r="BL95" s="69"/>
      <c r="BM95" s="69"/>
      <c r="BN95" s="69"/>
      <c r="BO95" s="69"/>
      <c r="BP95" s="69"/>
      <c r="BQ95" s="69"/>
      <c r="BR95" s="69"/>
      <c r="BS95" s="69"/>
      <c r="BT95" s="285" t="s">
        <v>12</v>
      </c>
      <c r="BU95" s="69"/>
      <c r="BV95" s="69"/>
      <c r="BW95" s="69"/>
      <c r="BX95" s="69"/>
      <c r="BY95" s="69"/>
      <c r="BZ95" s="69"/>
      <c r="CA95" s="69"/>
      <c r="CB95" s="69"/>
      <c r="CC95" s="69"/>
      <c r="CD95" s="441"/>
    </row>
    <row r="96" spans="2:82" x14ac:dyDescent="0.15">
      <c r="BI96" s="73"/>
      <c r="BJ96" s="69"/>
      <c r="BK96" s="69"/>
      <c r="BL96" s="69"/>
      <c r="BM96" s="69"/>
      <c r="BN96" s="69"/>
      <c r="BO96" s="69"/>
      <c r="BP96" s="69"/>
      <c r="BQ96" s="69"/>
      <c r="BR96" s="69"/>
      <c r="BS96" s="69"/>
      <c r="BT96" s="285" t="s">
        <v>13</v>
      </c>
      <c r="BU96" s="69"/>
      <c r="BV96" s="69"/>
      <c r="BW96" s="69"/>
      <c r="BX96" s="69"/>
      <c r="BY96" s="69"/>
      <c r="BZ96" s="69"/>
      <c r="CA96" s="69"/>
      <c r="CB96" s="69"/>
      <c r="CC96" s="69"/>
      <c r="CD96" s="441"/>
    </row>
    <row r="97" spans="61:82" x14ac:dyDescent="0.15">
      <c r="BI97" s="73"/>
      <c r="BJ97" s="69"/>
      <c r="BK97" s="69"/>
      <c r="BL97" s="69"/>
      <c r="BM97" s="69"/>
      <c r="BN97" s="69"/>
      <c r="BO97" s="69"/>
      <c r="BP97" s="69"/>
      <c r="BQ97" s="69"/>
      <c r="BR97" s="69"/>
      <c r="BS97" s="69"/>
      <c r="BT97" s="285" t="s">
        <v>14</v>
      </c>
      <c r="BU97" s="69"/>
      <c r="BV97" s="69"/>
      <c r="BW97" s="69"/>
      <c r="BX97" s="69"/>
      <c r="BY97" s="69"/>
      <c r="BZ97" s="69"/>
      <c r="CA97" s="69"/>
      <c r="CB97" s="69"/>
      <c r="CC97" s="69"/>
      <c r="CD97" s="441"/>
    </row>
    <row r="98" spans="61:82" x14ac:dyDescent="0.15">
      <c r="BI98" s="73"/>
      <c r="BJ98" s="69"/>
      <c r="BK98" s="69"/>
      <c r="BL98" s="69"/>
      <c r="BM98" s="69"/>
      <c r="BN98" s="69"/>
      <c r="BO98" s="69"/>
      <c r="BP98" s="69"/>
      <c r="BQ98" s="69"/>
      <c r="BR98" s="69"/>
      <c r="BS98" s="69"/>
      <c r="BT98" s="285" t="s">
        <v>15</v>
      </c>
      <c r="BU98" s="69"/>
      <c r="BV98" s="69"/>
      <c r="BW98" s="69"/>
      <c r="BX98" s="69"/>
      <c r="BY98" s="69"/>
      <c r="BZ98" s="69"/>
      <c r="CA98" s="69"/>
      <c r="CB98" s="69"/>
      <c r="CC98" s="69"/>
      <c r="CD98" s="441"/>
    </row>
    <row r="99" spans="61:82" x14ac:dyDescent="0.15">
      <c r="BI99" s="73"/>
      <c r="BJ99" s="69"/>
      <c r="BK99" s="69"/>
      <c r="BL99" s="69"/>
      <c r="BM99" s="69"/>
      <c r="BN99" s="69"/>
      <c r="BO99" s="69"/>
      <c r="BP99" s="69"/>
      <c r="BQ99" s="69"/>
      <c r="BR99" s="69"/>
      <c r="BS99" s="69"/>
      <c r="BT99" s="285" t="s">
        <v>16</v>
      </c>
      <c r="BU99" s="69"/>
      <c r="BV99" s="69"/>
      <c r="BW99" s="69"/>
      <c r="BX99" s="69"/>
      <c r="BY99" s="69"/>
      <c r="BZ99" s="69"/>
      <c r="CA99" s="69"/>
      <c r="CB99" s="69"/>
      <c r="CC99" s="69"/>
      <c r="CD99" s="441"/>
    </row>
    <row r="100" spans="61:82" x14ac:dyDescent="0.15">
      <c r="BI100" s="73"/>
      <c r="BJ100" s="69"/>
      <c r="BK100" s="69"/>
      <c r="BL100" s="69"/>
      <c r="BM100" s="69"/>
      <c r="BN100" s="69"/>
      <c r="BO100" s="69"/>
      <c r="BP100" s="69"/>
      <c r="BQ100" s="69"/>
      <c r="BR100" s="69"/>
      <c r="BS100" s="69"/>
      <c r="BT100" s="285" t="s">
        <v>17</v>
      </c>
      <c r="BU100" s="69"/>
      <c r="BV100" s="69"/>
      <c r="BW100" s="69"/>
      <c r="BX100" s="69"/>
      <c r="BY100" s="69"/>
      <c r="BZ100" s="69"/>
      <c r="CA100" s="69"/>
      <c r="CB100" s="69"/>
      <c r="CC100" s="69"/>
      <c r="CD100" s="441"/>
    </row>
    <row r="101" spans="61:82" x14ac:dyDescent="0.15">
      <c r="BI101" s="73"/>
      <c r="BJ101" s="69"/>
      <c r="BK101" s="69"/>
      <c r="BL101" s="69"/>
      <c r="BM101" s="69"/>
      <c r="BN101" s="69"/>
      <c r="BO101" s="69"/>
      <c r="BP101" s="69"/>
      <c r="BQ101" s="69"/>
      <c r="BR101" s="69"/>
      <c r="BS101" s="69"/>
      <c r="BT101" s="285" t="s">
        <v>18</v>
      </c>
      <c r="BU101" s="69"/>
      <c r="BV101" s="69"/>
      <c r="BW101" s="69"/>
      <c r="BX101" s="69"/>
      <c r="BY101" s="69"/>
      <c r="BZ101" s="69"/>
      <c r="CA101" s="69"/>
      <c r="CB101" s="69"/>
      <c r="CC101" s="69"/>
      <c r="CD101" s="441"/>
    </row>
    <row r="102" spans="61:82" x14ac:dyDescent="0.15">
      <c r="BI102" s="73"/>
      <c r="BJ102" s="69"/>
      <c r="BK102" s="69"/>
      <c r="BL102" s="69"/>
      <c r="BM102" s="69"/>
      <c r="BN102" s="69"/>
      <c r="BO102" s="69"/>
      <c r="BP102" s="69"/>
      <c r="BQ102" s="69"/>
      <c r="BR102" s="69"/>
      <c r="BS102" s="69"/>
      <c r="BT102" s="285" t="s">
        <v>19</v>
      </c>
      <c r="BU102" s="69"/>
      <c r="BV102" s="69"/>
      <c r="BW102" s="69"/>
      <c r="BX102" s="69"/>
      <c r="BY102" s="69"/>
      <c r="BZ102" s="69"/>
      <c r="CA102" s="69"/>
      <c r="CB102" s="69"/>
      <c r="CC102" s="69"/>
      <c r="CD102" s="441"/>
    </row>
    <row r="103" spans="61:82" x14ac:dyDescent="0.15">
      <c r="BI103" s="73"/>
      <c r="BJ103" s="69"/>
      <c r="BK103" s="69"/>
      <c r="BL103" s="69"/>
      <c r="BM103" s="69"/>
      <c r="BN103" s="69"/>
      <c r="BO103" s="69"/>
      <c r="BP103" s="69"/>
      <c r="BQ103" s="69"/>
      <c r="BR103" s="69"/>
      <c r="BS103" s="69"/>
      <c r="BT103" s="285" t="s">
        <v>20</v>
      </c>
      <c r="BU103" s="69"/>
      <c r="BV103" s="69"/>
      <c r="BW103" s="69"/>
      <c r="BX103" s="69"/>
      <c r="BY103" s="69"/>
      <c r="BZ103" s="69"/>
      <c r="CA103" s="69"/>
      <c r="CB103" s="69"/>
      <c r="CC103" s="69"/>
      <c r="CD103" s="441"/>
    </row>
    <row r="104" spans="61:82" x14ac:dyDescent="0.15">
      <c r="BI104" s="73"/>
      <c r="BJ104" s="69"/>
      <c r="BK104" s="69"/>
      <c r="BL104" s="69"/>
      <c r="BM104" s="69"/>
      <c r="BN104" s="69"/>
      <c r="BO104" s="69"/>
      <c r="BP104" s="69"/>
      <c r="BQ104" s="69"/>
      <c r="BR104" s="69"/>
      <c r="BS104" s="69"/>
      <c r="BT104" s="285" t="s">
        <v>21</v>
      </c>
      <c r="BU104" s="69"/>
      <c r="BV104" s="69"/>
      <c r="BW104" s="69"/>
      <c r="BX104" s="69"/>
      <c r="BY104" s="69"/>
      <c r="BZ104" s="69"/>
      <c r="CA104" s="69"/>
      <c r="CB104" s="69"/>
      <c r="CC104" s="69"/>
      <c r="CD104" s="441"/>
    </row>
    <row r="105" spans="61:82" x14ac:dyDescent="0.15">
      <c r="BI105" s="73"/>
      <c r="BJ105" s="69"/>
      <c r="BK105" s="69"/>
      <c r="BL105" s="69"/>
      <c r="BM105" s="69"/>
      <c r="BN105" s="69"/>
      <c r="BO105" s="69"/>
      <c r="BP105" s="69"/>
      <c r="BQ105" s="69"/>
      <c r="BR105" s="69"/>
      <c r="BS105" s="69"/>
      <c r="BT105" s="285" t="s">
        <v>22</v>
      </c>
      <c r="BU105" s="69"/>
      <c r="BV105" s="69"/>
      <c r="BW105" s="69"/>
      <c r="BX105" s="69"/>
      <c r="BY105" s="69"/>
      <c r="BZ105" s="69"/>
      <c r="CA105" s="69"/>
      <c r="CB105" s="69"/>
      <c r="CC105" s="69"/>
      <c r="CD105" s="441"/>
    </row>
    <row r="106" spans="61:82" x14ac:dyDescent="0.15">
      <c r="BI106" s="73"/>
      <c r="BJ106" s="69"/>
      <c r="BK106" s="69"/>
      <c r="BL106" s="69"/>
      <c r="BM106" s="69"/>
      <c r="BN106" s="69"/>
      <c r="BO106" s="69"/>
      <c r="BP106" s="69"/>
      <c r="BQ106" s="69"/>
      <c r="BR106" s="69"/>
      <c r="BS106" s="69"/>
      <c r="BT106" s="285" t="s">
        <v>23</v>
      </c>
      <c r="BU106" s="69"/>
      <c r="BV106" s="69"/>
      <c r="BW106" s="69"/>
      <c r="BX106" s="69"/>
      <c r="BY106" s="69"/>
      <c r="BZ106" s="69"/>
      <c r="CA106" s="69"/>
      <c r="CB106" s="69"/>
      <c r="CC106" s="69"/>
      <c r="CD106" s="441"/>
    </row>
    <row r="107" spans="61:82" x14ac:dyDescent="0.15">
      <c r="BI107" s="73"/>
      <c r="BJ107" s="69"/>
      <c r="BK107" s="69"/>
      <c r="BL107" s="69"/>
      <c r="BM107" s="69"/>
      <c r="BN107" s="69"/>
      <c r="BO107" s="69"/>
      <c r="BP107" s="69"/>
      <c r="BQ107" s="69"/>
      <c r="BR107" s="69"/>
      <c r="BS107" s="69"/>
      <c r="BT107" s="285" t="s">
        <v>24</v>
      </c>
      <c r="BU107" s="69"/>
      <c r="BV107" s="69"/>
      <c r="BW107" s="69"/>
      <c r="BX107" s="69"/>
      <c r="BY107" s="69"/>
      <c r="BZ107" s="69"/>
      <c r="CA107" s="69"/>
      <c r="CB107" s="69"/>
      <c r="CC107" s="69"/>
      <c r="CD107" s="441"/>
    </row>
    <row r="108" spans="61:82" x14ac:dyDescent="0.15">
      <c r="BI108" s="73"/>
      <c r="BJ108" s="69"/>
      <c r="BK108" s="69"/>
      <c r="BL108" s="69"/>
      <c r="BM108" s="69"/>
      <c r="BN108" s="69"/>
      <c r="BO108" s="69"/>
      <c r="BP108" s="69"/>
      <c r="BQ108" s="69"/>
      <c r="BR108" s="69"/>
      <c r="BS108" s="69"/>
      <c r="BT108" s="285" t="s">
        <v>25</v>
      </c>
      <c r="BU108" s="69"/>
      <c r="BV108" s="69"/>
      <c r="BW108" s="69"/>
      <c r="BX108" s="69"/>
      <c r="BY108" s="69"/>
      <c r="BZ108" s="69"/>
      <c r="CA108" s="69"/>
      <c r="CB108" s="69"/>
      <c r="CC108" s="69"/>
      <c r="CD108" s="441"/>
    </row>
    <row r="109" spans="61:82" x14ac:dyDescent="0.15">
      <c r="BI109" s="73"/>
      <c r="BJ109" s="69"/>
      <c r="BK109" s="69"/>
      <c r="BL109" s="69"/>
      <c r="BM109" s="69"/>
      <c r="BN109" s="69"/>
      <c r="BO109" s="69"/>
      <c r="BP109" s="69"/>
      <c r="BQ109" s="69"/>
      <c r="BR109" s="69"/>
      <c r="BS109" s="69"/>
      <c r="BT109" s="285" t="s">
        <v>26</v>
      </c>
      <c r="BU109" s="69"/>
      <c r="BV109" s="69"/>
      <c r="BW109" s="69"/>
      <c r="BX109" s="69"/>
      <c r="BY109" s="69"/>
      <c r="BZ109" s="69"/>
      <c r="CA109" s="69"/>
      <c r="CB109" s="69"/>
      <c r="CC109" s="69"/>
      <c r="CD109" s="441"/>
    </row>
    <row r="110" spans="61:82" x14ac:dyDescent="0.15">
      <c r="BI110" s="73"/>
      <c r="BJ110" s="69"/>
      <c r="BK110" s="69"/>
      <c r="BL110" s="69"/>
      <c r="BM110" s="69"/>
      <c r="BN110" s="69"/>
      <c r="BO110" s="69"/>
      <c r="BP110" s="69"/>
      <c r="BQ110" s="69"/>
      <c r="BR110" s="69"/>
      <c r="BS110" s="69"/>
      <c r="BT110" s="285" t="s">
        <v>27</v>
      </c>
      <c r="BU110" s="69"/>
      <c r="BV110" s="69"/>
      <c r="BW110" s="69"/>
      <c r="BX110" s="69"/>
      <c r="BY110" s="69"/>
      <c r="BZ110" s="69"/>
      <c r="CA110" s="69"/>
      <c r="CB110" s="69"/>
      <c r="CC110" s="69"/>
      <c r="CD110" s="441"/>
    </row>
    <row r="111" spans="61:82" x14ac:dyDescent="0.15">
      <c r="BI111" s="73"/>
      <c r="BJ111" s="69"/>
      <c r="BK111" s="69"/>
      <c r="BL111" s="69"/>
      <c r="BM111" s="69"/>
      <c r="BN111" s="69"/>
      <c r="BO111" s="69"/>
      <c r="BP111" s="69"/>
      <c r="BQ111" s="69"/>
      <c r="BR111" s="69"/>
      <c r="BS111" s="69"/>
      <c r="BT111" s="285" t="s">
        <v>28</v>
      </c>
      <c r="BU111" s="69"/>
      <c r="BV111" s="69"/>
      <c r="BW111" s="69"/>
      <c r="BX111" s="69"/>
      <c r="BY111" s="69"/>
      <c r="BZ111" s="69"/>
      <c r="CA111" s="69"/>
      <c r="CB111" s="69"/>
      <c r="CC111" s="69"/>
      <c r="CD111" s="441"/>
    </row>
    <row r="112" spans="61:82" x14ac:dyDescent="0.15">
      <c r="BI112" s="73"/>
      <c r="BJ112" s="69"/>
      <c r="BK112" s="69"/>
      <c r="BL112" s="69"/>
      <c r="BM112" s="69"/>
      <c r="BN112" s="69"/>
      <c r="BO112" s="69"/>
      <c r="BP112" s="69"/>
      <c r="BQ112" s="69"/>
      <c r="BR112" s="69"/>
      <c r="BS112" s="69"/>
      <c r="BT112" s="285" t="s">
        <v>99</v>
      </c>
      <c r="BU112" s="69"/>
      <c r="BV112" s="69"/>
      <c r="BW112" s="69"/>
      <c r="BX112" s="69"/>
      <c r="BY112" s="69"/>
      <c r="BZ112" s="69"/>
      <c r="CA112" s="69"/>
      <c r="CB112" s="69"/>
      <c r="CC112" s="69"/>
      <c r="CD112" s="441"/>
    </row>
    <row r="113" spans="61:82" x14ac:dyDescent="0.15">
      <c r="BI113" s="73"/>
      <c r="BJ113" s="69"/>
      <c r="BK113" s="69"/>
      <c r="BL113" s="69"/>
      <c r="BM113" s="69"/>
      <c r="BN113" s="69"/>
      <c r="BO113" s="69"/>
      <c r="BP113" s="69"/>
      <c r="BQ113" s="69"/>
      <c r="BR113" s="69"/>
      <c r="BS113" s="69"/>
      <c r="BT113" s="285" t="s">
        <v>29</v>
      </c>
      <c r="BU113" s="69"/>
      <c r="BV113" s="69"/>
      <c r="BW113" s="69"/>
      <c r="BX113" s="69"/>
      <c r="BY113" s="69"/>
      <c r="BZ113" s="69"/>
      <c r="CA113" s="69"/>
      <c r="CB113" s="69"/>
      <c r="CC113" s="69"/>
      <c r="CD113" s="441"/>
    </row>
    <row r="114" spans="61:82" x14ac:dyDescent="0.15">
      <c r="BI114" s="73"/>
      <c r="BJ114" s="69"/>
      <c r="BK114" s="69"/>
      <c r="BL114" s="69"/>
      <c r="BM114" s="69"/>
      <c r="BN114" s="69"/>
      <c r="BO114" s="69"/>
      <c r="BP114" s="69"/>
      <c r="BQ114" s="69"/>
      <c r="BR114" s="69"/>
      <c r="BS114" s="69"/>
      <c r="BT114" s="285" t="s">
        <v>30</v>
      </c>
      <c r="BU114" s="69"/>
      <c r="BV114" s="69"/>
      <c r="BW114" s="69"/>
      <c r="BX114" s="69"/>
      <c r="BY114" s="69"/>
      <c r="BZ114" s="69"/>
      <c r="CA114" s="69"/>
      <c r="CB114" s="69"/>
      <c r="CC114" s="69"/>
      <c r="CD114" s="441"/>
    </row>
    <row r="115" spans="61:82" x14ac:dyDescent="0.15">
      <c r="BI115" s="73"/>
      <c r="BJ115" s="69"/>
      <c r="BK115" s="69"/>
      <c r="BL115" s="69"/>
      <c r="BM115" s="69"/>
      <c r="BN115" s="69"/>
      <c r="BO115" s="69"/>
      <c r="BP115" s="69"/>
      <c r="BQ115" s="69"/>
      <c r="BR115" s="69"/>
      <c r="BS115" s="69"/>
      <c r="BT115" s="285" t="s">
        <v>31</v>
      </c>
      <c r="BU115" s="69"/>
      <c r="BV115" s="69"/>
      <c r="BW115" s="69"/>
      <c r="BX115" s="69"/>
      <c r="BY115" s="69"/>
      <c r="BZ115" s="69"/>
      <c r="CA115" s="69"/>
      <c r="CB115" s="69"/>
      <c r="CC115" s="69"/>
      <c r="CD115" s="441"/>
    </row>
    <row r="116" spans="61:82" x14ac:dyDescent="0.15">
      <c r="BI116" s="73"/>
      <c r="BJ116" s="69"/>
      <c r="BK116" s="69"/>
      <c r="BL116" s="69"/>
      <c r="BM116" s="69"/>
      <c r="BN116" s="69"/>
      <c r="BO116" s="69"/>
      <c r="BP116" s="69"/>
      <c r="BQ116" s="69"/>
      <c r="BR116" s="69"/>
      <c r="BS116" s="69"/>
      <c r="BT116" s="285" t="s">
        <v>32</v>
      </c>
      <c r="BU116" s="69"/>
      <c r="BV116" s="69"/>
      <c r="BW116" s="69"/>
      <c r="BX116" s="69"/>
      <c r="BY116" s="69"/>
      <c r="BZ116" s="69"/>
      <c r="CA116" s="69"/>
      <c r="CB116" s="69"/>
      <c r="CC116" s="69"/>
      <c r="CD116" s="441"/>
    </row>
    <row r="117" spans="61:82" x14ac:dyDescent="0.15">
      <c r="BI117" s="73"/>
      <c r="BJ117" s="69"/>
      <c r="BK117" s="69"/>
      <c r="BL117" s="69"/>
      <c r="BM117" s="69"/>
      <c r="BN117" s="69"/>
      <c r="BO117" s="69"/>
      <c r="BP117" s="69"/>
      <c r="BQ117" s="69"/>
      <c r="BR117" s="69"/>
      <c r="BS117" s="69"/>
      <c r="BT117" s="285" t="s">
        <v>546</v>
      </c>
      <c r="BU117" s="69"/>
      <c r="BV117" s="69"/>
      <c r="BW117" s="69"/>
      <c r="BX117" s="69"/>
      <c r="BY117" s="69"/>
      <c r="BZ117" s="69"/>
      <c r="CA117" s="69"/>
      <c r="CB117" s="69"/>
      <c r="CC117" s="69"/>
      <c r="CD117" s="441"/>
    </row>
    <row r="118" spans="61:82" x14ac:dyDescent="0.15">
      <c r="BI118" s="73"/>
      <c r="BJ118" s="69"/>
      <c r="BK118" s="69"/>
      <c r="BL118" s="69"/>
      <c r="BM118" s="69"/>
      <c r="BN118" s="69"/>
      <c r="BO118" s="69"/>
      <c r="BP118" s="69"/>
      <c r="BQ118" s="69"/>
      <c r="BR118" s="69"/>
      <c r="BS118" s="69"/>
      <c r="BT118" s="285" t="s">
        <v>34</v>
      </c>
      <c r="BU118" s="69"/>
      <c r="BV118" s="69"/>
      <c r="BW118" s="69"/>
      <c r="BX118" s="69"/>
      <c r="BY118" s="69"/>
      <c r="BZ118" s="69"/>
      <c r="CA118" s="69"/>
      <c r="CB118" s="69"/>
      <c r="CC118" s="69"/>
      <c r="CD118" s="441"/>
    </row>
    <row r="119" spans="61:82" x14ac:dyDescent="0.15">
      <c r="BI119" s="73"/>
      <c r="BJ119" s="69"/>
      <c r="BK119" s="69"/>
      <c r="BL119" s="69"/>
      <c r="BM119" s="69"/>
      <c r="BN119" s="69"/>
      <c r="BO119" s="69"/>
      <c r="BP119" s="69"/>
      <c r="BQ119" s="69"/>
      <c r="BR119" s="69"/>
      <c r="BS119" s="69"/>
      <c r="BT119" s="285" t="s">
        <v>35</v>
      </c>
      <c r="BU119" s="69"/>
      <c r="BV119" s="69"/>
      <c r="BW119" s="69"/>
      <c r="BX119" s="69"/>
      <c r="BY119" s="69"/>
      <c r="BZ119" s="69"/>
      <c r="CA119" s="69"/>
      <c r="CB119" s="69"/>
      <c r="CC119" s="69"/>
      <c r="CD119" s="441"/>
    </row>
    <row r="120" spans="61:82" x14ac:dyDescent="0.15">
      <c r="BI120" s="73"/>
      <c r="BJ120" s="69"/>
      <c r="BK120" s="69"/>
      <c r="BL120" s="69"/>
      <c r="BM120" s="69"/>
      <c r="BN120" s="69"/>
      <c r="BO120" s="69"/>
      <c r="BP120" s="69"/>
      <c r="BQ120" s="69"/>
      <c r="BR120" s="69"/>
      <c r="BS120" s="69"/>
      <c r="BT120" s="285" t="s">
        <v>36</v>
      </c>
      <c r="BU120" s="69"/>
      <c r="BV120" s="69"/>
      <c r="BW120" s="69"/>
      <c r="BX120" s="69"/>
      <c r="BY120" s="69"/>
      <c r="BZ120" s="69"/>
      <c r="CA120" s="69"/>
      <c r="CB120" s="69"/>
      <c r="CC120" s="69"/>
      <c r="CD120" s="441"/>
    </row>
    <row r="121" spans="61:82" x14ac:dyDescent="0.15">
      <c r="BI121" s="73"/>
      <c r="BJ121" s="69"/>
      <c r="BK121" s="69"/>
      <c r="BL121" s="69"/>
      <c r="BM121" s="69"/>
      <c r="BN121" s="69"/>
      <c r="BO121" s="69"/>
      <c r="BP121" s="69"/>
      <c r="BQ121" s="69"/>
      <c r="BR121" s="69"/>
      <c r="BS121" s="69"/>
      <c r="BT121" s="285" t="s">
        <v>37</v>
      </c>
      <c r="BU121" s="69"/>
      <c r="BV121" s="69"/>
      <c r="BW121" s="69"/>
      <c r="BX121" s="69"/>
      <c r="BY121" s="69"/>
      <c r="BZ121" s="69"/>
      <c r="CA121" s="69"/>
      <c r="CB121" s="69"/>
      <c r="CC121" s="69"/>
      <c r="CD121" s="441"/>
    </row>
    <row r="122" spans="61:82" x14ac:dyDescent="0.15">
      <c r="BI122" s="73"/>
      <c r="BJ122" s="69"/>
      <c r="BK122" s="69"/>
      <c r="BL122" s="69"/>
      <c r="BM122" s="69"/>
      <c r="BN122" s="69"/>
      <c r="BO122" s="69"/>
      <c r="BP122" s="69"/>
      <c r="BQ122" s="69"/>
      <c r="BR122" s="69"/>
      <c r="BS122" s="69"/>
      <c r="BT122" s="285" t="s">
        <v>38</v>
      </c>
      <c r="BU122" s="69"/>
      <c r="BV122" s="69"/>
      <c r="BW122" s="69"/>
      <c r="BX122" s="69"/>
      <c r="BY122" s="69"/>
      <c r="BZ122" s="69"/>
      <c r="CA122" s="69"/>
      <c r="CB122" s="69"/>
      <c r="CC122" s="69"/>
      <c r="CD122" s="441"/>
    </row>
    <row r="123" spans="61:82" x14ac:dyDescent="0.15">
      <c r="BI123" s="73"/>
      <c r="BJ123" s="69"/>
      <c r="BK123" s="69"/>
      <c r="BL123" s="69"/>
      <c r="BM123" s="69"/>
      <c r="BN123" s="69"/>
      <c r="BO123" s="69"/>
      <c r="BP123" s="69"/>
      <c r="BQ123" s="69"/>
      <c r="BR123" s="69"/>
      <c r="BS123" s="69"/>
      <c r="BT123" s="285" t="s">
        <v>39</v>
      </c>
      <c r="BU123" s="69"/>
      <c r="BV123" s="69"/>
      <c r="BW123" s="69"/>
      <c r="BX123" s="69"/>
      <c r="BY123" s="69"/>
      <c r="BZ123" s="69"/>
      <c r="CA123" s="69"/>
      <c r="CB123" s="69"/>
      <c r="CC123" s="69"/>
      <c r="CD123" s="441"/>
    </row>
    <row r="124" spans="61:82" x14ac:dyDescent="0.15">
      <c r="BI124" s="73"/>
      <c r="BJ124" s="69"/>
      <c r="BK124" s="69"/>
      <c r="BL124" s="69"/>
      <c r="BM124" s="69"/>
      <c r="BN124" s="69"/>
      <c r="BO124" s="69"/>
      <c r="BP124" s="69"/>
      <c r="BQ124" s="69"/>
      <c r="BR124" s="69"/>
      <c r="BS124" s="69"/>
      <c r="BT124" s="285" t="s">
        <v>40</v>
      </c>
      <c r="BU124" s="69"/>
      <c r="BV124" s="69"/>
      <c r="BW124" s="69"/>
      <c r="BX124" s="69"/>
      <c r="BY124" s="69"/>
      <c r="BZ124" s="69"/>
      <c r="CA124" s="69"/>
      <c r="CB124" s="69"/>
      <c r="CC124" s="69"/>
      <c r="CD124" s="441"/>
    </row>
    <row r="125" spans="61:82" x14ac:dyDescent="0.15">
      <c r="BI125" s="73"/>
      <c r="BJ125" s="69"/>
      <c r="BK125" s="69"/>
      <c r="BL125" s="69"/>
      <c r="BM125" s="69"/>
      <c r="BN125" s="69"/>
      <c r="BO125" s="69"/>
      <c r="BP125" s="69"/>
      <c r="BQ125" s="69"/>
      <c r="BR125" s="69"/>
      <c r="BS125" s="69"/>
      <c r="BT125" s="285" t="s">
        <v>41</v>
      </c>
      <c r="BU125" s="69"/>
      <c r="BV125" s="69"/>
      <c r="BW125" s="69"/>
      <c r="BX125" s="69"/>
      <c r="BY125" s="69"/>
      <c r="BZ125" s="69"/>
      <c r="CA125" s="69"/>
      <c r="CB125" s="69"/>
      <c r="CC125" s="69"/>
      <c r="CD125" s="441"/>
    </row>
    <row r="126" spans="61:82" x14ac:dyDescent="0.15">
      <c r="BI126" s="73"/>
      <c r="BJ126" s="69"/>
      <c r="BK126" s="69"/>
      <c r="BL126" s="69"/>
      <c r="BM126" s="69"/>
      <c r="BN126" s="69"/>
      <c r="BO126" s="69"/>
      <c r="BP126" s="69"/>
      <c r="BQ126" s="69"/>
      <c r="BR126" s="69"/>
      <c r="BS126" s="69"/>
      <c r="BT126" s="285" t="s">
        <v>42</v>
      </c>
      <c r="BU126" s="69"/>
      <c r="BV126" s="69"/>
      <c r="BW126" s="69"/>
      <c r="BX126" s="69"/>
      <c r="BY126" s="69"/>
      <c r="BZ126" s="69"/>
      <c r="CA126" s="69"/>
      <c r="CB126" s="69"/>
      <c r="CC126" s="69"/>
      <c r="CD126" s="441"/>
    </row>
    <row r="127" spans="61:82" x14ac:dyDescent="0.15">
      <c r="BI127" s="73"/>
      <c r="BJ127" s="69"/>
      <c r="BK127" s="69"/>
      <c r="BL127" s="69"/>
      <c r="BM127" s="69"/>
      <c r="BN127" s="69"/>
      <c r="BO127" s="69"/>
      <c r="BP127" s="69"/>
      <c r="BQ127" s="69"/>
      <c r="BR127" s="69"/>
      <c r="BS127" s="69"/>
      <c r="BT127" s="285" t="s">
        <v>43</v>
      </c>
      <c r="BU127" s="69"/>
      <c r="BV127" s="69"/>
      <c r="BW127" s="69"/>
      <c r="BX127" s="69"/>
      <c r="BY127" s="69"/>
      <c r="BZ127" s="69"/>
      <c r="CA127" s="69"/>
      <c r="CB127" s="69"/>
      <c r="CC127" s="69"/>
      <c r="CD127" s="441"/>
    </row>
    <row r="128" spans="61:82" x14ac:dyDescent="0.15">
      <c r="BI128" s="73"/>
      <c r="BJ128" s="69"/>
      <c r="BK128" s="69"/>
      <c r="BL128" s="69"/>
      <c r="BM128" s="69"/>
      <c r="BN128" s="69"/>
      <c r="BO128" s="69"/>
      <c r="BP128" s="69"/>
      <c r="BQ128" s="69"/>
      <c r="BR128" s="69"/>
      <c r="BS128" s="69"/>
      <c r="BT128" s="285" t="s">
        <v>44</v>
      </c>
      <c r="BU128" s="69"/>
      <c r="BV128" s="69"/>
      <c r="BW128" s="69"/>
      <c r="BX128" s="69"/>
      <c r="BY128" s="69"/>
      <c r="BZ128" s="69"/>
      <c r="CA128" s="69"/>
      <c r="CB128" s="69"/>
      <c r="CC128" s="69"/>
      <c r="CD128" s="441"/>
    </row>
    <row r="129" spans="61:82" x14ac:dyDescent="0.15">
      <c r="BI129" s="73"/>
      <c r="BJ129" s="69"/>
      <c r="BK129" s="69"/>
      <c r="BL129" s="69"/>
      <c r="BM129" s="69"/>
      <c r="BN129" s="69"/>
      <c r="BO129" s="69"/>
      <c r="BP129" s="69"/>
      <c r="BQ129" s="69"/>
      <c r="BR129" s="69"/>
      <c r="BS129" s="69"/>
      <c r="BT129" s="285" t="s">
        <v>45</v>
      </c>
      <c r="BU129" s="69"/>
      <c r="BV129" s="69"/>
      <c r="BW129" s="69"/>
      <c r="BX129" s="69"/>
      <c r="BY129" s="69"/>
      <c r="BZ129" s="69"/>
      <c r="CA129" s="69"/>
      <c r="CB129" s="69"/>
      <c r="CC129" s="69"/>
      <c r="CD129" s="441"/>
    </row>
    <row r="130" spans="61:82" x14ac:dyDescent="0.15">
      <c r="BI130" s="73"/>
      <c r="BJ130" s="69"/>
      <c r="BK130" s="69"/>
      <c r="BL130" s="69"/>
      <c r="BM130" s="69"/>
      <c r="BN130" s="69"/>
      <c r="BO130" s="69"/>
      <c r="BP130" s="69"/>
      <c r="BQ130" s="69"/>
      <c r="BR130" s="69"/>
      <c r="BS130" s="69"/>
      <c r="BT130" s="285" t="s">
        <v>46</v>
      </c>
      <c r="BU130" s="69"/>
      <c r="BV130" s="69"/>
      <c r="BW130" s="69"/>
      <c r="BX130" s="69"/>
      <c r="BY130" s="69"/>
      <c r="BZ130" s="69"/>
      <c r="CA130" s="69"/>
      <c r="CB130" s="69"/>
      <c r="CC130" s="69"/>
      <c r="CD130" s="441"/>
    </row>
    <row r="131" spans="61:82" x14ac:dyDescent="0.15">
      <c r="BI131" s="73"/>
      <c r="BJ131" s="69"/>
      <c r="BK131" s="69"/>
      <c r="BL131" s="69"/>
      <c r="BM131" s="69"/>
      <c r="BN131" s="69"/>
      <c r="BO131" s="69"/>
      <c r="BP131" s="69"/>
      <c r="BQ131" s="69"/>
      <c r="BR131" s="69"/>
      <c r="BS131" s="69"/>
      <c r="BT131" s="285" t="s">
        <v>47</v>
      </c>
      <c r="BU131" s="69"/>
      <c r="BV131" s="69"/>
      <c r="BW131" s="69"/>
      <c r="BX131" s="69"/>
      <c r="BY131" s="69"/>
      <c r="BZ131" s="69"/>
      <c r="CA131" s="69"/>
      <c r="CB131" s="69"/>
      <c r="CC131" s="69"/>
      <c r="CD131" s="441"/>
    </row>
    <row r="132" spans="61:82" x14ac:dyDescent="0.15">
      <c r="BI132" s="73"/>
      <c r="BJ132" s="69"/>
      <c r="BK132" s="69"/>
      <c r="BL132" s="69"/>
      <c r="BM132" s="69"/>
      <c r="BN132" s="69"/>
      <c r="BO132" s="69"/>
      <c r="BP132" s="69"/>
      <c r="BQ132" s="69"/>
      <c r="BR132" s="69"/>
      <c r="BS132" s="69"/>
      <c r="BT132" s="285" t="s">
        <v>48</v>
      </c>
      <c r="BU132" s="69"/>
      <c r="BV132" s="69"/>
      <c r="BW132" s="69"/>
      <c r="BX132" s="69"/>
      <c r="BY132" s="69"/>
      <c r="BZ132" s="69"/>
      <c r="CA132" s="69"/>
      <c r="CB132" s="69"/>
      <c r="CC132" s="69"/>
      <c r="CD132" s="441"/>
    </row>
    <row r="133" spans="61:82" x14ac:dyDescent="0.15">
      <c r="BI133" s="73"/>
      <c r="BJ133" s="69"/>
      <c r="BK133" s="69"/>
      <c r="BL133" s="69"/>
      <c r="BM133" s="69"/>
      <c r="BN133" s="69"/>
      <c r="BO133" s="69"/>
      <c r="BP133" s="69"/>
      <c r="BQ133" s="69"/>
      <c r="BR133" s="69"/>
      <c r="BS133" s="69"/>
      <c r="BT133" s="285" t="s">
        <v>49</v>
      </c>
      <c r="BU133" s="69"/>
      <c r="BV133" s="69"/>
      <c r="BW133" s="69"/>
      <c r="BX133" s="69"/>
      <c r="BY133" s="69"/>
      <c r="BZ133" s="69"/>
      <c r="CA133" s="69"/>
      <c r="CB133" s="69"/>
      <c r="CC133" s="69"/>
      <c r="CD133" s="441"/>
    </row>
    <row r="134" spans="61:82" x14ac:dyDescent="0.15">
      <c r="BI134" s="73"/>
      <c r="BJ134" s="69"/>
      <c r="BK134" s="69"/>
      <c r="BL134" s="69"/>
      <c r="BM134" s="69"/>
      <c r="BN134" s="69"/>
      <c r="BO134" s="69"/>
      <c r="BP134" s="69"/>
      <c r="BQ134" s="69"/>
      <c r="BR134" s="69"/>
      <c r="BS134" s="69"/>
      <c r="BT134" s="285" t="s">
        <v>50</v>
      </c>
      <c r="BU134" s="69"/>
      <c r="BV134" s="69"/>
      <c r="BW134" s="69"/>
      <c r="BX134" s="69"/>
      <c r="BY134" s="69"/>
      <c r="BZ134" s="69"/>
      <c r="CA134" s="69"/>
      <c r="CB134" s="69"/>
      <c r="CC134" s="69"/>
      <c r="CD134" s="441"/>
    </row>
    <row r="135" spans="61:82" x14ac:dyDescent="0.15">
      <c r="BI135" s="73"/>
      <c r="BJ135" s="69"/>
      <c r="BK135" s="69"/>
      <c r="BL135" s="69"/>
      <c r="BM135" s="69"/>
      <c r="BN135" s="69"/>
      <c r="BO135" s="69"/>
      <c r="BP135" s="69"/>
      <c r="BQ135" s="69"/>
      <c r="BR135" s="69"/>
      <c r="BS135" s="69"/>
      <c r="BT135" s="285" t="s">
        <v>51</v>
      </c>
      <c r="BU135" s="69"/>
      <c r="BV135" s="69"/>
      <c r="BW135" s="69"/>
      <c r="BX135" s="69"/>
      <c r="BY135" s="69"/>
      <c r="BZ135" s="69"/>
      <c r="CA135" s="69"/>
      <c r="CB135" s="69"/>
      <c r="CC135" s="69"/>
      <c r="CD135" s="441"/>
    </row>
    <row r="136" spans="61:82" x14ac:dyDescent="0.15">
      <c r="BI136" s="73"/>
      <c r="BJ136" s="69"/>
      <c r="BK136" s="69"/>
      <c r="BL136" s="69"/>
      <c r="BM136" s="69"/>
      <c r="BN136" s="69"/>
      <c r="BO136" s="69"/>
      <c r="BP136" s="69"/>
      <c r="BQ136" s="69"/>
      <c r="BR136" s="69"/>
      <c r="BS136" s="69"/>
      <c r="BT136" s="285" t="s">
        <v>52</v>
      </c>
      <c r="BU136" s="69"/>
      <c r="BV136" s="69"/>
      <c r="BW136" s="69"/>
      <c r="BX136" s="69"/>
      <c r="BY136" s="69"/>
      <c r="BZ136" s="69"/>
      <c r="CA136" s="69"/>
      <c r="CB136" s="69"/>
      <c r="CC136" s="69"/>
      <c r="CD136" s="441"/>
    </row>
    <row r="137" spans="61:82" x14ac:dyDescent="0.15">
      <c r="BI137" s="73"/>
      <c r="BJ137" s="69"/>
      <c r="BK137" s="69"/>
      <c r="BL137" s="69"/>
      <c r="BM137" s="69"/>
      <c r="BN137" s="69"/>
      <c r="BO137" s="69"/>
      <c r="BP137" s="69"/>
      <c r="BQ137" s="69"/>
      <c r="BR137" s="69"/>
      <c r="BS137" s="69"/>
      <c r="BT137" s="285" t="s">
        <v>53</v>
      </c>
      <c r="BU137" s="69"/>
      <c r="BV137" s="69"/>
      <c r="BW137" s="69"/>
      <c r="BX137" s="69"/>
      <c r="BY137" s="69"/>
      <c r="BZ137" s="69"/>
      <c r="CA137" s="69"/>
      <c r="CB137" s="69"/>
      <c r="CC137" s="69"/>
      <c r="CD137" s="441"/>
    </row>
    <row r="138" spans="61:82" x14ac:dyDescent="0.15">
      <c r="BI138" s="73"/>
      <c r="BJ138" s="69"/>
      <c r="BK138" s="69"/>
      <c r="BL138" s="69"/>
      <c r="BM138" s="69"/>
      <c r="BN138" s="69"/>
      <c r="BO138" s="69"/>
      <c r="BP138" s="69"/>
      <c r="BQ138" s="69"/>
      <c r="BR138" s="69"/>
      <c r="BS138" s="69"/>
      <c r="BT138" s="285" t="s">
        <v>547</v>
      </c>
      <c r="BU138" s="69"/>
      <c r="BV138" s="69"/>
      <c r="BW138" s="69"/>
      <c r="BX138" s="69"/>
      <c r="BY138" s="69"/>
      <c r="BZ138" s="69"/>
      <c r="CA138" s="69"/>
      <c r="CB138" s="69"/>
      <c r="CC138" s="69"/>
      <c r="CD138" s="441"/>
    </row>
    <row r="139" spans="61:82" x14ac:dyDescent="0.15">
      <c r="BI139" s="73"/>
      <c r="BJ139" s="69"/>
      <c r="BK139" s="69"/>
      <c r="BL139" s="69"/>
      <c r="BM139" s="69"/>
      <c r="BN139" s="69"/>
      <c r="BO139" s="69"/>
      <c r="BP139" s="69"/>
      <c r="BQ139" s="69"/>
      <c r="BR139" s="69"/>
      <c r="BS139" s="69"/>
      <c r="BT139" s="285" t="s">
        <v>55</v>
      </c>
      <c r="BU139" s="69"/>
      <c r="BV139" s="69"/>
      <c r="BW139" s="69"/>
      <c r="BX139" s="69"/>
      <c r="BY139" s="69"/>
      <c r="BZ139" s="69"/>
      <c r="CA139" s="69"/>
      <c r="CB139" s="69"/>
      <c r="CC139" s="69"/>
      <c r="CD139" s="441"/>
    </row>
    <row r="140" spans="61:82" x14ac:dyDescent="0.15">
      <c r="BI140" s="73"/>
      <c r="BJ140" s="69"/>
      <c r="BK140" s="69"/>
      <c r="BL140" s="69"/>
      <c r="BM140" s="69"/>
      <c r="BN140" s="69"/>
      <c r="BO140" s="69"/>
      <c r="BP140" s="69"/>
      <c r="BQ140" s="69"/>
      <c r="BR140" s="69"/>
      <c r="BS140" s="69"/>
      <c r="BT140" s="285" t="s">
        <v>56</v>
      </c>
      <c r="BU140" s="69"/>
      <c r="BV140" s="69"/>
      <c r="BW140" s="69"/>
      <c r="BX140" s="69"/>
      <c r="BY140" s="69"/>
      <c r="BZ140" s="69"/>
      <c r="CA140" s="69"/>
      <c r="CB140" s="69"/>
      <c r="CC140" s="69"/>
      <c r="CD140" s="441"/>
    </row>
    <row r="141" spans="61:82" x14ac:dyDescent="0.15">
      <c r="BI141" s="73"/>
      <c r="BJ141" s="69"/>
      <c r="BK141" s="69"/>
      <c r="BL141" s="69"/>
      <c r="BM141" s="69"/>
      <c r="BN141" s="69"/>
      <c r="BO141" s="69"/>
      <c r="BP141" s="69"/>
      <c r="BQ141" s="69"/>
      <c r="BR141" s="69"/>
      <c r="BS141" s="69"/>
      <c r="BT141" s="285" t="s">
        <v>57</v>
      </c>
      <c r="BU141" s="69"/>
      <c r="BV141" s="69"/>
      <c r="BW141" s="69"/>
      <c r="BX141" s="69"/>
      <c r="BY141" s="69"/>
      <c r="BZ141" s="69"/>
      <c r="CA141" s="69"/>
      <c r="CB141" s="69"/>
      <c r="CC141" s="69"/>
      <c r="CD141" s="441"/>
    </row>
    <row r="142" spans="61:82" x14ac:dyDescent="0.15">
      <c r="BI142" s="73"/>
      <c r="BJ142" s="69"/>
      <c r="BK142" s="69"/>
      <c r="BL142" s="69"/>
      <c r="BM142" s="69"/>
      <c r="BN142" s="69"/>
      <c r="BO142" s="69"/>
      <c r="BP142" s="69"/>
      <c r="BQ142" s="69"/>
      <c r="BR142" s="69"/>
      <c r="BS142" s="69"/>
      <c r="BT142" s="285" t="s">
        <v>58</v>
      </c>
      <c r="BU142" s="69"/>
      <c r="BV142" s="69"/>
      <c r="BW142" s="69"/>
      <c r="BX142" s="69"/>
      <c r="BY142" s="69"/>
      <c r="BZ142" s="69"/>
      <c r="CA142" s="69"/>
      <c r="CB142" s="69"/>
      <c r="CC142" s="69"/>
      <c r="CD142" s="441"/>
    </row>
    <row r="143" spans="61:82" x14ac:dyDescent="0.15">
      <c r="BI143" s="73"/>
      <c r="BJ143" s="69"/>
      <c r="BK143" s="69"/>
      <c r="BL143" s="69"/>
      <c r="BM143" s="69"/>
      <c r="BN143" s="69"/>
      <c r="BO143" s="69"/>
      <c r="BP143" s="69"/>
      <c r="BQ143" s="69"/>
      <c r="BR143" s="69"/>
      <c r="BS143" s="69"/>
      <c r="BT143" s="285" t="s">
        <v>59</v>
      </c>
      <c r="BU143" s="69"/>
      <c r="BV143" s="69"/>
      <c r="BW143" s="69"/>
      <c r="BX143" s="69"/>
      <c r="BY143" s="69"/>
      <c r="BZ143" s="69"/>
      <c r="CA143" s="69"/>
      <c r="CB143" s="69"/>
      <c r="CC143" s="69"/>
      <c r="CD143" s="441"/>
    </row>
    <row r="144" spans="61:82" x14ac:dyDescent="0.15">
      <c r="BI144" s="73"/>
      <c r="BJ144" s="69"/>
      <c r="BK144" s="69"/>
      <c r="BL144" s="69"/>
      <c r="BM144" s="69"/>
      <c r="BN144" s="69"/>
      <c r="BO144" s="69"/>
      <c r="BP144" s="69"/>
      <c r="BQ144" s="69"/>
      <c r="BR144" s="69"/>
      <c r="BS144" s="69"/>
      <c r="BT144" s="285" t="s">
        <v>60</v>
      </c>
      <c r="BU144" s="69"/>
      <c r="BV144" s="69"/>
      <c r="BW144" s="69"/>
      <c r="BX144" s="69"/>
      <c r="BY144" s="69"/>
      <c r="BZ144" s="69"/>
      <c r="CA144" s="69"/>
      <c r="CB144" s="69"/>
      <c r="CC144" s="69"/>
      <c r="CD144" s="441"/>
    </row>
    <row r="145" spans="61:82" x14ac:dyDescent="0.15">
      <c r="BI145" s="73"/>
      <c r="BJ145" s="69"/>
      <c r="BK145" s="69"/>
      <c r="BL145" s="69"/>
      <c r="BM145" s="69"/>
      <c r="BN145" s="69"/>
      <c r="BO145" s="69"/>
      <c r="BP145" s="69"/>
      <c r="BQ145" s="69"/>
      <c r="BR145" s="69"/>
      <c r="BS145" s="69"/>
      <c r="BT145" s="285" t="s">
        <v>61</v>
      </c>
      <c r="BU145" s="69"/>
      <c r="BV145" s="69"/>
      <c r="BW145" s="69"/>
      <c r="BX145" s="69"/>
      <c r="BY145" s="69"/>
      <c r="BZ145" s="69"/>
      <c r="CA145" s="69"/>
      <c r="CB145" s="69"/>
      <c r="CC145" s="69"/>
      <c r="CD145" s="441"/>
    </row>
    <row r="146" spans="61:82" x14ac:dyDescent="0.15">
      <c r="BI146" s="73"/>
      <c r="BJ146" s="69"/>
      <c r="BK146" s="69"/>
      <c r="BL146" s="69"/>
      <c r="BM146" s="69"/>
      <c r="BN146" s="69"/>
      <c r="BO146" s="69"/>
      <c r="BP146" s="69"/>
      <c r="BQ146" s="69"/>
      <c r="BR146" s="69"/>
      <c r="BS146" s="69"/>
      <c r="BT146" s="285" t="s">
        <v>64</v>
      </c>
      <c r="BU146" s="69"/>
      <c r="BV146" s="69"/>
      <c r="BW146" s="69"/>
      <c r="BX146" s="69"/>
      <c r="BY146" s="69"/>
      <c r="BZ146" s="69"/>
      <c r="CA146" s="69"/>
      <c r="CB146" s="69"/>
      <c r="CC146" s="69"/>
      <c r="CD146" s="441"/>
    </row>
    <row r="147" spans="61:82" x14ac:dyDescent="0.15">
      <c r="BI147" s="73"/>
      <c r="BJ147" s="69"/>
      <c r="BK147" s="69"/>
      <c r="BL147" s="69"/>
      <c r="BM147" s="69"/>
      <c r="BN147" s="69"/>
      <c r="BO147" s="69"/>
      <c r="BP147" s="69"/>
      <c r="BQ147" s="69"/>
      <c r="BR147" s="69"/>
      <c r="BS147" s="69"/>
      <c r="BT147" s="285" t="s">
        <v>65</v>
      </c>
      <c r="BU147" s="69"/>
      <c r="BV147" s="69"/>
      <c r="BW147" s="69"/>
      <c r="BX147" s="69"/>
      <c r="BY147" s="69"/>
      <c r="BZ147" s="69"/>
      <c r="CA147" s="69"/>
      <c r="CB147" s="69"/>
      <c r="CC147" s="69"/>
      <c r="CD147" s="441"/>
    </row>
    <row r="148" spans="61:82" x14ac:dyDescent="0.15">
      <c r="BI148" s="73"/>
      <c r="BJ148" s="69"/>
      <c r="BK148" s="69"/>
      <c r="BL148" s="69"/>
      <c r="BM148" s="69"/>
      <c r="BN148" s="69"/>
      <c r="BO148" s="69"/>
      <c r="BP148" s="69"/>
      <c r="BQ148" s="69"/>
      <c r="BR148" s="69"/>
      <c r="BS148" s="69"/>
      <c r="BT148" s="285" t="s">
        <v>66</v>
      </c>
      <c r="BU148" s="69"/>
      <c r="BV148" s="69"/>
      <c r="BW148" s="69"/>
      <c r="BX148" s="69"/>
      <c r="BY148" s="69"/>
      <c r="BZ148" s="69"/>
      <c r="CA148" s="69"/>
      <c r="CB148" s="69"/>
      <c r="CC148" s="69"/>
      <c r="CD148" s="441"/>
    </row>
    <row r="149" spans="61:82" x14ac:dyDescent="0.15">
      <c r="BI149" s="73"/>
      <c r="BJ149" s="69"/>
      <c r="BK149" s="69"/>
      <c r="BL149" s="69"/>
      <c r="BM149" s="69"/>
      <c r="BN149" s="69"/>
      <c r="BO149" s="69"/>
      <c r="BP149" s="69"/>
      <c r="BQ149" s="69"/>
      <c r="BR149" s="69"/>
      <c r="BS149" s="69"/>
      <c r="BT149" s="285" t="s">
        <v>67</v>
      </c>
      <c r="BU149" s="69"/>
      <c r="BV149" s="69"/>
      <c r="BW149" s="69"/>
      <c r="BX149" s="69"/>
      <c r="BY149" s="69"/>
      <c r="BZ149" s="69"/>
      <c r="CA149" s="69"/>
      <c r="CB149" s="69"/>
      <c r="CC149" s="69"/>
      <c r="CD149" s="441"/>
    </row>
    <row r="150" spans="61:82" x14ac:dyDescent="0.15">
      <c r="BI150" s="73"/>
      <c r="BJ150" s="69"/>
      <c r="BK150" s="69"/>
      <c r="BL150" s="69"/>
      <c r="BM150" s="69"/>
      <c r="BN150" s="69"/>
      <c r="BO150" s="69"/>
      <c r="BP150" s="69"/>
      <c r="BQ150" s="69"/>
      <c r="BR150" s="69"/>
      <c r="BS150" s="69"/>
      <c r="BT150" s="285" t="s">
        <v>68</v>
      </c>
      <c r="BU150" s="69"/>
      <c r="BV150" s="69"/>
      <c r="BW150" s="69"/>
      <c r="BX150" s="69"/>
      <c r="BY150" s="69"/>
      <c r="BZ150" s="69"/>
      <c r="CA150" s="69"/>
      <c r="CB150" s="69"/>
      <c r="CC150" s="69"/>
      <c r="CD150" s="441"/>
    </row>
    <row r="151" spans="61:82" x14ac:dyDescent="0.15">
      <c r="BI151" s="73"/>
      <c r="BJ151" s="69"/>
      <c r="BK151" s="69"/>
      <c r="BL151" s="69"/>
      <c r="BM151" s="69"/>
      <c r="BN151" s="69"/>
      <c r="BO151" s="69"/>
      <c r="BP151" s="69"/>
      <c r="BQ151" s="69"/>
      <c r="BR151" s="69"/>
      <c r="BS151" s="69"/>
      <c r="BT151" s="285" t="s">
        <v>69</v>
      </c>
      <c r="BU151" s="69"/>
      <c r="BV151" s="69"/>
      <c r="BW151" s="69"/>
      <c r="BX151" s="69"/>
      <c r="BY151" s="69"/>
      <c r="BZ151" s="69"/>
      <c r="CA151" s="69"/>
      <c r="CB151" s="69"/>
      <c r="CC151" s="69"/>
      <c r="CD151" s="441"/>
    </row>
    <row r="152" spans="61:82" x14ac:dyDescent="0.15">
      <c r="BI152" s="73"/>
      <c r="BJ152" s="69"/>
      <c r="BK152" s="69"/>
      <c r="BL152" s="69"/>
      <c r="BM152" s="69"/>
      <c r="BN152" s="69"/>
      <c r="BO152" s="69"/>
      <c r="BP152" s="69"/>
      <c r="BQ152" s="69"/>
      <c r="BR152" s="69"/>
      <c r="BS152" s="69"/>
      <c r="BT152" s="285" t="s">
        <v>70</v>
      </c>
      <c r="BU152" s="69"/>
      <c r="BV152" s="69"/>
      <c r="BW152" s="69"/>
      <c r="BX152" s="69"/>
      <c r="BY152" s="69"/>
      <c r="BZ152" s="69"/>
      <c r="CA152" s="69"/>
      <c r="CB152" s="69"/>
      <c r="CC152" s="69"/>
      <c r="CD152" s="441"/>
    </row>
    <row r="153" spans="61:82" x14ac:dyDescent="0.15">
      <c r="BI153" s="73"/>
      <c r="BJ153" s="69"/>
      <c r="BK153" s="69"/>
      <c r="BL153" s="69"/>
      <c r="BM153" s="69"/>
      <c r="BN153" s="69"/>
      <c r="BO153" s="69"/>
      <c r="BP153" s="69"/>
      <c r="BQ153" s="69"/>
      <c r="BR153" s="69"/>
      <c r="BS153" s="69"/>
      <c r="BT153" s="285" t="s">
        <v>71</v>
      </c>
      <c r="BU153" s="69"/>
      <c r="BV153" s="69"/>
      <c r="BW153" s="69"/>
      <c r="BX153" s="69"/>
      <c r="BY153" s="69"/>
      <c r="BZ153" s="69"/>
      <c r="CA153" s="69"/>
      <c r="CB153" s="69"/>
      <c r="CC153" s="69"/>
      <c r="CD153" s="441"/>
    </row>
    <row r="154" spans="61:82" x14ac:dyDescent="0.15">
      <c r="BI154" s="73"/>
      <c r="BJ154" s="69"/>
      <c r="BK154" s="69"/>
      <c r="BL154" s="69"/>
      <c r="BM154" s="69"/>
      <c r="BN154" s="69"/>
      <c r="BO154" s="69"/>
      <c r="BP154" s="69"/>
      <c r="BQ154" s="69"/>
      <c r="BR154" s="69"/>
      <c r="BS154" s="69"/>
      <c r="BT154" s="285" t="s">
        <v>100</v>
      </c>
      <c r="BU154" s="69"/>
      <c r="BV154" s="69"/>
      <c r="BW154" s="69"/>
      <c r="BX154" s="69"/>
      <c r="BY154" s="69"/>
      <c r="BZ154" s="69"/>
      <c r="CA154" s="69"/>
      <c r="CB154" s="69"/>
      <c r="CC154" s="69"/>
      <c r="CD154" s="441"/>
    </row>
    <row r="155" spans="61:82" x14ac:dyDescent="0.15">
      <c r="BI155" s="73"/>
      <c r="BJ155" s="69"/>
      <c r="BK155" s="69"/>
      <c r="BL155" s="69"/>
      <c r="BM155" s="69"/>
      <c r="BN155" s="69"/>
      <c r="BO155" s="69"/>
      <c r="BP155" s="69"/>
      <c r="BQ155" s="69"/>
      <c r="BR155" s="69"/>
      <c r="BS155" s="69"/>
      <c r="BT155" s="285" t="s">
        <v>72</v>
      </c>
      <c r="BU155" s="69"/>
      <c r="BV155" s="69"/>
      <c r="BW155" s="69"/>
      <c r="BX155" s="69"/>
      <c r="BY155" s="69"/>
      <c r="BZ155" s="69"/>
      <c r="CA155" s="69"/>
      <c r="CB155" s="69"/>
      <c r="CC155" s="69"/>
      <c r="CD155" s="441"/>
    </row>
    <row r="156" spans="61:82" x14ac:dyDescent="0.15">
      <c r="BI156" s="73"/>
      <c r="BJ156" s="69"/>
      <c r="BK156" s="69"/>
      <c r="BL156" s="69"/>
      <c r="BM156" s="69"/>
      <c r="BN156" s="69"/>
      <c r="BO156" s="69"/>
      <c r="BP156" s="69"/>
      <c r="BQ156" s="69"/>
      <c r="BR156" s="69"/>
      <c r="BS156" s="69"/>
      <c r="BT156" s="285" t="s">
        <v>73</v>
      </c>
      <c r="BU156" s="69"/>
      <c r="BV156" s="69"/>
      <c r="BW156" s="69"/>
      <c r="BX156" s="69"/>
      <c r="BY156" s="69"/>
      <c r="BZ156" s="69"/>
      <c r="CA156" s="69"/>
      <c r="CB156" s="69"/>
      <c r="CC156" s="69"/>
      <c r="CD156" s="441"/>
    </row>
    <row r="157" spans="61:82" x14ac:dyDescent="0.15">
      <c r="BI157" s="73"/>
      <c r="BJ157" s="69"/>
      <c r="BK157" s="69"/>
      <c r="BL157" s="69"/>
      <c r="BM157" s="69"/>
      <c r="BN157" s="69"/>
      <c r="BO157" s="69"/>
      <c r="BP157" s="69"/>
      <c r="BQ157" s="69"/>
      <c r="BR157" s="69"/>
      <c r="BS157" s="69"/>
      <c r="BT157" s="285" t="s">
        <v>74</v>
      </c>
      <c r="BU157" s="69"/>
      <c r="BV157" s="69"/>
      <c r="BW157" s="69"/>
      <c r="BX157" s="69"/>
      <c r="BY157" s="69"/>
      <c r="BZ157" s="69"/>
      <c r="CA157" s="69"/>
      <c r="CB157" s="69"/>
      <c r="CC157" s="69"/>
      <c r="CD157" s="441"/>
    </row>
    <row r="158" spans="61:82" x14ac:dyDescent="0.15">
      <c r="BI158" s="73"/>
      <c r="BJ158" s="69"/>
      <c r="BK158" s="69"/>
      <c r="BL158" s="69"/>
      <c r="BM158" s="69"/>
      <c r="BN158" s="69"/>
      <c r="BO158" s="69"/>
      <c r="BP158" s="69"/>
      <c r="BQ158" s="69"/>
      <c r="BR158" s="69"/>
      <c r="BS158" s="69"/>
      <c r="BT158" s="285" t="s">
        <v>75</v>
      </c>
      <c r="BU158" s="69"/>
      <c r="BV158" s="69"/>
      <c r="BW158" s="69"/>
      <c r="BX158" s="69"/>
      <c r="BY158" s="69"/>
      <c r="BZ158" s="69"/>
      <c r="CA158" s="69"/>
      <c r="CB158" s="69"/>
      <c r="CC158" s="69"/>
      <c r="CD158" s="441"/>
    </row>
    <row r="159" spans="61:82" x14ac:dyDescent="0.15">
      <c r="BI159" s="73"/>
      <c r="BJ159" s="69"/>
      <c r="BK159" s="69"/>
      <c r="BL159" s="69"/>
      <c r="BM159" s="69"/>
      <c r="BN159" s="69"/>
      <c r="BO159" s="69"/>
      <c r="BP159" s="69"/>
      <c r="BQ159" s="69"/>
      <c r="BR159" s="69"/>
      <c r="BS159" s="69"/>
      <c r="BT159" s="285" t="s">
        <v>76</v>
      </c>
      <c r="BU159" s="69"/>
      <c r="BV159" s="69"/>
      <c r="BW159" s="69"/>
      <c r="BX159" s="69"/>
      <c r="BY159" s="69"/>
      <c r="BZ159" s="69"/>
      <c r="CA159" s="69"/>
      <c r="CB159" s="69"/>
      <c r="CC159" s="69"/>
      <c r="CD159" s="441"/>
    </row>
    <row r="160" spans="61:82" x14ac:dyDescent="0.15">
      <c r="BI160" s="73"/>
      <c r="BJ160" s="69"/>
      <c r="BK160" s="69"/>
      <c r="BL160" s="69"/>
      <c r="BM160" s="69"/>
      <c r="BN160" s="69"/>
      <c r="BO160" s="69"/>
      <c r="BP160" s="69"/>
      <c r="BQ160" s="69"/>
      <c r="BR160" s="69"/>
      <c r="BS160" s="69"/>
      <c r="BT160" s="285" t="s">
        <v>77</v>
      </c>
      <c r="BU160" s="69"/>
      <c r="BV160" s="69"/>
      <c r="BW160" s="69"/>
      <c r="BX160" s="69"/>
      <c r="BY160" s="69"/>
      <c r="BZ160" s="69"/>
      <c r="CA160" s="69"/>
      <c r="CB160" s="69"/>
      <c r="CC160" s="69"/>
      <c r="CD160" s="441"/>
    </row>
    <row r="161" spans="61:82" x14ac:dyDescent="0.15">
      <c r="BI161" s="73"/>
      <c r="BJ161" s="69"/>
      <c r="BK161" s="69"/>
      <c r="BL161" s="69"/>
      <c r="BM161" s="69"/>
      <c r="BN161" s="69"/>
      <c r="BO161" s="69"/>
      <c r="BP161" s="69"/>
      <c r="BQ161" s="69"/>
      <c r="BR161" s="69"/>
      <c r="BS161" s="69"/>
      <c r="BT161" s="285" t="s">
        <v>78</v>
      </c>
      <c r="BU161" s="69"/>
      <c r="BV161" s="69"/>
      <c r="BW161" s="69"/>
      <c r="BX161" s="69"/>
      <c r="BY161" s="69"/>
      <c r="BZ161" s="69"/>
      <c r="CA161" s="69"/>
      <c r="CB161" s="69"/>
      <c r="CC161" s="69"/>
      <c r="CD161" s="441"/>
    </row>
    <row r="162" spans="61:82" x14ac:dyDescent="0.15">
      <c r="BI162" s="73"/>
      <c r="BJ162" s="69"/>
      <c r="BK162" s="69"/>
      <c r="BL162" s="69"/>
      <c r="BM162" s="69"/>
      <c r="BN162" s="69"/>
      <c r="BO162" s="69"/>
      <c r="BP162" s="69"/>
      <c r="BQ162" s="69"/>
      <c r="BR162" s="69"/>
      <c r="BS162" s="69"/>
      <c r="BT162" s="285" t="s">
        <v>79</v>
      </c>
      <c r="BU162" s="69"/>
      <c r="BV162" s="69"/>
      <c r="BW162" s="69"/>
      <c r="BX162" s="69"/>
      <c r="BY162" s="69"/>
      <c r="BZ162" s="69"/>
      <c r="CA162" s="69"/>
      <c r="CB162" s="69"/>
      <c r="CC162" s="69"/>
      <c r="CD162" s="441"/>
    </row>
    <row r="163" spans="61:82" x14ac:dyDescent="0.15">
      <c r="BI163" s="73"/>
      <c r="BJ163" s="69"/>
      <c r="BK163" s="69"/>
      <c r="BL163" s="69"/>
      <c r="BM163" s="69"/>
      <c r="BN163" s="69"/>
      <c r="BO163" s="69"/>
      <c r="BP163" s="69"/>
      <c r="BQ163" s="69"/>
      <c r="BR163" s="69"/>
      <c r="BS163" s="69"/>
      <c r="BT163" s="285" t="s">
        <v>80</v>
      </c>
      <c r="BU163" s="69"/>
      <c r="BV163" s="69"/>
      <c r="BW163" s="69"/>
      <c r="BX163" s="69"/>
      <c r="BY163" s="69"/>
      <c r="BZ163" s="69"/>
      <c r="CA163" s="69"/>
      <c r="CB163" s="69"/>
      <c r="CC163" s="69"/>
      <c r="CD163" s="441"/>
    </row>
    <row r="164" spans="61:82" x14ac:dyDescent="0.15">
      <c r="BI164" s="73"/>
      <c r="BJ164" s="69"/>
      <c r="BK164" s="69"/>
      <c r="BL164" s="69"/>
      <c r="BM164" s="69"/>
      <c r="BN164" s="69"/>
      <c r="BO164" s="69"/>
      <c r="BP164" s="69"/>
      <c r="BQ164" s="69"/>
      <c r="BR164" s="69"/>
      <c r="BS164" s="69"/>
      <c r="BT164" s="285" t="s">
        <v>81</v>
      </c>
      <c r="BU164" s="69"/>
      <c r="BV164" s="69"/>
      <c r="BW164" s="69"/>
      <c r="BX164" s="69"/>
      <c r="BY164" s="69"/>
      <c r="BZ164" s="69"/>
      <c r="CA164" s="69"/>
      <c r="CB164" s="69"/>
      <c r="CC164" s="69"/>
      <c r="CD164" s="441"/>
    </row>
    <row r="165" spans="61:82" x14ac:dyDescent="0.15">
      <c r="BI165" s="73"/>
      <c r="BJ165" s="69"/>
      <c r="BK165" s="69"/>
      <c r="BL165" s="69"/>
      <c r="BM165" s="69"/>
      <c r="BN165" s="69"/>
      <c r="BO165" s="69"/>
      <c r="BP165" s="69"/>
      <c r="BQ165" s="69"/>
      <c r="BR165" s="69"/>
      <c r="BS165" s="69"/>
      <c r="BT165" s="285" t="s">
        <v>82</v>
      </c>
      <c r="BU165" s="69"/>
      <c r="BV165" s="69"/>
      <c r="BW165" s="69"/>
      <c r="BX165" s="69"/>
      <c r="BY165" s="69"/>
      <c r="BZ165" s="69"/>
      <c r="CA165" s="69"/>
      <c r="CB165" s="69"/>
      <c r="CC165" s="69"/>
      <c r="CD165" s="441"/>
    </row>
    <row r="166" spans="61:82" x14ac:dyDescent="0.15">
      <c r="BI166" s="73"/>
      <c r="BJ166" s="69"/>
      <c r="BK166" s="69"/>
      <c r="BL166" s="69"/>
      <c r="BM166" s="69"/>
      <c r="BN166" s="69"/>
      <c r="BO166" s="69"/>
      <c r="BP166" s="69"/>
      <c r="BQ166" s="69"/>
      <c r="BR166" s="69"/>
      <c r="BS166" s="69"/>
      <c r="BT166" s="285" t="s">
        <v>83</v>
      </c>
      <c r="BU166" s="69"/>
      <c r="BV166" s="69"/>
      <c r="BW166" s="69"/>
      <c r="BX166" s="69"/>
      <c r="BY166" s="69"/>
      <c r="BZ166" s="69"/>
      <c r="CA166" s="69"/>
      <c r="CB166" s="69"/>
      <c r="CC166" s="69"/>
      <c r="CD166" s="441"/>
    </row>
    <row r="167" spans="61:82" x14ac:dyDescent="0.15">
      <c r="BI167" s="73"/>
      <c r="BJ167" s="69"/>
      <c r="BK167" s="69"/>
      <c r="BL167" s="69"/>
      <c r="BM167" s="69"/>
      <c r="BN167" s="69"/>
      <c r="BO167" s="69"/>
      <c r="BP167" s="69"/>
      <c r="BQ167" s="69"/>
      <c r="BR167" s="69"/>
      <c r="BS167" s="69"/>
      <c r="BT167" s="285" t="s">
        <v>84</v>
      </c>
      <c r="BU167" s="69"/>
      <c r="BV167" s="69"/>
      <c r="BW167" s="69"/>
      <c r="BX167" s="69"/>
      <c r="BY167" s="69"/>
      <c r="BZ167" s="69"/>
      <c r="CA167" s="69"/>
      <c r="CB167" s="69"/>
      <c r="CC167" s="69"/>
      <c r="CD167" s="441"/>
    </row>
    <row r="168" spans="61:82" x14ac:dyDescent="0.15">
      <c r="BI168" s="73"/>
      <c r="BJ168" s="69"/>
      <c r="BK168" s="69"/>
      <c r="BL168" s="69"/>
      <c r="BM168" s="69"/>
      <c r="BN168" s="69"/>
      <c r="BO168" s="69"/>
      <c r="BP168" s="69"/>
      <c r="BQ168" s="69"/>
      <c r="BR168" s="69"/>
      <c r="BS168" s="69"/>
      <c r="BT168" s="285" t="s">
        <v>85</v>
      </c>
      <c r="BU168" s="69"/>
      <c r="BV168" s="69"/>
      <c r="BW168" s="69"/>
      <c r="BX168" s="69"/>
      <c r="BY168" s="69"/>
      <c r="BZ168" s="69"/>
      <c r="CA168" s="69"/>
      <c r="CB168" s="69"/>
      <c r="CC168" s="69"/>
      <c r="CD168" s="441"/>
    </row>
    <row r="169" spans="61:82" x14ac:dyDescent="0.15">
      <c r="BI169" s="73"/>
      <c r="BJ169" s="69"/>
      <c r="BK169" s="69"/>
      <c r="BL169" s="69"/>
      <c r="BM169" s="69"/>
      <c r="BN169" s="69"/>
      <c r="BO169" s="69"/>
      <c r="BP169" s="69"/>
      <c r="BQ169" s="69"/>
      <c r="BR169" s="69"/>
      <c r="BS169" s="69"/>
      <c r="BT169" s="285" t="s">
        <v>86</v>
      </c>
      <c r="BU169" s="69"/>
      <c r="BV169" s="69"/>
      <c r="BW169" s="69"/>
      <c r="BX169" s="69"/>
      <c r="BY169" s="69"/>
      <c r="BZ169" s="69"/>
      <c r="CA169" s="69"/>
      <c r="CB169" s="69"/>
      <c r="CC169" s="69"/>
      <c r="CD169" s="441"/>
    </row>
    <row r="170" spans="61:82" x14ac:dyDescent="0.15">
      <c r="BI170" s="73"/>
      <c r="BJ170" s="69"/>
      <c r="BK170" s="69"/>
      <c r="BL170" s="69"/>
      <c r="BM170" s="69"/>
      <c r="BN170" s="69"/>
      <c r="BO170" s="69"/>
      <c r="BP170" s="69"/>
      <c r="BQ170" s="69"/>
      <c r="BR170" s="69"/>
      <c r="BS170" s="69"/>
      <c r="BT170" s="285" t="s">
        <v>548</v>
      </c>
      <c r="BU170" s="69"/>
      <c r="BV170" s="69"/>
      <c r="BW170" s="69"/>
      <c r="BX170" s="69"/>
      <c r="BY170" s="69"/>
      <c r="BZ170" s="69"/>
      <c r="CA170" s="69"/>
      <c r="CB170" s="69"/>
      <c r="CC170" s="69"/>
      <c r="CD170" s="441"/>
    </row>
    <row r="171" spans="61:82" x14ac:dyDescent="0.15">
      <c r="BI171" s="73"/>
      <c r="BJ171" s="69"/>
      <c r="BK171" s="69"/>
      <c r="BL171" s="69"/>
      <c r="BM171" s="69"/>
      <c r="BN171" s="69"/>
      <c r="BO171" s="69"/>
      <c r="BP171" s="69"/>
      <c r="BQ171" s="69"/>
      <c r="BR171" s="69"/>
      <c r="BS171" s="69"/>
      <c r="BT171" s="285" t="s">
        <v>88</v>
      </c>
      <c r="BU171" s="69"/>
      <c r="BV171" s="69"/>
      <c r="BW171" s="69"/>
      <c r="BX171" s="69"/>
      <c r="BY171" s="69"/>
      <c r="BZ171" s="69"/>
      <c r="CA171" s="69"/>
      <c r="CB171" s="69"/>
      <c r="CC171" s="69"/>
      <c r="CD171" s="441"/>
    </row>
    <row r="172" spans="61:82" x14ac:dyDescent="0.15">
      <c r="BI172" s="73"/>
      <c r="BJ172" s="69"/>
      <c r="BK172" s="69"/>
      <c r="BL172" s="69"/>
      <c r="BM172" s="69"/>
      <c r="BN172" s="69"/>
      <c r="BO172" s="69"/>
      <c r="BP172" s="69"/>
      <c r="BQ172" s="69"/>
      <c r="BR172" s="69"/>
      <c r="BS172" s="69"/>
      <c r="BT172" s="285" t="s">
        <v>89</v>
      </c>
      <c r="BU172" s="69"/>
      <c r="BV172" s="69"/>
      <c r="BW172" s="69"/>
      <c r="BX172" s="69"/>
      <c r="BY172" s="69"/>
      <c r="BZ172" s="69"/>
      <c r="CA172" s="69"/>
      <c r="CB172" s="69"/>
      <c r="CC172" s="69"/>
      <c r="CD172" s="441"/>
    </row>
    <row r="173" spans="61:82" x14ac:dyDescent="0.15">
      <c r="BI173" s="73"/>
      <c r="BJ173" s="69"/>
      <c r="BK173" s="69"/>
      <c r="BL173" s="69"/>
      <c r="BM173" s="69"/>
      <c r="BN173" s="69"/>
      <c r="BO173" s="69"/>
      <c r="BP173" s="69"/>
      <c r="BQ173" s="69"/>
      <c r="BR173" s="69"/>
      <c r="BS173" s="69"/>
      <c r="BT173" s="285" t="s">
        <v>90</v>
      </c>
      <c r="BU173" s="69"/>
      <c r="BV173" s="69"/>
      <c r="BW173" s="69"/>
      <c r="BX173" s="69"/>
      <c r="BY173" s="69"/>
      <c r="BZ173" s="69"/>
      <c r="CA173" s="69"/>
      <c r="CB173" s="69"/>
      <c r="CC173" s="69"/>
      <c r="CD173" s="441"/>
    </row>
    <row r="174" spans="61:82" x14ac:dyDescent="0.15">
      <c r="BI174" s="73"/>
      <c r="BJ174" s="69"/>
      <c r="BK174" s="69"/>
      <c r="BL174" s="69"/>
      <c r="BM174" s="69"/>
      <c r="BN174" s="69"/>
      <c r="BO174" s="69"/>
      <c r="BP174" s="69"/>
      <c r="BQ174" s="69"/>
      <c r="BR174" s="69"/>
      <c r="BS174" s="69"/>
      <c r="BT174" s="285" t="s">
        <v>91</v>
      </c>
      <c r="BU174" s="69"/>
      <c r="BV174" s="69"/>
      <c r="BW174" s="69"/>
      <c r="BX174" s="69"/>
      <c r="BY174" s="69"/>
      <c r="BZ174" s="69"/>
      <c r="CA174" s="69"/>
      <c r="CB174" s="69"/>
      <c r="CC174" s="69"/>
      <c r="CD174" s="441"/>
    </row>
    <row r="175" spans="61:82" x14ac:dyDescent="0.15">
      <c r="BI175" s="73"/>
      <c r="BJ175" s="69"/>
      <c r="BK175" s="69"/>
      <c r="BL175" s="69"/>
      <c r="BM175" s="69"/>
      <c r="BN175" s="69"/>
      <c r="BO175" s="69"/>
      <c r="BP175" s="69"/>
      <c r="BQ175" s="69"/>
      <c r="BR175" s="69"/>
      <c r="BS175" s="69"/>
      <c r="BT175" s="285" t="s">
        <v>549</v>
      </c>
      <c r="BU175" s="69"/>
      <c r="BV175" s="69"/>
      <c r="BW175" s="69"/>
      <c r="BX175" s="69"/>
      <c r="BY175" s="69"/>
      <c r="BZ175" s="69"/>
      <c r="CA175" s="69"/>
      <c r="CB175" s="69"/>
      <c r="CC175" s="69"/>
      <c r="CD175" s="441"/>
    </row>
    <row r="176" spans="61:82" ht="14" thickBot="1" x14ac:dyDescent="0.2">
      <c r="BI176" s="76"/>
      <c r="BJ176" s="452"/>
      <c r="BK176" s="452"/>
      <c r="BL176" s="452"/>
      <c r="BM176" s="452"/>
      <c r="BN176" s="452"/>
      <c r="BO176" s="452"/>
      <c r="BP176" s="452"/>
      <c r="BQ176" s="452"/>
      <c r="BR176" s="452"/>
      <c r="BS176" s="452"/>
      <c r="BT176" s="453" t="s">
        <v>93</v>
      </c>
      <c r="BU176" s="452"/>
      <c r="BV176" s="452"/>
      <c r="BW176" s="452"/>
      <c r="BX176" s="452"/>
      <c r="BY176" s="452"/>
      <c r="BZ176" s="452"/>
      <c r="CA176" s="452"/>
      <c r="CB176" s="452"/>
      <c r="CC176" s="452"/>
      <c r="CD176" s="454"/>
    </row>
  </sheetData>
  <sheetProtection algorithmName="SHA-512" hashValue="dhfkFtIdQ8Tym+JRj5x3j0FqnfmOzgACmy3Dfq+jT4J6EcpGWIrkZjJbkaRvdgytKjLc0NLUcnNcrz7T2appDQ==" saltValue="SsrOB9iwlFzwLoigYcoVNA==" spinCount="100000" sheet="1" objects="1" scenarios="1"/>
  <sortState xmlns:xlrd2="http://schemas.microsoft.com/office/spreadsheetml/2017/richdata2" ref="BR8:BR15">
    <sortCondition ref="BR13"/>
  </sortState>
  <dataConsolidate/>
  <mergeCells count="98">
    <mergeCell ref="F65:BE65"/>
    <mergeCell ref="B63:BG63"/>
    <mergeCell ref="E67:AG67"/>
    <mergeCell ref="AL68:BE68"/>
    <mergeCell ref="AL66:BE66"/>
    <mergeCell ref="E68:AG68"/>
    <mergeCell ref="AH68:AK68"/>
    <mergeCell ref="E71:AG71"/>
    <mergeCell ref="AL72:BE72"/>
    <mergeCell ref="E74:AG74"/>
    <mergeCell ref="E73:AG73"/>
    <mergeCell ref="AH84:BF84"/>
    <mergeCell ref="AL75:BE75"/>
    <mergeCell ref="AH71:AK71"/>
    <mergeCell ref="E72:AG72"/>
    <mergeCell ref="AH72:AK72"/>
    <mergeCell ref="AH73:AK73"/>
    <mergeCell ref="AH88:BF88"/>
    <mergeCell ref="U3:AO3"/>
    <mergeCell ref="AH85:BF85"/>
    <mergeCell ref="AH86:BF86"/>
    <mergeCell ref="AH87:BF87"/>
    <mergeCell ref="AH78:BF78"/>
    <mergeCell ref="AH79:BF79"/>
    <mergeCell ref="AH80:BF80"/>
    <mergeCell ref="AH81:BF81"/>
    <mergeCell ref="AH82:BF82"/>
    <mergeCell ref="AH83:BF83"/>
    <mergeCell ref="E70:AG70"/>
    <mergeCell ref="AH70:AK70"/>
    <mergeCell ref="E75:AG75"/>
    <mergeCell ref="AH75:AK75"/>
    <mergeCell ref="B2:E3"/>
    <mergeCell ref="A5:D5"/>
    <mergeCell ref="AH60:BF60"/>
    <mergeCell ref="X14:AN14"/>
    <mergeCell ref="AR14:BD14"/>
    <mergeCell ref="P17:S17"/>
    <mergeCell ref="D18:N20"/>
    <mergeCell ref="P19:S19"/>
    <mergeCell ref="U19:AY19"/>
    <mergeCell ref="BA19:BF19"/>
    <mergeCell ref="AO31:BF31"/>
    <mergeCell ref="C25:T25"/>
    <mergeCell ref="X25:AL25"/>
    <mergeCell ref="AO25:BF25"/>
    <mergeCell ref="A6:D6"/>
    <mergeCell ref="A7:D7"/>
    <mergeCell ref="U6:AO6"/>
    <mergeCell ref="E69:AG69"/>
    <mergeCell ref="C28:T28"/>
    <mergeCell ref="X28:AL28"/>
    <mergeCell ref="C31:T31"/>
    <mergeCell ref="X31:AL31"/>
    <mergeCell ref="AH69:AK69"/>
    <mergeCell ref="E66:AG66"/>
    <mergeCell ref="AH66:AK66"/>
    <mergeCell ref="U47:BF47"/>
    <mergeCell ref="H49:R49"/>
    <mergeCell ref="U49:BF49"/>
    <mergeCell ref="AH51:BF51"/>
    <mergeCell ref="AH52:BF52"/>
    <mergeCell ref="AH59:BF59"/>
    <mergeCell ref="AL67:BE67"/>
    <mergeCell ref="AH54:BF54"/>
    <mergeCell ref="AF22:AP22"/>
    <mergeCell ref="D22:AC22"/>
    <mergeCell ref="AS22:BF22"/>
    <mergeCell ref="A8:D8"/>
    <mergeCell ref="C14:T14"/>
    <mergeCell ref="B9:BG9"/>
    <mergeCell ref="C11:BF11"/>
    <mergeCell ref="AO28:BF28"/>
    <mergeCell ref="AH56:BF56"/>
    <mergeCell ref="AH53:BF53"/>
    <mergeCell ref="AH55:BF55"/>
    <mergeCell ref="C37:T37"/>
    <mergeCell ref="C43:T43"/>
    <mergeCell ref="X37:AF37"/>
    <mergeCell ref="X40:AF40"/>
    <mergeCell ref="X43:AF43"/>
    <mergeCell ref="C40:T40"/>
    <mergeCell ref="BI1:CD1"/>
    <mergeCell ref="AO34:BF34"/>
    <mergeCell ref="AH77:BF77"/>
    <mergeCell ref="AH50:BF50"/>
    <mergeCell ref="C34:T34"/>
    <mergeCell ref="X34:AL34"/>
    <mergeCell ref="AL69:BE69"/>
    <mergeCell ref="AL70:BE70"/>
    <mergeCell ref="AL71:BE71"/>
    <mergeCell ref="E77:AG77"/>
    <mergeCell ref="E76:AG76"/>
    <mergeCell ref="AH76:AK76"/>
    <mergeCell ref="AL73:BE74"/>
    <mergeCell ref="AL76:AQ76"/>
    <mergeCell ref="AH57:BF57"/>
    <mergeCell ref="AH58:BF58"/>
  </mergeCells>
  <conditionalFormatting sqref="H49:BF49">
    <cfRule type="expression" dxfId="249" priority="13">
      <formula>$U$47&lt;&gt;"MFB Vállalkozásfinanszírozási Program 2020"</formula>
    </cfRule>
  </conditionalFormatting>
  <conditionalFormatting sqref="B62:BG62">
    <cfRule type="expression" dxfId="248" priority="11">
      <formula>$BI$52="c"</formula>
    </cfRule>
  </conditionalFormatting>
  <conditionalFormatting sqref="E71:BE71">
    <cfRule type="expression" dxfId="247" priority="8">
      <formula>$BP$52=4</formula>
    </cfRule>
  </conditionalFormatting>
  <conditionalFormatting sqref="AO34:BF45">
    <cfRule type="expression" dxfId="246" priority="127">
      <formula>$BX$67=0</formula>
    </cfRule>
  </conditionalFormatting>
  <conditionalFormatting sqref="C37:AG44">
    <cfRule type="expression" dxfId="245" priority="7">
      <formula>OR($BP$52=4,$BP$53=5)</formula>
    </cfRule>
  </conditionalFormatting>
  <conditionalFormatting sqref="AI89:BF89">
    <cfRule type="expression" dxfId="244" priority="5">
      <formula>$BI$52="C"</formula>
    </cfRule>
  </conditionalFormatting>
  <conditionalFormatting sqref="E67:BE67">
    <cfRule type="expression" dxfId="243" priority="2">
      <formula>"bu79="""""</formula>
    </cfRule>
  </conditionalFormatting>
  <conditionalFormatting sqref="AL67:BE67">
    <cfRule type="expression" dxfId="242" priority="1">
      <formula>$E$67=""</formula>
    </cfRule>
  </conditionalFormatting>
  <dataValidations count="11">
    <dataValidation type="list" allowBlank="1" showInputMessage="1" showErrorMessage="1" sqref="AL71:BE71" xr:uid="{00000000-0002-0000-0100-000000000000}">
      <formula1>$BM$81:$BM$84</formula1>
    </dataValidation>
    <dataValidation type="list" allowBlank="1" showInputMessage="1" showErrorMessage="1" sqref="AL72:BE72" xr:uid="{00000000-0002-0000-0100-000001000000}">
      <formula1>$BU$71:$BU$75</formula1>
    </dataValidation>
    <dataValidation type="list" allowBlank="1" showInputMessage="1" showErrorMessage="1" sqref="AL69" xr:uid="{00000000-0002-0000-0100-000002000000}">
      <formula1>$BN$71:$BN$77</formula1>
    </dataValidation>
    <dataValidation type="list" allowBlank="1" showInputMessage="1" showErrorMessage="1" sqref="E74:AG74" xr:uid="{00000000-0002-0000-0100-000003000000}">
      <formula1>$BT$92:$BT$176</formula1>
    </dataValidation>
    <dataValidation type="list" allowBlank="1" showInputMessage="1" showErrorMessage="1" sqref="U6:AO6" xr:uid="{00000000-0002-0000-0100-000004000000}">
      <formula1>$BQ$48:$BQ$53</formula1>
    </dataValidation>
    <dataValidation type="list" allowBlank="1" showInputMessage="1" showErrorMessage="1" sqref="AL68 AL73:BE75 AL70:BE70 AL67:BE67" xr:uid="{00000000-0002-0000-0100-000005000000}">
      <formula1>$BM$87:$BM$89</formula1>
    </dataValidation>
    <dataValidation type="list" allowBlank="1" showInputMessage="1" showErrorMessage="1" sqref="U49:BF49" xr:uid="{00000000-0002-0000-0100-000006000000}">
      <formula1>$BJ$49:$BJ$52</formula1>
    </dataValidation>
    <dataValidation type="list" allowBlank="1" showInputMessage="1" showErrorMessage="1" sqref="AF22:AP22" xr:uid="{00000000-0002-0000-0100-000007000000}">
      <formula1>$BM$8:$BM$22</formula1>
    </dataValidation>
    <dataValidation type="list" allowBlank="1" showInputMessage="1" showErrorMessage="1" sqref="C28:T28" xr:uid="{00000000-0002-0000-0100-000008000000}">
      <formula1>$BP$7:$BP$13</formula1>
    </dataValidation>
    <dataValidation allowBlank="1" showInputMessage="1" showErrorMessage="1" promptTitle="Formátum" prompt="'06301110000" sqref="X34:AL34 X31:AL31" xr:uid="{00000000-0002-0000-0100-000009000000}"/>
    <dataValidation type="list" allowBlank="1" showInputMessage="1" showErrorMessage="1" sqref="X28:AL28" xr:uid="{00000000-0002-0000-0100-00000A000000}">
      <formula1>$BR$7:$BR$15</formula1>
    </dataValidation>
  </dataValidations>
  <pageMargins left="0.7" right="0.7" top="0.75" bottom="0.75" header="0.3" footer="0.3"/>
  <pageSetup paperSize="9" scale="38"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4">
    <tabColor theme="3" tint="0.79998168889431442"/>
    <pageSetUpPr fitToPage="1"/>
  </sheetPr>
  <dimension ref="A1:HJ670"/>
  <sheetViews>
    <sheetView showGridLines="0" view="pageBreakPreview" zoomScale="70" zoomScaleNormal="70" zoomScaleSheetLayoutView="70" zoomScalePageLayoutView="80" workbookViewId="0">
      <selection activeCell="N5" sqref="N5:BA5"/>
    </sheetView>
  </sheetViews>
  <sheetFormatPr baseColWidth="10" defaultColWidth="2.1640625" defaultRowHeight="12" customHeight="1" x14ac:dyDescent="0.15"/>
  <cols>
    <col min="1" max="1" width="0.6640625" style="913" customWidth="1"/>
    <col min="2" max="2" width="6.33203125" style="748" customWidth="1"/>
    <col min="3" max="3" width="2.33203125" style="748" customWidth="1"/>
    <col min="4" max="4" width="3.83203125" style="748" customWidth="1"/>
    <col min="5" max="5" width="4.33203125" style="748" customWidth="1"/>
    <col min="6" max="7" width="2.1640625" style="748" customWidth="1"/>
    <col min="8" max="8" width="3" style="748" customWidth="1"/>
    <col min="9" max="11" width="2.1640625" style="748" customWidth="1"/>
    <col min="12" max="12" width="7.83203125" style="748" customWidth="1"/>
    <col min="13" max="13" width="3.83203125" style="748" customWidth="1"/>
    <col min="14" max="16" width="2.1640625" style="748" customWidth="1"/>
    <col min="17" max="17" width="3.1640625" style="748" customWidth="1"/>
    <col min="18" max="18" width="6.5" style="748" customWidth="1"/>
    <col min="19" max="19" width="2.1640625" style="748" customWidth="1"/>
    <col min="20" max="20" width="4.5" style="748" customWidth="1"/>
    <col min="21" max="21" width="2.1640625" style="748" customWidth="1"/>
    <col min="22" max="22" width="5" style="748" customWidth="1"/>
    <col min="23" max="23" width="8.83203125" style="748" customWidth="1"/>
    <col min="24" max="24" width="13" style="748" customWidth="1"/>
    <col min="25" max="25" width="2.6640625" style="748" bestFit="1" customWidth="1"/>
    <col min="26" max="26" width="1" style="748" customWidth="1"/>
    <col min="27" max="27" width="2.6640625" style="748" customWidth="1"/>
    <col min="28" max="30" width="2.1640625" style="748" customWidth="1"/>
    <col min="31" max="31" width="5.5" style="748" customWidth="1"/>
    <col min="32" max="32" width="4.83203125" style="748" customWidth="1"/>
    <col min="33" max="33" width="3" style="748" customWidth="1"/>
    <col min="34" max="34" width="11.5" style="748" customWidth="1"/>
    <col min="35" max="36" width="2.1640625" style="748" customWidth="1"/>
    <col min="37" max="37" width="3" style="748" customWidth="1"/>
    <col min="38" max="38" width="3.33203125" style="748" customWidth="1"/>
    <col min="39" max="39" width="5.5" style="748" customWidth="1"/>
    <col min="40" max="40" width="4.6640625" style="748" customWidth="1"/>
    <col min="41" max="41" width="12" style="748" customWidth="1"/>
    <col min="42" max="42" width="2.1640625" style="748" customWidth="1"/>
    <col min="43" max="43" width="15.6640625" style="748" customWidth="1"/>
    <col min="44" max="44" width="10.83203125" style="748" customWidth="1"/>
    <col min="45" max="45" width="11" style="748" customWidth="1"/>
    <col min="46" max="51" width="0.6640625" style="748" customWidth="1"/>
    <col min="52" max="52" width="4.33203125" style="748" customWidth="1"/>
    <col min="53" max="53" width="8.83203125" style="748" customWidth="1"/>
    <col min="54" max="54" width="5.83203125" style="748" customWidth="1"/>
    <col min="55" max="55" width="0.5" style="748" customWidth="1"/>
    <col min="56" max="56" width="9.5" style="748" hidden="1" customWidth="1"/>
    <col min="57" max="57" width="25.1640625" style="748" customWidth="1"/>
    <col min="58" max="58" width="8.83203125" style="748" customWidth="1"/>
    <col min="59" max="59" width="7.5" style="748" customWidth="1"/>
    <col min="60" max="61" width="2.33203125" style="748" hidden="1" customWidth="1"/>
    <col min="62" max="62" width="6.5" style="748" hidden="1" customWidth="1"/>
    <col min="63" max="63" width="2.33203125" style="748" hidden="1" customWidth="1"/>
    <col min="64" max="64" width="6.83203125" style="748" hidden="1" customWidth="1"/>
    <col min="65" max="66" width="2.33203125" style="748" hidden="1" customWidth="1"/>
    <col min="67" max="67" width="15.83203125" style="748" hidden="1" customWidth="1"/>
    <col min="68" max="69" width="2.33203125" style="748" hidden="1" customWidth="1"/>
    <col min="70" max="71" width="2.33203125" style="592" hidden="1" customWidth="1"/>
    <col min="72" max="72" width="4.1640625" style="592" hidden="1" customWidth="1"/>
    <col min="73" max="73" width="17.83203125" style="592" hidden="1" customWidth="1"/>
    <col min="74" max="74" width="10.33203125" style="592" hidden="1" customWidth="1"/>
    <col min="75" max="75" width="13.1640625" style="592" hidden="1" customWidth="1"/>
    <col min="76" max="76" width="11.83203125" style="592" hidden="1" customWidth="1"/>
    <col min="77" max="77" width="13.6640625" style="592" hidden="1" customWidth="1"/>
    <col min="78" max="78" width="12.5" style="592" hidden="1" customWidth="1"/>
    <col min="79" max="79" width="9.5" style="592" hidden="1" customWidth="1"/>
    <col min="80" max="80" width="15.5" style="592" hidden="1" customWidth="1"/>
    <col min="81" max="81" width="13.5" style="592" hidden="1" customWidth="1"/>
    <col min="82" max="82" width="12.6640625" style="592" hidden="1" customWidth="1"/>
    <col min="83" max="83" width="13.1640625" style="592" hidden="1" customWidth="1"/>
    <col min="84" max="86" width="4.33203125" style="592" hidden="1" customWidth="1"/>
    <col min="87" max="87" width="10" style="592" hidden="1" customWidth="1"/>
    <col min="88" max="88" width="7.5" style="592" hidden="1" customWidth="1"/>
    <col min="89" max="91" width="2.1640625" style="592" hidden="1" customWidth="1"/>
    <col min="92" max="98" width="4.5" style="592" hidden="1" customWidth="1"/>
    <col min="99" max="99" width="20.83203125" style="592" hidden="1" customWidth="1"/>
    <col min="100" max="100" width="39.33203125" style="592" hidden="1" customWidth="1"/>
    <col min="101" max="103" width="2.1640625" style="592" hidden="1" customWidth="1"/>
    <col min="104" max="118" width="2.1640625" style="592" customWidth="1"/>
    <col min="119" max="119" width="2.33203125" style="592" customWidth="1"/>
    <col min="120" max="129" width="2.1640625" style="592" customWidth="1"/>
    <col min="130" max="130" width="6.83203125" style="592" customWidth="1"/>
    <col min="131" max="139" width="2.1640625" style="592" customWidth="1"/>
    <col min="140" max="140" width="2.6640625" style="593" customWidth="1"/>
    <col min="141" max="212" width="2.1640625" style="593" customWidth="1"/>
    <col min="213" max="218" width="2.1640625" style="593"/>
    <col min="219" max="16384" width="2.1640625" style="592"/>
  </cols>
  <sheetData>
    <row r="1" spans="1:218" s="541" customFormat="1" ht="15" customHeight="1" x14ac:dyDescent="0.15">
      <c r="D1" s="542"/>
      <c r="E1" s="542"/>
      <c r="F1" s="542"/>
      <c r="G1" s="542"/>
      <c r="H1" s="542"/>
      <c r="I1" s="542"/>
      <c r="J1" s="542"/>
      <c r="K1" s="542"/>
      <c r="L1" s="542"/>
      <c r="M1" s="542"/>
      <c r="N1" s="542"/>
      <c r="O1" s="542"/>
      <c r="P1" s="542"/>
      <c r="Q1" s="543"/>
      <c r="R1" s="542"/>
      <c r="S1" s="1354"/>
      <c r="T1" s="1354"/>
      <c r="U1" s="1354"/>
      <c r="V1" s="1354"/>
      <c r="W1" s="1354"/>
      <c r="X1" s="1354"/>
      <c r="Y1" s="1354"/>
      <c r="Z1" s="1354"/>
      <c r="AA1" s="1354"/>
      <c r="AB1" s="1354"/>
      <c r="AC1" s="1354"/>
      <c r="AD1" s="1354"/>
      <c r="AE1" s="1354"/>
      <c r="AF1" s="544"/>
      <c r="AG1" s="542"/>
      <c r="AH1" s="542"/>
      <c r="AI1" s="542"/>
      <c r="AJ1" s="542"/>
      <c r="AK1" s="542"/>
      <c r="AL1" s="542"/>
      <c r="AM1" s="542"/>
      <c r="AN1" s="542"/>
      <c r="AO1" s="542"/>
      <c r="AP1" s="542"/>
      <c r="AQ1" s="542"/>
      <c r="AR1" s="542"/>
      <c r="AS1" s="542"/>
      <c r="AT1" s="542"/>
      <c r="AU1" s="542"/>
      <c r="AV1" s="542"/>
      <c r="AW1" s="542"/>
      <c r="AX1" s="542"/>
      <c r="AY1" s="542"/>
      <c r="AZ1" s="543"/>
      <c r="BA1" s="543"/>
      <c r="BB1" s="543"/>
      <c r="BC1" s="543"/>
      <c r="BD1" s="543"/>
      <c r="BE1" s="543"/>
      <c r="BF1" s="543"/>
      <c r="BG1" s="545"/>
      <c r="BH1" s="545"/>
      <c r="BI1" s="545"/>
      <c r="BJ1" s="545"/>
      <c r="BK1" s="545"/>
      <c r="BL1" s="545"/>
      <c r="BM1" s="1405" t="s">
        <v>530</v>
      </c>
      <c r="BN1" s="1406"/>
      <c r="BO1" s="1406"/>
      <c r="BP1" s="1406"/>
      <c r="BQ1" s="1406"/>
      <c r="BR1" s="1406"/>
      <c r="BS1" s="1406"/>
      <c r="BT1" s="1406"/>
      <c r="BU1" s="1406"/>
      <c r="BV1" s="1406"/>
      <c r="BW1" s="1406"/>
      <c r="BX1" s="1406"/>
      <c r="BY1" s="1406"/>
      <c r="BZ1" s="1406"/>
      <c r="CA1" s="1406"/>
      <c r="CB1" s="1406"/>
      <c r="CC1" s="1406"/>
      <c r="CD1" s="1406"/>
      <c r="CE1" s="1406"/>
      <c r="CF1" s="1406"/>
      <c r="CG1" s="1406"/>
      <c r="CH1" s="1406"/>
      <c r="CI1" s="1406"/>
      <c r="CJ1" s="1406"/>
      <c r="CK1" s="1406"/>
      <c r="CL1" s="1406"/>
      <c r="CM1" s="1406"/>
      <c r="CN1" s="1406"/>
      <c r="CO1" s="1406"/>
      <c r="CP1" s="1406"/>
      <c r="CQ1" s="1406"/>
      <c r="CR1" s="1406"/>
      <c r="CS1" s="1406"/>
      <c r="CT1" s="1406"/>
      <c r="CU1" s="1406"/>
      <c r="CV1" s="1406"/>
      <c r="CW1" s="1407"/>
      <c r="EJ1" s="546"/>
      <c r="EK1" s="546"/>
      <c r="EL1" s="546"/>
      <c r="EM1" s="546"/>
      <c r="EN1" s="546"/>
      <c r="EO1" s="546"/>
      <c r="EP1" s="546"/>
      <c r="EQ1" s="546"/>
      <c r="ER1" s="546"/>
      <c r="ES1" s="546"/>
      <c r="ET1" s="546"/>
      <c r="EU1" s="546"/>
      <c r="EV1" s="546"/>
      <c r="EW1" s="546"/>
      <c r="EX1" s="546"/>
      <c r="EY1" s="546"/>
      <c r="EZ1" s="546"/>
      <c r="FA1" s="546"/>
      <c r="FB1" s="546"/>
      <c r="FC1" s="546"/>
      <c r="FD1" s="546"/>
      <c r="FE1" s="546"/>
      <c r="FF1" s="546"/>
      <c r="FG1" s="546"/>
      <c r="FH1" s="546"/>
      <c r="FI1" s="546"/>
      <c r="FJ1" s="546"/>
      <c r="FK1" s="546"/>
      <c r="FL1" s="546"/>
      <c r="FM1" s="546"/>
      <c r="FN1" s="546"/>
      <c r="FO1" s="546"/>
      <c r="FP1" s="546"/>
      <c r="FQ1" s="546"/>
      <c r="FR1" s="546"/>
      <c r="FS1" s="546"/>
      <c r="FT1" s="546"/>
      <c r="FU1" s="546"/>
      <c r="FV1" s="546"/>
      <c r="FW1" s="546"/>
      <c r="FX1" s="546"/>
      <c r="FY1" s="546"/>
      <c r="FZ1" s="546"/>
      <c r="GA1" s="546"/>
      <c r="GB1" s="546"/>
      <c r="GC1" s="546"/>
      <c r="GD1" s="546"/>
      <c r="GE1" s="546"/>
      <c r="GF1" s="546"/>
      <c r="GG1" s="546"/>
      <c r="GH1" s="546"/>
      <c r="GI1" s="546"/>
      <c r="GJ1" s="546"/>
      <c r="GK1" s="546"/>
      <c r="GL1" s="546"/>
      <c r="GM1" s="546"/>
      <c r="GN1" s="546"/>
      <c r="GO1" s="546"/>
      <c r="GP1" s="546"/>
      <c r="GQ1" s="546"/>
      <c r="GR1" s="546"/>
      <c r="GS1" s="546"/>
      <c r="GT1" s="546"/>
      <c r="GU1" s="546"/>
      <c r="GV1" s="546"/>
      <c r="GW1" s="546"/>
      <c r="GX1" s="546"/>
      <c r="GY1" s="546"/>
      <c r="GZ1" s="546"/>
      <c r="HA1" s="546"/>
      <c r="HB1" s="546"/>
      <c r="HC1" s="546"/>
      <c r="HD1" s="546"/>
      <c r="HE1" s="546"/>
      <c r="HF1" s="546"/>
      <c r="HG1" s="546"/>
      <c r="HH1" s="546"/>
      <c r="HI1" s="546"/>
      <c r="HJ1" s="546"/>
    </row>
    <row r="2" spans="1:218" s="541" customFormat="1" ht="12" customHeight="1" thickBot="1" x14ac:dyDescent="0.2">
      <c r="A2" s="547"/>
      <c r="B2" s="547"/>
      <c r="C2" s="547"/>
      <c r="D2" s="547"/>
      <c r="E2" s="547"/>
      <c r="F2" s="547"/>
      <c r="G2" s="547"/>
      <c r="H2" s="547"/>
      <c r="I2" s="547"/>
      <c r="J2" s="547"/>
      <c r="K2" s="547"/>
      <c r="L2" s="547"/>
      <c r="M2" s="547"/>
      <c r="N2" s="547"/>
      <c r="O2" s="547"/>
      <c r="P2" s="547"/>
      <c r="Q2" s="543"/>
      <c r="R2" s="543"/>
      <c r="S2" s="543"/>
      <c r="T2" s="543"/>
      <c r="U2" s="543"/>
      <c r="V2" s="543"/>
      <c r="W2" s="543"/>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9"/>
      <c r="BH2" s="549"/>
      <c r="BI2" s="549"/>
      <c r="BJ2" s="549"/>
      <c r="BK2" s="549"/>
      <c r="BL2" s="549"/>
      <c r="BM2" s="1408"/>
      <c r="BN2" s="1409"/>
      <c r="BO2" s="1409"/>
      <c r="BP2" s="1409"/>
      <c r="BQ2" s="1409"/>
      <c r="BR2" s="1409"/>
      <c r="BS2" s="1409"/>
      <c r="BT2" s="1409"/>
      <c r="BU2" s="1409"/>
      <c r="BV2" s="1409"/>
      <c r="BW2" s="1409"/>
      <c r="BX2" s="1409"/>
      <c r="BY2" s="1409"/>
      <c r="BZ2" s="1409"/>
      <c r="CA2" s="1409"/>
      <c r="CB2" s="1409"/>
      <c r="CC2" s="1409"/>
      <c r="CD2" s="1409"/>
      <c r="CE2" s="1409"/>
      <c r="CF2" s="1409"/>
      <c r="CG2" s="1409"/>
      <c r="CH2" s="1409"/>
      <c r="CI2" s="1409"/>
      <c r="CJ2" s="1409"/>
      <c r="CK2" s="1409"/>
      <c r="CL2" s="1409"/>
      <c r="CM2" s="1409"/>
      <c r="CN2" s="1409"/>
      <c r="CO2" s="1409"/>
      <c r="CP2" s="1409"/>
      <c r="CQ2" s="1409"/>
      <c r="CR2" s="1409"/>
      <c r="CS2" s="1409"/>
      <c r="CT2" s="1409"/>
      <c r="CU2" s="1409"/>
      <c r="CV2" s="1409"/>
      <c r="CW2" s="1410"/>
      <c r="CX2" s="541" t="s">
        <v>482</v>
      </c>
      <c r="EJ2" s="546"/>
      <c r="EK2" s="546"/>
      <c r="EL2" s="546"/>
      <c r="EM2" s="546"/>
      <c r="EN2" s="546"/>
      <c r="EO2" s="546"/>
      <c r="EP2" s="546"/>
      <c r="EQ2" s="546"/>
      <c r="ER2" s="546"/>
      <c r="ES2" s="546"/>
      <c r="ET2" s="546"/>
      <c r="EU2" s="546"/>
      <c r="EV2" s="546"/>
      <c r="EW2" s="546"/>
      <c r="EX2" s="546"/>
      <c r="EY2" s="546"/>
      <c r="EZ2" s="546"/>
      <c r="FA2" s="546"/>
      <c r="FB2" s="546"/>
      <c r="FC2" s="546"/>
      <c r="FD2" s="546"/>
      <c r="FE2" s="546"/>
      <c r="FF2" s="546"/>
      <c r="FG2" s="546"/>
      <c r="FH2" s="546"/>
      <c r="FI2" s="546"/>
      <c r="FJ2" s="546"/>
      <c r="FK2" s="546"/>
      <c r="FL2" s="546"/>
      <c r="FM2" s="546"/>
      <c r="FN2" s="546"/>
      <c r="FO2" s="546"/>
      <c r="FP2" s="546"/>
      <c r="FQ2" s="546"/>
      <c r="FR2" s="546"/>
      <c r="FS2" s="546"/>
      <c r="FT2" s="546"/>
      <c r="FU2" s="546"/>
      <c r="FV2" s="546"/>
      <c r="FW2" s="546"/>
      <c r="FX2" s="546"/>
      <c r="FY2" s="546"/>
      <c r="FZ2" s="546"/>
      <c r="GA2" s="546"/>
      <c r="GB2" s="546"/>
      <c r="GC2" s="546"/>
      <c r="GD2" s="546"/>
      <c r="GE2" s="546"/>
      <c r="GF2" s="546"/>
      <c r="GG2" s="546"/>
      <c r="GH2" s="546"/>
      <c r="GI2" s="546"/>
      <c r="GJ2" s="546"/>
      <c r="GK2" s="546"/>
      <c r="GL2" s="546"/>
      <c r="GM2" s="546"/>
      <c r="GN2" s="546"/>
      <c r="GO2" s="546"/>
      <c r="GP2" s="546"/>
      <c r="GQ2" s="546"/>
      <c r="GR2" s="546"/>
      <c r="GS2" s="546"/>
      <c r="GT2" s="546"/>
      <c r="GU2" s="546"/>
      <c r="GV2" s="546"/>
      <c r="GW2" s="546"/>
      <c r="GX2" s="546"/>
      <c r="GY2" s="546"/>
      <c r="GZ2" s="546"/>
      <c r="HA2" s="546"/>
      <c r="HB2" s="546"/>
      <c r="HC2" s="546"/>
      <c r="HD2" s="546"/>
      <c r="HE2" s="546"/>
      <c r="HF2" s="546"/>
      <c r="HG2" s="546"/>
      <c r="HH2" s="546"/>
      <c r="HI2" s="546"/>
      <c r="HJ2" s="546"/>
    </row>
    <row r="3" spans="1:218" s="541" customFormat="1" ht="20.25" customHeight="1" thickBot="1" x14ac:dyDescent="0.2">
      <c r="A3" s="550"/>
      <c r="B3" s="1437" t="str">
        <f>+IF(R20="kitöltendő legördülő cella","",IF(R20="MFB Vállalkozásfinanszírozási Program 2020",R22,R20))</f>
        <v/>
      </c>
      <c r="C3" s="1437"/>
      <c r="D3" s="1437"/>
      <c r="E3" s="1437"/>
      <c r="F3" s="1437"/>
      <c r="G3" s="1437"/>
      <c r="H3" s="1437"/>
      <c r="I3" s="1437"/>
      <c r="J3" s="1437"/>
      <c r="K3" s="1437"/>
      <c r="L3" s="1437"/>
      <c r="M3" s="1437"/>
      <c r="N3" s="1437"/>
      <c r="O3" s="1437"/>
      <c r="P3" s="1437"/>
      <c r="Q3" s="1437"/>
      <c r="R3" s="1437"/>
      <c r="S3" s="1437"/>
      <c r="T3" s="1437"/>
      <c r="U3" s="1437"/>
      <c r="V3" s="1437"/>
      <c r="W3" s="1437"/>
      <c r="X3" s="1437"/>
      <c r="Y3" s="1437"/>
      <c r="Z3" s="1437"/>
      <c r="AA3" s="1437"/>
      <c r="AB3" s="1437"/>
      <c r="AC3" s="1437"/>
      <c r="AD3" s="1437"/>
      <c r="AE3" s="1437"/>
      <c r="AF3" s="1437"/>
      <c r="AG3" s="1437"/>
      <c r="AH3" s="1437"/>
      <c r="AI3" s="1437"/>
      <c r="AJ3" s="1437"/>
      <c r="AK3" s="1437"/>
      <c r="AL3" s="1437"/>
      <c r="AM3" s="1437"/>
      <c r="AN3" s="1437"/>
      <c r="AO3" s="1437"/>
      <c r="AP3" s="1437"/>
      <c r="AQ3" s="1437"/>
      <c r="AR3" s="1437"/>
      <c r="AS3" s="1437"/>
      <c r="AT3" s="1437"/>
      <c r="AU3" s="1437"/>
      <c r="AV3" s="1437"/>
      <c r="AW3" s="1437"/>
      <c r="AX3" s="1437"/>
      <c r="AY3" s="1437"/>
      <c r="AZ3" s="1437"/>
      <c r="BA3" s="1437"/>
      <c r="BB3" s="1437"/>
      <c r="BC3" s="1437"/>
      <c r="BD3" s="1437"/>
      <c r="BE3" s="1437"/>
      <c r="BF3" s="1437"/>
      <c r="BG3" s="1437"/>
      <c r="BH3" s="550"/>
      <c r="BI3" s="550"/>
      <c r="BJ3" s="550"/>
      <c r="BK3" s="550"/>
      <c r="BL3" s="550"/>
      <c r="BM3" s="551"/>
      <c r="BQ3" s="552"/>
      <c r="BR3" s="552"/>
      <c r="BS3" s="552"/>
      <c r="BT3" s="552"/>
      <c r="BU3" s="552"/>
      <c r="BV3" s="552"/>
      <c r="BW3" s="552"/>
      <c r="CD3" s="553"/>
      <c r="CW3" s="554"/>
      <c r="CX3" s="555"/>
      <c r="CY3" s="541" t="s">
        <v>483</v>
      </c>
      <c r="EJ3" s="546"/>
      <c r="EK3" s="546"/>
      <c r="EL3" s="546"/>
      <c r="EM3" s="546"/>
      <c r="EN3" s="546"/>
      <c r="EO3" s="546"/>
      <c r="EP3" s="546"/>
      <c r="EQ3" s="546"/>
      <c r="ER3" s="546"/>
      <c r="ES3" s="546"/>
      <c r="ET3" s="546"/>
      <c r="EU3" s="546"/>
      <c r="EV3" s="546"/>
      <c r="EW3" s="546"/>
      <c r="EX3" s="546"/>
      <c r="EY3" s="546"/>
      <c r="EZ3" s="546"/>
      <c r="FA3" s="546"/>
      <c r="FB3" s="546"/>
      <c r="FC3" s="546"/>
      <c r="FD3" s="546"/>
      <c r="FE3" s="546"/>
      <c r="FF3" s="546"/>
      <c r="FG3" s="546"/>
      <c r="FH3" s="546"/>
      <c r="FI3" s="546"/>
      <c r="FJ3" s="546"/>
      <c r="FK3" s="546"/>
      <c r="FL3" s="546"/>
      <c r="FM3" s="546"/>
      <c r="FN3" s="546"/>
      <c r="FO3" s="546"/>
      <c r="FP3" s="546"/>
      <c r="FQ3" s="546"/>
      <c r="FR3" s="546"/>
      <c r="FS3" s="546"/>
      <c r="FT3" s="546"/>
      <c r="FU3" s="546"/>
      <c r="FV3" s="546"/>
      <c r="FW3" s="546"/>
      <c r="FX3" s="546"/>
      <c r="FY3" s="546"/>
      <c r="FZ3" s="546"/>
      <c r="GA3" s="546"/>
      <c r="GB3" s="546"/>
      <c r="GC3" s="546"/>
      <c r="GD3" s="546"/>
      <c r="GE3" s="546"/>
      <c r="GF3" s="546"/>
      <c r="GG3" s="546"/>
      <c r="GH3" s="546"/>
      <c r="GI3" s="546"/>
      <c r="GJ3" s="546"/>
      <c r="GK3" s="546"/>
      <c r="GL3" s="546"/>
      <c r="GM3" s="546"/>
      <c r="GN3" s="546"/>
      <c r="GO3" s="546"/>
      <c r="GP3" s="546"/>
      <c r="GQ3" s="546"/>
      <c r="GR3" s="546"/>
      <c r="GS3" s="546"/>
      <c r="GT3" s="546"/>
      <c r="GU3" s="546"/>
      <c r="GV3" s="546"/>
      <c r="GW3" s="546"/>
      <c r="GX3" s="546"/>
      <c r="GY3" s="546"/>
      <c r="GZ3" s="546"/>
      <c r="HA3" s="546"/>
      <c r="HB3" s="546"/>
      <c r="HC3" s="546"/>
      <c r="HD3" s="546"/>
      <c r="HE3" s="546"/>
      <c r="HF3" s="546"/>
      <c r="HG3" s="546"/>
      <c r="HH3" s="546"/>
      <c r="HI3" s="546"/>
      <c r="HJ3" s="546"/>
    </row>
    <row r="4" spans="1:218" s="541" customFormat="1" ht="14.25" customHeight="1" thickBot="1" x14ac:dyDescent="0.2">
      <c r="A4" s="550"/>
      <c r="B4" s="550"/>
      <c r="C4" s="550"/>
      <c r="D4" s="550"/>
      <c r="E4" s="550"/>
      <c r="F4" s="550"/>
      <c r="G4" s="550"/>
      <c r="H4" s="550"/>
      <c r="I4" s="550"/>
      <c r="J4" s="556"/>
      <c r="K4" s="556"/>
      <c r="L4" s="556"/>
      <c r="M4" s="556"/>
      <c r="N4" s="556"/>
      <c r="O4" s="556"/>
      <c r="P4" s="556"/>
      <c r="Q4" s="557"/>
      <c r="R4" s="557"/>
      <c r="S4" s="557"/>
      <c r="T4" s="557"/>
      <c r="U4" s="557"/>
      <c r="V4" s="557"/>
      <c r="W4" s="557"/>
      <c r="X4" s="557"/>
      <c r="Y4" s="558"/>
      <c r="Z4" s="558"/>
      <c r="AA4" s="558"/>
      <c r="AB4" s="558"/>
      <c r="AC4" s="558"/>
      <c r="AD4" s="558"/>
      <c r="AE4" s="558"/>
      <c r="AF4" s="558"/>
      <c r="AG4" s="558"/>
      <c r="AH4" s="558"/>
      <c r="AI4" s="558"/>
      <c r="AJ4" s="558"/>
      <c r="AK4" s="558"/>
      <c r="AL4" s="558"/>
      <c r="AM4" s="558"/>
      <c r="AN4" s="558"/>
      <c r="AO4" s="558"/>
      <c r="AP4" s="558"/>
      <c r="AQ4" s="558"/>
      <c r="AR4" s="558"/>
      <c r="AS4" s="558"/>
      <c r="AT4" s="558"/>
      <c r="AU4" s="558"/>
      <c r="AV4" s="558"/>
      <c r="AW4" s="558"/>
      <c r="AX4" s="558"/>
      <c r="AY4" s="558"/>
      <c r="AZ4" s="558"/>
      <c r="BA4" s="558"/>
      <c r="BB4" s="558"/>
      <c r="BC4" s="558"/>
      <c r="BD4" s="558"/>
      <c r="BE4" s="558"/>
      <c r="BF4" s="558"/>
      <c r="BG4" s="550"/>
      <c r="BH4" s="550"/>
      <c r="BI4" s="550"/>
      <c r="BJ4" s="550"/>
      <c r="BK4" s="550"/>
      <c r="BL4" s="550"/>
      <c r="BM4" s="1411" t="s">
        <v>485</v>
      </c>
      <c r="BN4" s="1412"/>
      <c r="BO4" s="1412"/>
      <c r="BP4" s="1412"/>
      <c r="BQ4" s="1412"/>
      <c r="BR4" s="1412"/>
      <c r="BS4" s="1412"/>
      <c r="BT4" s="1412"/>
      <c r="BU4" s="1412"/>
      <c r="BV4" s="1412"/>
      <c r="BW4" s="1412"/>
      <c r="BX4" s="1412"/>
      <c r="BY4" s="1412"/>
      <c r="BZ4" s="1412"/>
      <c r="CA4" s="1412"/>
      <c r="CB4" s="1412"/>
      <c r="CC4" s="1412"/>
      <c r="CD4" s="1412"/>
      <c r="CE4" s="1412"/>
      <c r="CF4" s="1412"/>
      <c r="CG4" s="1412"/>
      <c r="CH4" s="1412"/>
      <c r="CI4" s="1412"/>
      <c r="CJ4" s="1412"/>
      <c r="CK4" s="1412"/>
      <c r="CL4" s="1412"/>
      <c r="CM4" s="1412"/>
      <c r="CN4" s="1412"/>
      <c r="CO4" s="1412"/>
      <c r="CP4" s="1412"/>
      <c r="CQ4" s="1412"/>
      <c r="CR4" s="1412"/>
      <c r="CS4" s="1412"/>
      <c r="CT4" s="1412"/>
      <c r="CU4" s="1412"/>
      <c r="CV4" s="1412"/>
      <c r="CW4" s="1413"/>
      <c r="CX4" s="559"/>
      <c r="CY4" s="541" t="s">
        <v>913</v>
      </c>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row>
    <row r="5" spans="1:218" s="541" customFormat="1" ht="36" customHeight="1" thickBot="1" x14ac:dyDescent="0.2">
      <c r="A5" s="550"/>
      <c r="B5" s="550"/>
      <c r="C5" s="550"/>
      <c r="D5" s="550"/>
      <c r="E5" s="550"/>
      <c r="F5" s="550"/>
      <c r="G5" s="550"/>
      <c r="H5" s="550"/>
      <c r="I5" s="550"/>
      <c r="J5" s="556"/>
      <c r="K5" s="556"/>
      <c r="L5" s="556"/>
      <c r="M5" s="556"/>
      <c r="N5" s="1363" t="s">
        <v>991</v>
      </c>
      <c r="O5" s="1364"/>
      <c r="P5" s="1364"/>
      <c r="Q5" s="1364"/>
      <c r="R5" s="1364"/>
      <c r="S5" s="1364"/>
      <c r="T5" s="1364"/>
      <c r="U5" s="1364"/>
      <c r="V5" s="1364"/>
      <c r="W5" s="1364"/>
      <c r="X5" s="1364"/>
      <c r="Y5" s="1364"/>
      <c r="Z5" s="1364"/>
      <c r="AA5" s="1364"/>
      <c r="AB5" s="1364"/>
      <c r="AC5" s="1364"/>
      <c r="AD5" s="1364"/>
      <c r="AE5" s="1364"/>
      <c r="AF5" s="1364"/>
      <c r="AG5" s="1364"/>
      <c r="AH5" s="1364"/>
      <c r="AI5" s="1364"/>
      <c r="AJ5" s="1364"/>
      <c r="AK5" s="1364"/>
      <c r="AL5" s="1364"/>
      <c r="AM5" s="1364"/>
      <c r="AN5" s="1364"/>
      <c r="AO5" s="1364"/>
      <c r="AP5" s="1364"/>
      <c r="AQ5" s="1364"/>
      <c r="AR5" s="1364"/>
      <c r="AS5" s="1364"/>
      <c r="AT5" s="1364"/>
      <c r="AU5" s="1364"/>
      <c r="AV5" s="1364"/>
      <c r="AW5" s="1364"/>
      <c r="AX5" s="1364"/>
      <c r="AY5" s="1364"/>
      <c r="AZ5" s="1364"/>
      <c r="BA5" s="1365"/>
      <c r="BB5" s="710"/>
      <c r="BC5" s="710"/>
      <c r="BD5" s="710"/>
      <c r="BE5" s="710"/>
      <c r="BF5" s="710"/>
      <c r="BG5" s="550"/>
      <c r="BH5" s="550"/>
      <c r="BI5" s="550"/>
      <c r="BJ5" s="550"/>
      <c r="BK5" s="550"/>
      <c r="BL5" s="550"/>
      <c r="BM5" s="551"/>
      <c r="BQ5" s="552"/>
      <c r="BR5" s="552"/>
      <c r="BS5" s="552"/>
      <c r="BT5" s="552"/>
      <c r="BU5" s="552"/>
      <c r="BV5" s="560" t="s">
        <v>479</v>
      </c>
      <c r="BW5" s="552"/>
      <c r="CC5" s="561" t="s">
        <v>477</v>
      </c>
      <c r="CW5" s="554"/>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row>
    <row r="6" spans="1:218" s="541" customFormat="1" ht="12.75" customHeight="1" x14ac:dyDescent="0.15">
      <c r="A6" s="550"/>
      <c r="B6" s="550"/>
      <c r="C6" s="550"/>
      <c r="D6" s="550"/>
      <c r="E6" s="550"/>
      <c r="F6" s="550"/>
      <c r="G6" s="550"/>
      <c r="H6" s="550"/>
      <c r="I6" s="550"/>
      <c r="J6" s="556"/>
      <c r="K6" s="556"/>
      <c r="L6" s="556"/>
      <c r="M6" s="556"/>
      <c r="N6" s="556"/>
      <c r="O6" s="556"/>
      <c r="P6" s="556"/>
      <c r="Q6" s="557"/>
      <c r="R6" s="557"/>
      <c r="S6" s="557"/>
      <c r="T6" s="557"/>
      <c r="U6" s="557"/>
      <c r="V6" s="562"/>
      <c r="W6" s="562"/>
      <c r="X6" s="562"/>
      <c r="Y6" s="562"/>
      <c r="Z6" s="562"/>
      <c r="AA6" s="562"/>
      <c r="AB6" s="562"/>
      <c r="AC6" s="562"/>
      <c r="AD6" s="562"/>
      <c r="AE6" s="562"/>
      <c r="AF6" s="562"/>
      <c r="AG6" s="562"/>
      <c r="AH6" s="562"/>
      <c r="AI6" s="562"/>
      <c r="AJ6" s="562"/>
      <c r="AK6" s="562"/>
      <c r="AL6" s="562"/>
      <c r="AM6" s="562"/>
      <c r="AN6" s="562"/>
      <c r="AO6" s="562"/>
      <c r="AP6" s="562"/>
      <c r="AQ6" s="562"/>
      <c r="AR6" s="558"/>
      <c r="AS6" s="558"/>
      <c r="AT6" s="558"/>
      <c r="AU6" s="558"/>
      <c r="AV6" s="558"/>
      <c r="AW6" s="558"/>
      <c r="AX6" s="558"/>
      <c r="AY6" s="558"/>
      <c r="AZ6" s="558"/>
      <c r="BA6" s="558"/>
      <c r="BB6" s="558"/>
      <c r="BC6" s="558"/>
      <c r="BD6" s="558"/>
      <c r="BE6" s="558"/>
      <c r="BF6" s="558"/>
      <c r="BG6" s="550"/>
      <c r="BH6" s="550"/>
      <c r="BI6" s="550"/>
      <c r="BJ6" s="550"/>
      <c r="BK6" s="550"/>
      <c r="BL6" s="550"/>
      <c r="BM6" s="551"/>
      <c r="BQ6" s="552"/>
      <c r="BR6" s="552"/>
      <c r="BS6" s="552"/>
      <c r="BT6" s="552"/>
      <c r="BU6" s="552"/>
      <c r="BV6" s="560" t="s">
        <v>163</v>
      </c>
      <c r="BW6" s="552"/>
      <c r="CC6" s="563" t="s">
        <v>163</v>
      </c>
      <c r="CW6" s="554"/>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row>
    <row r="7" spans="1:218" s="541" customFormat="1" ht="12" customHeight="1" x14ac:dyDescent="0.15">
      <c r="A7" s="550"/>
      <c r="B7" s="550"/>
      <c r="C7" s="550"/>
      <c r="D7" s="550"/>
      <c r="E7" s="550"/>
      <c r="F7" s="550"/>
      <c r="G7" s="550"/>
      <c r="H7" s="550"/>
      <c r="I7" s="550"/>
      <c r="J7" s="556"/>
      <c r="K7" s="556"/>
      <c r="L7" s="556"/>
      <c r="M7" s="556"/>
      <c r="N7" s="556"/>
      <c r="O7" s="556"/>
      <c r="P7" s="556"/>
      <c r="Q7" s="557"/>
      <c r="R7" s="557"/>
      <c r="S7" s="557"/>
      <c r="T7" s="557"/>
      <c r="U7" s="557"/>
      <c r="V7" s="1246"/>
      <c r="W7" s="1246"/>
      <c r="X7" s="1246"/>
      <c r="Y7" s="1246"/>
      <c r="Z7" s="1246"/>
      <c r="AA7" s="1246"/>
      <c r="AB7" s="1246"/>
      <c r="AC7" s="1246"/>
      <c r="AD7" s="1246"/>
      <c r="AE7" s="1246"/>
      <c r="AF7" s="1246"/>
      <c r="AG7" s="1246"/>
      <c r="AH7" s="1246"/>
      <c r="AI7" s="1246"/>
      <c r="AJ7" s="1246"/>
      <c r="AK7" s="1246"/>
      <c r="AL7" s="1246"/>
      <c r="AM7" s="1246"/>
      <c r="AN7" s="1246"/>
      <c r="AO7" s="1246"/>
      <c r="AP7" s="1246"/>
      <c r="AQ7" s="1246"/>
      <c r="AR7" s="558"/>
      <c r="AS7" s="558"/>
      <c r="AT7" s="558"/>
      <c r="AU7" s="558"/>
      <c r="AV7" s="558"/>
      <c r="AW7" s="558"/>
      <c r="AX7" s="558"/>
      <c r="AY7" s="558"/>
      <c r="AZ7" s="558"/>
      <c r="BA7" s="558"/>
      <c r="BB7" s="558"/>
      <c r="BC7" s="558"/>
      <c r="BD7" s="558"/>
      <c r="BE7" s="558"/>
      <c r="BF7" s="558"/>
      <c r="BG7" s="550"/>
      <c r="BH7" s="550"/>
      <c r="BI7" s="550"/>
      <c r="BJ7" s="550"/>
      <c r="BK7" s="550"/>
      <c r="BL7" s="550"/>
      <c r="BM7" s="551"/>
      <c r="BQ7" s="552"/>
      <c r="BR7" s="552"/>
      <c r="BS7" s="552"/>
      <c r="BT7" s="564" t="str">
        <f>+IF(BU7=1,1,IF(BU8=2,2,IF(BU9=3,3,IF(BU10=4,4,IF(BU11=5,5,"")))))</f>
        <v/>
      </c>
      <c r="BU7" s="565" t="str">
        <f>+IF(R20="MFB Vállalkozásfinanszírozási Program 2020",1,"")</f>
        <v/>
      </c>
      <c r="BV7" s="560" t="s">
        <v>461</v>
      </c>
      <c r="BW7" s="552"/>
      <c r="CA7" s="566"/>
      <c r="CB7" s="567" t="str">
        <f>+IF(R22="MFB Vállalkozásfinanszírozási Program 2020","a","")</f>
        <v/>
      </c>
      <c r="CC7" s="568" t="str">
        <f>+IF(BU7=1,"MFB Vállalkozásfinanszírozási Program 2020","")</f>
        <v/>
      </c>
      <c r="CD7" s="559"/>
      <c r="CE7" s="559"/>
      <c r="CW7" s="554"/>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row>
    <row r="8" spans="1:218" s="541" customFormat="1" ht="12" customHeight="1" x14ac:dyDescent="0.15">
      <c r="A8" s="550"/>
      <c r="B8" s="550"/>
      <c r="C8" s="550"/>
      <c r="D8" s="550"/>
      <c r="E8" s="550"/>
      <c r="F8" s="550"/>
      <c r="G8" s="550"/>
      <c r="H8" s="550"/>
      <c r="I8" s="550"/>
      <c r="J8" s="556"/>
      <c r="K8" s="556"/>
      <c r="L8" s="556"/>
      <c r="M8" s="556"/>
      <c r="N8" s="556"/>
      <c r="O8" s="556"/>
      <c r="P8" s="556"/>
      <c r="Q8" s="557"/>
      <c r="R8" s="557"/>
      <c r="S8" s="557"/>
      <c r="T8" s="557"/>
      <c r="U8" s="557"/>
      <c r="V8" s="557"/>
      <c r="W8" s="557"/>
      <c r="X8" s="557"/>
      <c r="Y8" s="558"/>
      <c r="Z8" s="558"/>
      <c r="AA8" s="558"/>
      <c r="AB8" s="558"/>
      <c r="AC8" s="558"/>
      <c r="AD8" s="558"/>
      <c r="AE8" s="558"/>
      <c r="AF8" s="558"/>
      <c r="AG8" s="558"/>
      <c r="AH8" s="558"/>
      <c r="AI8" s="558"/>
      <c r="AJ8" s="558"/>
      <c r="AK8" s="558"/>
      <c r="AL8" s="558"/>
      <c r="AM8" s="558"/>
      <c r="AN8" s="558"/>
      <c r="AO8" s="558"/>
      <c r="AP8" s="558"/>
      <c r="AQ8" s="558"/>
      <c r="AR8" s="558"/>
      <c r="AS8" s="558"/>
      <c r="AT8" s="558"/>
      <c r="AU8" s="558"/>
      <c r="AV8" s="558"/>
      <c r="AW8" s="558"/>
      <c r="AX8" s="558"/>
      <c r="AY8" s="558"/>
      <c r="AZ8" s="558"/>
      <c r="BA8" s="558"/>
      <c r="BB8" s="558"/>
      <c r="BC8" s="558"/>
      <c r="BD8" s="558"/>
      <c r="BE8" s="558"/>
      <c r="BF8" s="558"/>
      <c r="BG8" s="550"/>
      <c r="BH8" s="550"/>
      <c r="BI8" s="550"/>
      <c r="BJ8" s="550"/>
      <c r="BK8" s="550"/>
      <c r="BL8" s="550"/>
      <c r="BM8" s="551"/>
      <c r="BQ8" s="552"/>
      <c r="BR8" s="552"/>
      <c r="BS8" s="552"/>
      <c r="BT8" s="552"/>
      <c r="BU8" s="565" t="str">
        <f>+IF(R20="MFB Lízing Refinanszírozási Program",2,"")</f>
        <v/>
      </c>
      <c r="BV8" s="560" t="s">
        <v>480</v>
      </c>
      <c r="BW8" s="552"/>
      <c r="CB8" s="567" t="str">
        <f>+IF(R22="MFB Kisfaludy Turizmus-fejlesztési Hitelprogram","b","")</f>
        <v/>
      </c>
      <c r="CC8" s="568" t="str">
        <f>IF(BU7=1,"MFB Kisfaludy Turizmus-fejlesztési Hitelprogram","")</f>
        <v/>
      </c>
      <c r="CD8" s="559"/>
      <c r="CE8" s="559"/>
      <c r="CW8" s="554"/>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row>
    <row r="9" spans="1:218" s="541" customFormat="1" ht="14" x14ac:dyDescent="0.15">
      <c r="A9" s="550"/>
      <c r="B9" s="550"/>
      <c r="C9" s="550"/>
      <c r="D9" s="550"/>
      <c r="E9" s="550"/>
      <c r="F9" s="550"/>
      <c r="G9" s="550"/>
      <c r="H9" s="550"/>
      <c r="I9" s="550"/>
      <c r="J9" s="569"/>
      <c r="K9" s="569"/>
      <c r="L9" s="569"/>
      <c r="M9" s="569"/>
      <c r="N9" s="569"/>
      <c r="O9" s="569"/>
      <c r="P9" s="569"/>
      <c r="Q9" s="570"/>
      <c r="R9" s="570"/>
      <c r="S9" s="570"/>
      <c r="T9" s="570"/>
      <c r="U9" s="570"/>
      <c r="V9" s="557"/>
      <c r="W9" s="557"/>
      <c r="X9" s="557"/>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0"/>
      <c r="BH9" s="550"/>
      <c r="BI9" s="550"/>
      <c r="BJ9" s="550"/>
      <c r="BK9" s="550"/>
      <c r="BL9" s="550"/>
      <c r="BM9" s="551"/>
      <c r="BQ9" s="552"/>
      <c r="BR9" s="552"/>
      <c r="BS9" s="552"/>
      <c r="BT9" s="552"/>
      <c r="BU9" s="565" t="str">
        <f>+IF(R20="MFB NHP Fix Lízing Refinanszírozási Program",3,"")</f>
        <v/>
      </c>
      <c r="BV9" s="561" t="s">
        <v>488</v>
      </c>
      <c r="BW9" s="552"/>
      <c r="CB9" s="567" t="str">
        <f>+IF(R22="Patika Hitelprogram","c","")</f>
        <v/>
      </c>
      <c r="CC9" s="568" t="str">
        <f>IF(BU7=1,"Patika Hitelprogram","")</f>
        <v/>
      </c>
      <c r="CD9" s="559"/>
      <c r="CE9" s="559"/>
      <c r="CW9" s="554"/>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row>
    <row r="10" spans="1:218" s="541" customFormat="1" ht="14" x14ac:dyDescent="0.15">
      <c r="A10" s="550"/>
      <c r="B10" s="550"/>
      <c r="C10" s="550"/>
      <c r="D10" s="550"/>
      <c r="E10" s="550"/>
      <c r="F10" s="550"/>
      <c r="G10" s="550"/>
      <c r="H10" s="550"/>
      <c r="I10" s="550"/>
      <c r="J10" s="569"/>
      <c r="K10" s="569"/>
      <c r="L10" s="569"/>
      <c r="M10" s="569"/>
      <c r="N10" s="550"/>
      <c r="O10" s="550"/>
      <c r="P10" s="550"/>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0"/>
      <c r="BH10" s="550"/>
      <c r="BI10" s="550"/>
      <c r="BJ10" s="550"/>
      <c r="BK10" s="550"/>
      <c r="BL10" s="550"/>
      <c r="BM10" s="551"/>
      <c r="BQ10" s="552"/>
      <c r="BR10" s="552"/>
      <c r="BS10" s="552"/>
      <c r="BT10" s="552"/>
      <c r="BU10" s="567" t="str">
        <f>+IF(R20="MFB Gazdaság Újjáépítési Hitel Program",4,"")</f>
        <v/>
      </c>
      <c r="BV10" s="560" t="s">
        <v>1146</v>
      </c>
      <c r="BW10" s="571"/>
      <c r="BX10" s="546"/>
      <c r="BY10" s="546"/>
      <c r="CB10" s="572"/>
      <c r="CC10" s="573"/>
      <c r="CD10" s="555"/>
      <c r="CE10" s="555"/>
      <c r="CW10" s="554"/>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row>
    <row r="11" spans="1:218" s="541" customFormat="1" ht="14" x14ac:dyDescent="0.15">
      <c r="A11" s="550"/>
      <c r="B11" s="550"/>
      <c r="C11" s="550"/>
      <c r="D11" s="550"/>
      <c r="E11" s="550"/>
      <c r="F11" s="550"/>
      <c r="G11" s="550"/>
      <c r="H11" s="550"/>
      <c r="I11" s="550"/>
      <c r="J11" s="569"/>
      <c r="K11" s="569"/>
      <c r="L11" s="569"/>
      <c r="M11" s="569"/>
      <c r="N11" s="550"/>
      <c r="O11" s="550"/>
      <c r="P11" s="550"/>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8"/>
      <c r="AY11" s="558"/>
      <c r="AZ11" s="558"/>
      <c r="BA11" s="558"/>
      <c r="BB11" s="558"/>
      <c r="BC11" s="558"/>
      <c r="BD11" s="558"/>
      <c r="BE11" s="558"/>
      <c r="BF11" s="558"/>
      <c r="BG11" s="550"/>
      <c r="BH11" s="550"/>
      <c r="BI11" s="550"/>
      <c r="BJ11" s="550"/>
      <c r="BK11" s="550"/>
      <c r="BL11" s="550"/>
      <c r="BM11" s="551"/>
      <c r="BQ11" s="552"/>
      <c r="BR11" s="552"/>
      <c r="BS11" s="552"/>
      <c r="BT11" s="552"/>
      <c r="BU11" s="1100" t="str">
        <f>+IF(R20="MFB Régió Versenyképességi Pénzügyi Vállalkozás Refinanszírozási Program",5,"")</f>
        <v/>
      </c>
      <c r="BV11" s="560" t="s">
        <v>1086</v>
      </c>
      <c r="BW11" s="574"/>
      <c r="BX11" s="555"/>
      <c r="BY11" s="555"/>
      <c r="CB11" s="572"/>
      <c r="CC11" s="573"/>
      <c r="CD11" s="555"/>
      <c r="CE11" s="555"/>
      <c r="CW11" s="554"/>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row>
    <row r="12" spans="1:218" s="541" customFormat="1" ht="14" x14ac:dyDescent="0.15">
      <c r="A12" s="550"/>
      <c r="B12" s="550"/>
      <c r="C12" s="550"/>
      <c r="D12" s="550"/>
      <c r="E12" s="550"/>
      <c r="F12" s="550"/>
      <c r="G12" s="550"/>
      <c r="H12" s="550"/>
      <c r="I12" s="550"/>
      <c r="J12" s="569"/>
      <c r="K12" s="569"/>
      <c r="L12" s="569"/>
      <c r="M12" s="569"/>
      <c r="N12" s="550"/>
      <c r="O12" s="550"/>
      <c r="P12" s="550"/>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c r="AT12" s="558"/>
      <c r="AU12" s="558"/>
      <c r="AV12" s="558"/>
      <c r="AW12" s="558"/>
      <c r="AX12" s="558"/>
      <c r="AY12" s="558"/>
      <c r="AZ12" s="558"/>
      <c r="BA12" s="558"/>
      <c r="BB12" s="558"/>
      <c r="BC12" s="558"/>
      <c r="BD12" s="558"/>
      <c r="BE12" s="558"/>
      <c r="BF12" s="558"/>
      <c r="BG12" s="550"/>
      <c r="BH12" s="550"/>
      <c r="BI12" s="550"/>
      <c r="BJ12" s="550"/>
      <c r="BK12" s="550"/>
      <c r="BL12" s="550"/>
      <c r="BM12" s="551"/>
      <c r="BQ12" s="552"/>
      <c r="BR12" s="552"/>
      <c r="BS12" s="552"/>
      <c r="BT12" s="552"/>
      <c r="BU12" s="574"/>
      <c r="BV12" s="574"/>
      <c r="BW12" s="574"/>
      <c r="BX12" s="555"/>
      <c r="BY12" s="555"/>
      <c r="CB12" s="572"/>
      <c r="CC12" s="575"/>
      <c r="CD12" s="555"/>
      <c r="CE12" s="555"/>
      <c r="CW12" s="554"/>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row>
    <row r="13" spans="1:218" s="541" customFormat="1" ht="12" customHeight="1" x14ac:dyDescent="0.15">
      <c r="A13" s="550"/>
      <c r="B13" s="550"/>
      <c r="C13" s="550"/>
      <c r="D13" s="550"/>
      <c r="E13" s="550"/>
      <c r="F13" s="550"/>
      <c r="G13" s="550"/>
      <c r="H13" s="550"/>
      <c r="I13" s="550"/>
      <c r="J13" s="550"/>
      <c r="K13" s="550"/>
      <c r="L13" s="550"/>
      <c r="M13" s="550"/>
      <c r="N13" s="550"/>
      <c r="O13" s="550"/>
      <c r="P13" s="550"/>
      <c r="Q13" s="558"/>
      <c r="R13" s="558"/>
      <c r="S13" s="558" t="s">
        <v>144</v>
      </c>
      <c r="T13" s="558"/>
      <c r="U13" s="558"/>
      <c r="V13" s="558"/>
      <c r="W13" s="558"/>
      <c r="X13" s="558"/>
      <c r="Y13" s="558"/>
      <c r="Z13" s="558"/>
      <c r="AA13" s="558"/>
      <c r="AB13" s="558"/>
      <c r="AC13" s="576"/>
      <c r="AD13" s="576"/>
      <c r="AE13" s="576"/>
      <c r="AF13" s="576"/>
      <c r="AG13" s="576"/>
      <c r="AH13" s="576"/>
      <c r="AI13" s="576"/>
      <c r="AJ13" s="576"/>
      <c r="AK13" s="576"/>
      <c r="AL13" s="1167"/>
      <c r="AM13" s="1167"/>
      <c r="AN13" s="1167"/>
      <c r="AO13" s="1167"/>
      <c r="AP13" s="1167"/>
      <c r="AQ13" s="1167"/>
      <c r="AR13" s="1167"/>
      <c r="AS13" s="1167"/>
      <c r="AT13" s="1167"/>
      <c r="AU13" s="1167"/>
      <c r="AV13" s="1167"/>
      <c r="AW13" s="1167"/>
      <c r="AX13" s="1167"/>
      <c r="AY13" s="1167"/>
      <c r="AZ13" s="1167"/>
      <c r="BA13" s="1167"/>
      <c r="BB13" s="1167"/>
      <c r="BC13" s="558"/>
      <c r="BD13" s="558"/>
      <c r="BE13" s="558"/>
      <c r="BF13" s="558"/>
      <c r="BG13" s="550"/>
      <c r="BH13" s="550"/>
      <c r="BI13" s="550"/>
      <c r="BJ13" s="550"/>
      <c r="BK13" s="550"/>
      <c r="BL13" s="550"/>
      <c r="BM13" s="551"/>
      <c r="BQ13" s="577"/>
      <c r="BR13" s="578"/>
      <c r="BS13" s="578"/>
      <c r="BT13" s="578"/>
      <c r="BU13" s="574"/>
      <c r="BV13" s="579"/>
      <c r="BW13" s="579"/>
      <c r="BX13" s="555"/>
      <c r="BY13" s="555"/>
      <c r="CB13" s="555"/>
      <c r="CC13" s="555"/>
      <c r="CD13" s="555"/>
      <c r="CE13" s="555"/>
      <c r="CW13" s="554"/>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row>
    <row r="14" spans="1:218" s="541" customFormat="1" ht="12" customHeight="1" x14ac:dyDescent="0.15">
      <c r="A14" s="550"/>
      <c r="B14" s="550"/>
      <c r="C14" s="550"/>
      <c r="D14" s="550"/>
      <c r="E14" s="550"/>
      <c r="F14" s="550"/>
      <c r="G14" s="550"/>
      <c r="H14" s="550"/>
      <c r="I14" s="550"/>
      <c r="J14" s="550"/>
      <c r="K14" s="550"/>
      <c r="L14" s="550"/>
      <c r="M14" s="550"/>
      <c r="N14" s="550"/>
      <c r="O14" s="550"/>
      <c r="P14" s="550"/>
      <c r="Q14" s="558"/>
      <c r="R14" s="558"/>
      <c r="S14" s="558"/>
      <c r="T14" s="558"/>
      <c r="U14" s="558"/>
      <c r="V14" s="558"/>
      <c r="W14" s="558"/>
      <c r="X14" s="558"/>
      <c r="Y14" s="558"/>
      <c r="Z14" s="558"/>
      <c r="AA14" s="558"/>
      <c r="AB14" s="558"/>
      <c r="AC14" s="576"/>
      <c r="AD14" s="576"/>
      <c r="AE14" s="576"/>
      <c r="AF14" s="576"/>
      <c r="AG14" s="576"/>
      <c r="AH14" s="576"/>
      <c r="AI14" s="576"/>
      <c r="AJ14" s="576"/>
      <c r="AK14" s="576"/>
      <c r="AL14" s="1167"/>
      <c r="AM14" s="1167"/>
      <c r="AN14" s="1167"/>
      <c r="AO14" s="1167"/>
      <c r="AP14" s="1167"/>
      <c r="AQ14" s="1167"/>
      <c r="AR14" s="1167"/>
      <c r="AS14" s="1167"/>
      <c r="AT14" s="1167"/>
      <c r="AU14" s="1167"/>
      <c r="AV14" s="1167"/>
      <c r="AW14" s="1167"/>
      <c r="AX14" s="1167"/>
      <c r="AY14" s="1167"/>
      <c r="AZ14" s="1167"/>
      <c r="BA14" s="1167"/>
      <c r="BB14" s="1167"/>
      <c r="BC14" s="558"/>
      <c r="BD14" s="558"/>
      <c r="BE14" s="558"/>
      <c r="BF14" s="558"/>
      <c r="BG14" s="550"/>
      <c r="BH14" s="550"/>
      <c r="BI14" s="550"/>
      <c r="BJ14" s="550"/>
      <c r="BK14" s="550"/>
      <c r="BL14" s="550"/>
      <c r="BM14" s="551"/>
      <c r="BQ14" s="577"/>
      <c r="BR14" s="580"/>
      <c r="BS14" s="580"/>
      <c r="BT14" s="580"/>
      <c r="BU14" s="574"/>
      <c r="BV14" s="579"/>
      <c r="BW14" s="579"/>
      <c r="BX14" s="555"/>
      <c r="BY14" s="555"/>
      <c r="CB14" s="555"/>
      <c r="CC14" s="555"/>
      <c r="CD14" s="555"/>
      <c r="CE14" s="555"/>
      <c r="CW14" s="554"/>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row>
    <row r="15" spans="1:218" s="541" customFormat="1" ht="3.75" customHeight="1" x14ac:dyDescent="0.15">
      <c r="A15" s="550"/>
      <c r="B15" s="550"/>
      <c r="C15" s="550"/>
      <c r="D15" s="550"/>
      <c r="E15" s="550"/>
      <c r="F15" s="550"/>
      <c r="G15" s="550"/>
      <c r="H15" s="550"/>
      <c r="I15" s="550"/>
      <c r="J15" s="550"/>
      <c r="K15" s="550"/>
      <c r="L15" s="550"/>
      <c r="M15" s="550"/>
      <c r="N15" s="550"/>
      <c r="O15" s="550"/>
      <c r="P15" s="550"/>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0"/>
      <c r="BH15" s="550"/>
      <c r="BI15" s="550"/>
      <c r="BJ15" s="550"/>
      <c r="BK15" s="550"/>
      <c r="BL15" s="550"/>
      <c r="BM15" s="551"/>
      <c r="BQ15" s="577"/>
      <c r="BR15" s="578"/>
      <c r="BS15" s="578"/>
      <c r="BT15" s="578"/>
      <c r="BU15" s="574"/>
      <c r="BV15" s="579"/>
      <c r="BW15" s="579"/>
      <c r="BX15" s="555"/>
      <c r="BY15" s="555"/>
      <c r="CB15" s="555"/>
      <c r="CC15" s="555"/>
      <c r="CD15" s="555"/>
      <c r="CE15" s="555"/>
      <c r="CW15" s="554"/>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row>
    <row r="16" spans="1:218" s="541" customFormat="1" ht="21.75" customHeight="1" x14ac:dyDescent="0.15">
      <c r="A16" s="550"/>
      <c r="B16" s="550"/>
      <c r="C16" s="550"/>
      <c r="D16" s="550"/>
      <c r="E16" s="550"/>
      <c r="F16" s="550"/>
      <c r="G16" s="550"/>
      <c r="H16" s="550"/>
      <c r="I16" s="550"/>
      <c r="J16" s="550"/>
      <c r="K16" s="550"/>
      <c r="L16" s="550"/>
      <c r="M16" s="550"/>
      <c r="N16" s="550"/>
      <c r="O16" s="550"/>
      <c r="P16" s="550"/>
      <c r="Q16" s="558"/>
      <c r="R16" s="558"/>
      <c r="S16" s="558" t="s">
        <v>145</v>
      </c>
      <c r="T16" s="558"/>
      <c r="U16" s="558"/>
      <c r="V16" s="558"/>
      <c r="W16" s="558"/>
      <c r="X16" s="558"/>
      <c r="Y16" s="558"/>
      <c r="Z16" s="543"/>
      <c r="AA16" s="543"/>
      <c r="AB16" s="543"/>
      <c r="AC16" s="543"/>
      <c r="AD16" s="543"/>
      <c r="AE16" s="543"/>
      <c r="AF16" s="543"/>
      <c r="AG16" s="543"/>
      <c r="AH16" s="543"/>
      <c r="AI16" s="543"/>
      <c r="AJ16" s="543"/>
      <c r="AK16" s="543"/>
      <c r="AL16" s="1295"/>
      <c r="AM16" s="1295"/>
      <c r="AN16" s="1295"/>
      <c r="AO16" s="1295"/>
      <c r="AP16" s="1295"/>
      <c r="AQ16" s="1295"/>
      <c r="AR16" s="1295"/>
      <c r="AS16" s="1295"/>
      <c r="AT16" s="1295"/>
      <c r="AU16" s="1295"/>
      <c r="AV16" s="1295"/>
      <c r="AW16" s="1295"/>
      <c r="AX16" s="1295"/>
      <c r="AY16" s="1295"/>
      <c r="AZ16" s="1295"/>
      <c r="BA16" s="1295"/>
      <c r="BB16" s="1295"/>
      <c r="BC16" s="558"/>
      <c r="BD16" s="558"/>
      <c r="BE16" s="558"/>
      <c r="BF16" s="558"/>
      <c r="BG16" s="550"/>
      <c r="BH16" s="550"/>
      <c r="BI16" s="550"/>
      <c r="BJ16" s="550"/>
      <c r="BK16" s="550"/>
      <c r="BL16" s="550"/>
      <c r="BM16" s="551"/>
      <c r="BQ16" s="577"/>
      <c r="BR16" s="580"/>
      <c r="BS16" s="580"/>
      <c r="BT16" s="580"/>
      <c r="BU16" s="574"/>
      <c r="BV16" s="579"/>
      <c r="BW16" s="579"/>
      <c r="BX16" s="555"/>
      <c r="BY16" s="555"/>
      <c r="CB16" s="555"/>
      <c r="CC16" s="555"/>
      <c r="CD16" s="555"/>
      <c r="CE16" s="555"/>
      <c r="CW16" s="554"/>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row>
    <row r="17" spans="1:218" s="541" customFormat="1" ht="12" customHeight="1" x14ac:dyDescent="0.15">
      <c r="A17" s="550"/>
      <c r="B17" s="550"/>
      <c r="C17" s="550"/>
      <c r="D17" s="550"/>
      <c r="E17" s="550"/>
      <c r="F17" s="550"/>
      <c r="G17" s="550"/>
      <c r="H17" s="550"/>
      <c r="I17" s="550"/>
      <c r="J17" s="550"/>
      <c r="K17" s="550"/>
      <c r="L17" s="550"/>
      <c r="M17" s="550"/>
      <c r="N17" s="550"/>
      <c r="O17" s="550"/>
      <c r="P17" s="550"/>
      <c r="Q17" s="550"/>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1"/>
      <c r="AO17" s="581"/>
      <c r="AP17" s="581"/>
      <c r="AQ17" s="581"/>
      <c r="AR17" s="581"/>
      <c r="AS17" s="581"/>
      <c r="AT17" s="581"/>
      <c r="AU17" s="581"/>
      <c r="AV17" s="581"/>
      <c r="AW17" s="581"/>
      <c r="AX17" s="581"/>
      <c r="AY17" s="581"/>
      <c r="AZ17" s="550"/>
      <c r="BA17" s="550"/>
      <c r="BB17" s="550"/>
      <c r="BC17" s="550"/>
      <c r="BD17" s="550"/>
      <c r="BE17" s="550"/>
      <c r="BF17" s="550"/>
      <c r="BG17" s="550"/>
      <c r="BH17" s="550"/>
      <c r="BI17" s="550"/>
      <c r="BJ17" s="550"/>
      <c r="BK17" s="550"/>
      <c r="BL17" s="550"/>
      <c r="BM17" s="551"/>
      <c r="BQ17" s="552"/>
      <c r="BR17" s="552"/>
      <c r="BS17" s="552"/>
      <c r="BT17" s="552"/>
      <c r="BU17" s="574"/>
      <c r="BV17" s="574"/>
      <c r="BW17" s="574"/>
      <c r="BX17" s="555"/>
      <c r="BY17" s="555"/>
      <c r="CB17" s="555"/>
      <c r="CC17" s="555"/>
      <c r="CD17" s="555"/>
      <c r="CE17" s="555"/>
      <c r="CW17" s="554"/>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row>
    <row r="18" spans="1:218" s="541" customFormat="1" ht="14" x14ac:dyDescent="0.15">
      <c r="A18" s="550"/>
      <c r="B18" s="550"/>
      <c r="C18" s="550"/>
      <c r="D18" s="550"/>
      <c r="E18" s="550"/>
      <c r="F18" s="550"/>
      <c r="G18" s="550"/>
      <c r="H18" s="550"/>
      <c r="I18" s="550"/>
      <c r="J18" s="550"/>
      <c r="K18" s="550"/>
      <c r="L18" s="550"/>
      <c r="M18" s="550"/>
      <c r="N18" s="550"/>
      <c r="O18" s="550"/>
      <c r="P18" s="550"/>
      <c r="Q18" s="550"/>
      <c r="R18" s="581"/>
      <c r="S18" s="581"/>
      <c r="T18" s="581"/>
      <c r="U18" s="581"/>
      <c r="V18" s="581"/>
      <c r="W18" s="581"/>
      <c r="X18" s="581"/>
      <c r="Y18" s="581"/>
      <c r="Z18" s="581"/>
      <c r="AA18" s="581"/>
      <c r="AB18" s="581"/>
      <c r="AC18" s="581"/>
      <c r="AD18" s="581"/>
      <c r="AE18" s="581"/>
      <c r="AF18" s="581"/>
      <c r="AG18" s="581"/>
      <c r="AH18" s="581"/>
      <c r="AI18" s="581"/>
      <c r="AJ18" s="581"/>
      <c r="AK18" s="581"/>
      <c r="AL18" s="581"/>
      <c r="AM18" s="581"/>
      <c r="AN18" s="581"/>
      <c r="AO18" s="581"/>
      <c r="AP18" s="581"/>
      <c r="AQ18" s="581"/>
      <c r="AR18" s="581"/>
      <c r="AS18" s="581"/>
      <c r="AT18" s="581"/>
      <c r="AU18" s="581"/>
      <c r="AV18" s="581"/>
      <c r="AW18" s="581"/>
      <c r="AX18" s="581"/>
      <c r="AY18" s="581"/>
      <c r="AZ18" s="550"/>
      <c r="BA18" s="550"/>
      <c r="BB18" s="550"/>
      <c r="BC18" s="550"/>
      <c r="BD18" s="550"/>
      <c r="BE18" s="550"/>
      <c r="BF18" s="550"/>
      <c r="BG18" s="550"/>
      <c r="BH18" s="550"/>
      <c r="BI18" s="550"/>
      <c r="BJ18" s="550"/>
      <c r="BK18" s="550"/>
      <c r="BL18" s="550"/>
      <c r="BM18" s="551"/>
      <c r="BQ18" s="552"/>
      <c r="BR18" s="552"/>
      <c r="BS18" s="552"/>
      <c r="BT18" s="552"/>
      <c r="BU18" s="552"/>
      <c r="BV18" s="560"/>
      <c r="BW18" s="552"/>
      <c r="CB18" s="555"/>
      <c r="CC18" s="555"/>
      <c r="CD18" s="555"/>
      <c r="CE18" s="555"/>
      <c r="CW18" s="554"/>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row>
    <row r="19" spans="1:218" s="541" customFormat="1" ht="14" hidden="1" x14ac:dyDescent="0.15">
      <c r="A19" s="550"/>
      <c r="B19" s="550"/>
      <c r="C19" s="550"/>
      <c r="D19" s="550"/>
      <c r="E19" s="550"/>
      <c r="F19" s="550"/>
      <c r="G19" s="550"/>
      <c r="H19" s="550"/>
      <c r="I19" s="550"/>
      <c r="J19" s="550"/>
      <c r="K19" s="550"/>
      <c r="L19" s="550"/>
      <c r="M19" s="550"/>
      <c r="N19" s="550"/>
      <c r="O19" s="550"/>
      <c r="P19" s="550"/>
      <c r="Q19" s="550"/>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50"/>
      <c r="BA19" s="550"/>
      <c r="BB19" s="550"/>
      <c r="BC19" s="550"/>
      <c r="BD19" s="550"/>
      <c r="BE19" s="550"/>
      <c r="BF19" s="550"/>
      <c r="BG19" s="550"/>
      <c r="BH19" s="550"/>
      <c r="BI19" s="550"/>
      <c r="BJ19" s="550"/>
      <c r="BK19" s="550"/>
      <c r="BL19" s="550"/>
      <c r="BM19" s="551"/>
      <c r="BQ19" s="552"/>
      <c r="BR19" s="552"/>
      <c r="BS19" s="552"/>
      <c r="BT19" s="552"/>
      <c r="BU19" s="552"/>
      <c r="BV19" s="552"/>
      <c r="BW19" s="552"/>
      <c r="CW19" s="554"/>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row>
    <row r="20" spans="1:218" s="541" customFormat="1" ht="14" hidden="1" x14ac:dyDescent="0.15">
      <c r="A20" s="550"/>
      <c r="B20" s="550"/>
      <c r="C20" s="550"/>
      <c r="D20" s="550"/>
      <c r="E20" s="931"/>
      <c r="F20" s="931"/>
      <c r="G20" s="931"/>
      <c r="H20" s="932" t="s">
        <v>478</v>
      </c>
      <c r="I20" s="931"/>
      <c r="J20" s="931"/>
      <c r="K20" s="931"/>
      <c r="L20" s="931"/>
      <c r="M20" s="931"/>
      <c r="N20" s="931"/>
      <c r="O20" s="931"/>
      <c r="P20" s="931"/>
      <c r="Q20" s="931"/>
      <c r="R20" s="1367" t="str">
        <f>+Programneve</f>
        <v/>
      </c>
      <c r="S20" s="1367"/>
      <c r="T20" s="1367"/>
      <c r="U20" s="1367"/>
      <c r="V20" s="1367"/>
      <c r="W20" s="1367"/>
      <c r="X20" s="1367"/>
      <c r="Y20" s="1367"/>
      <c r="Z20" s="1367"/>
      <c r="AA20" s="1367"/>
      <c r="AB20" s="1367"/>
      <c r="AC20" s="1367"/>
      <c r="AD20" s="1367"/>
      <c r="AE20" s="1367"/>
      <c r="AF20" s="1367"/>
      <c r="AG20" s="1367"/>
      <c r="AH20" s="1367"/>
      <c r="AI20" s="1367"/>
      <c r="AJ20" s="1367"/>
      <c r="AK20" s="1367"/>
      <c r="AL20" s="1367"/>
      <c r="AM20" s="1367"/>
      <c r="AN20" s="1367"/>
      <c r="AO20" s="1367"/>
      <c r="AP20" s="1367"/>
      <c r="AQ20" s="1367"/>
      <c r="AR20" s="1367"/>
      <c r="AS20" s="1367"/>
      <c r="AT20" s="1367"/>
      <c r="AU20" s="1367"/>
      <c r="AV20" s="1367"/>
      <c r="AW20" s="1367"/>
      <c r="AX20" s="1367"/>
      <c r="AY20" s="1367"/>
      <c r="AZ20" s="1367"/>
      <c r="BA20" s="1367"/>
      <c r="BB20" s="1367"/>
      <c r="BC20" s="1367"/>
      <c r="BD20" s="550"/>
      <c r="BE20" s="550"/>
      <c r="BF20" s="550"/>
      <c r="BG20" s="550"/>
      <c r="BH20" s="550"/>
      <c r="BI20" s="550"/>
      <c r="BJ20" s="550"/>
      <c r="BK20" s="550"/>
      <c r="BL20" s="550"/>
      <c r="BM20" s="551"/>
      <c r="BQ20" s="552"/>
      <c r="BR20" s="552"/>
      <c r="BS20" s="552"/>
      <c r="BT20" s="552"/>
      <c r="BU20" s="552"/>
      <c r="BV20" s="552"/>
      <c r="BW20" s="552"/>
      <c r="CW20" s="554"/>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row>
    <row r="21" spans="1:218" s="541" customFormat="1" ht="14" hidden="1" x14ac:dyDescent="0.15">
      <c r="A21" s="550"/>
      <c r="B21" s="550"/>
      <c r="C21" s="550"/>
      <c r="D21" s="550"/>
      <c r="E21" s="931"/>
      <c r="F21" s="931"/>
      <c r="G21" s="931"/>
      <c r="H21" s="931"/>
      <c r="I21" s="931"/>
      <c r="J21" s="931"/>
      <c r="K21" s="931"/>
      <c r="L21" s="931"/>
      <c r="M21" s="931"/>
      <c r="N21" s="931"/>
      <c r="O21" s="931"/>
      <c r="P21" s="931"/>
      <c r="Q21" s="931"/>
      <c r="R21" s="933"/>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1"/>
      <c r="BA21" s="931"/>
      <c r="BB21" s="931"/>
      <c r="BC21" s="931"/>
      <c r="BD21" s="550"/>
      <c r="BE21" s="550"/>
      <c r="BF21" s="550"/>
      <c r="BG21" s="550"/>
      <c r="BH21" s="550"/>
      <c r="BI21" s="550"/>
      <c r="BJ21" s="550"/>
      <c r="BK21" s="550"/>
      <c r="BL21" s="550"/>
      <c r="BM21" s="551"/>
      <c r="BQ21" s="552"/>
      <c r="BR21" s="552"/>
      <c r="BS21" s="552"/>
      <c r="BT21" s="552"/>
      <c r="BU21" s="552"/>
      <c r="BV21" s="552"/>
      <c r="BW21" s="552"/>
      <c r="CW21" s="554"/>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row>
    <row r="22" spans="1:218" s="541" customFormat="1" ht="14" hidden="1" x14ac:dyDescent="0.15">
      <c r="A22" s="550"/>
      <c r="B22" s="550"/>
      <c r="C22" s="550"/>
      <c r="D22" s="550"/>
      <c r="E22" s="1443" t="str">
        <f>+IF(R20="MFB Vállalkozásfinanszírozási Program 2020","Alprogram neve:","")</f>
        <v/>
      </c>
      <c r="F22" s="1444"/>
      <c r="G22" s="1444"/>
      <c r="H22" s="1444"/>
      <c r="I22" s="1444"/>
      <c r="J22" s="1444"/>
      <c r="K22" s="1444"/>
      <c r="L22" s="1444"/>
      <c r="M22" s="1444"/>
      <c r="N22" s="1444"/>
      <c r="O22" s="1444"/>
      <c r="P22" s="931"/>
      <c r="Q22" s="931"/>
      <c r="R22" s="1367" t="str">
        <f>+Alprogram</f>
        <v>kitöltendő legördülő cella</v>
      </c>
      <c r="S22" s="1367"/>
      <c r="T22" s="1367"/>
      <c r="U22" s="1367"/>
      <c r="V22" s="1367"/>
      <c r="W22" s="1367"/>
      <c r="X22" s="1367"/>
      <c r="Y22" s="1367"/>
      <c r="Z22" s="1367"/>
      <c r="AA22" s="1367"/>
      <c r="AB22" s="1367"/>
      <c r="AC22" s="1367"/>
      <c r="AD22" s="1367"/>
      <c r="AE22" s="1367"/>
      <c r="AF22" s="1367"/>
      <c r="AG22" s="1367"/>
      <c r="AH22" s="1367"/>
      <c r="AI22" s="1367"/>
      <c r="AJ22" s="1367"/>
      <c r="AK22" s="1367"/>
      <c r="AL22" s="1367"/>
      <c r="AM22" s="1367"/>
      <c r="AN22" s="1367"/>
      <c r="AO22" s="1367"/>
      <c r="AP22" s="1367"/>
      <c r="AQ22" s="1367"/>
      <c r="AR22" s="1367"/>
      <c r="AS22" s="1367"/>
      <c r="AT22" s="1367"/>
      <c r="AU22" s="1367"/>
      <c r="AV22" s="1367"/>
      <c r="AW22" s="1367"/>
      <c r="AX22" s="1367"/>
      <c r="AY22" s="1367"/>
      <c r="AZ22" s="1367"/>
      <c r="BA22" s="1367"/>
      <c r="BB22" s="1367"/>
      <c r="BC22" s="1367"/>
      <c r="BD22" s="550"/>
      <c r="BE22" s="550"/>
      <c r="BF22" s="550"/>
      <c r="BG22" s="550"/>
      <c r="BH22" s="550"/>
      <c r="BI22" s="550"/>
      <c r="BJ22" s="550"/>
      <c r="BK22" s="550"/>
      <c r="BL22" s="550"/>
      <c r="BM22" s="551"/>
      <c r="BQ22" s="552"/>
      <c r="BR22" s="552"/>
      <c r="BS22" s="552"/>
      <c r="BT22" s="560"/>
      <c r="BU22" s="552"/>
      <c r="BV22" s="552"/>
      <c r="BW22" s="552"/>
      <c r="CW22" s="554"/>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row>
    <row r="23" spans="1:218" s="541" customFormat="1" ht="12" customHeight="1" x14ac:dyDescent="0.15">
      <c r="A23" s="550"/>
      <c r="B23" s="550"/>
      <c r="C23" s="550"/>
      <c r="D23" s="550"/>
      <c r="E23" s="550"/>
      <c r="F23" s="550"/>
      <c r="G23" s="550"/>
      <c r="H23" s="550"/>
      <c r="I23" s="550"/>
      <c r="J23" s="550"/>
      <c r="K23" s="550"/>
      <c r="L23" s="550"/>
      <c r="M23" s="550"/>
      <c r="N23" s="550"/>
      <c r="O23" s="550"/>
      <c r="P23" s="550"/>
      <c r="Q23" s="550"/>
      <c r="R23" s="550"/>
      <c r="S23" s="550"/>
      <c r="T23" s="550"/>
      <c r="U23" s="550"/>
      <c r="V23" s="581"/>
      <c r="W23" s="581"/>
      <c r="X23" s="581"/>
      <c r="Y23" s="550"/>
      <c r="Z23" s="550"/>
      <c r="AA23" s="550"/>
      <c r="AB23" s="550"/>
      <c r="AC23" s="550"/>
      <c r="AD23" s="550"/>
      <c r="AE23" s="550"/>
      <c r="AF23" s="550"/>
      <c r="AG23" s="550"/>
      <c r="AH23" s="550"/>
      <c r="AI23" s="550"/>
      <c r="AJ23" s="550"/>
      <c r="AK23" s="550"/>
      <c r="AL23" s="550"/>
      <c r="AM23" s="550"/>
      <c r="AN23" s="550"/>
      <c r="AO23" s="550"/>
      <c r="AP23" s="550"/>
      <c r="AQ23" s="550"/>
      <c r="AR23" s="550"/>
      <c r="AS23" s="550"/>
      <c r="AT23" s="550"/>
      <c r="AU23" s="550"/>
      <c r="AV23" s="550"/>
      <c r="AW23" s="550"/>
      <c r="AX23" s="550"/>
      <c r="AY23" s="550"/>
      <c r="AZ23" s="550"/>
      <c r="BA23" s="550"/>
      <c r="BB23" s="550"/>
      <c r="BC23" s="550"/>
      <c r="BD23" s="550"/>
      <c r="BE23" s="550"/>
      <c r="BF23" s="550"/>
      <c r="BG23" s="550"/>
      <c r="BH23" s="550"/>
      <c r="BI23" s="550"/>
      <c r="BJ23" s="550"/>
      <c r="BK23" s="550"/>
      <c r="BL23" s="550"/>
      <c r="BM23" s="551"/>
      <c r="BQ23" s="552"/>
      <c r="BR23" s="552"/>
      <c r="BS23" s="552"/>
      <c r="BU23" s="552"/>
      <c r="BV23" s="552"/>
      <c r="BW23" s="552"/>
      <c r="CW23" s="554"/>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row>
    <row r="24" spans="1:218" s="584" customFormat="1" ht="22.5" customHeight="1" x14ac:dyDescent="0.15">
      <c r="A24" s="550"/>
      <c r="B24" s="1366" t="s">
        <v>403</v>
      </c>
      <c r="C24" s="1366"/>
      <c r="D24" s="1366"/>
      <c r="E24" s="1366"/>
      <c r="F24" s="1366"/>
      <c r="G24" s="1366"/>
      <c r="H24" s="1366"/>
      <c r="I24" s="1366"/>
      <c r="J24" s="1366"/>
      <c r="K24" s="1366"/>
      <c r="L24" s="1366"/>
      <c r="M24" s="1366"/>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c r="AL24" s="1366"/>
      <c r="AM24" s="1366"/>
      <c r="AN24" s="1366"/>
      <c r="AO24" s="1366"/>
      <c r="AP24" s="1366"/>
      <c r="AQ24" s="1366"/>
      <c r="AR24" s="1366"/>
      <c r="AS24" s="1366"/>
      <c r="AT24" s="1366"/>
      <c r="AU24" s="1366"/>
      <c r="AV24" s="1366"/>
      <c r="AW24" s="1366"/>
      <c r="AX24" s="1366"/>
      <c r="AY24" s="1366"/>
      <c r="AZ24" s="1366"/>
      <c r="BA24" s="1366"/>
      <c r="BB24" s="1366"/>
      <c r="BC24" s="1366"/>
      <c r="BD24" s="1366"/>
      <c r="BE24" s="1366"/>
      <c r="BF24" s="1366"/>
      <c r="BG24" s="583"/>
      <c r="BH24" s="550"/>
      <c r="BI24" s="550"/>
      <c r="BJ24" s="550"/>
      <c r="BK24" s="550"/>
      <c r="BL24" s="550"/>
      <c r="BM24" s="55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54"/>
      <c r="EJ24" s="585"/>
      <c r="EK24" s="585"/>
      <c r="EL24" s="585"/>
      <c r="EM24" s="585"/>
      <c r="EN24" s="585"/>
      <c r="EO24" s="585"/>
      <c r="EP24" s="585"/>
      <c r="EQ24" s="585"/>
      <c r="ER24" s="585"/>
      <c r="ES24" s="585"/>
      <c r="ET24" s="585"/>
      <c r="EU24" s="585"/>
      <c r="EV24" s="585"/>
      <c r="EW24" s="585"/>
      <c r="EX24" s="585"/>
      <c r="EY24" s="585"/>
      <c r="EZ24" s="585"/>
      <c r="FA24" s="585"/>
      <c r="FB24" s="585"/>
      <c r="FC24" s="585"/>
      <c r="FD24" s="585"/>
      <c r="FE24" s="585"/>
      <c r="FF24" s="585"/>
      <c r="FG24" s="585"/>
      <c r="FH24" s="585"/>
      <c r="FI24" s="585"/>
      <c r="FJ24" s="585"/>
      <c r="FK24" s="585"/>
      <c r="FL24" s="585"/>
      <c r="FM24" s="585"/>
      <c r="FN24" s="585"/>
      <c r="FO24" s="585"/>
      <c r="FP24" s="585"/>
      <c r="FQ24" s="585"/>
      <c r="FR24" s="585"/>
      <c r="FS24" s="585"/>
      <c r="FT24" s="585"/>
      <c r="FU24" s="585"/>
      <c r="FV24" s="585"/>
      <c r="FW24" s="585"/>
      <c r="FX24" s="585"/>
      <c r="FY24" s="585"/>
      <c r="FZ24" s="585"/>
      <c r="GA24" s="585"/>
      <c r="GB24" s="585"/>
      <c r="GC24" s="585"/>
      <c r="GD24" s="585"/>
      <c r="GE24" s="585"/>
      <c r="GF24" s="585"/>
      <c r="GG24" s="585"/>
      <c r="GH24" s="585"/>
      <c r="GI24" s="585"/>
      <c r="GJ24" s="585"/>
      <c r="GK24" s="585"/>
      <c r="GL24" s="585"/>
      <c r="GM24" s="585"/>
      <c r="GN24" s="585"/>
      <c r="GO24" s="585"/>
      <c r="GP24" s="585"/>
      <c r="GQ24" s="585"/>
      <c r="GR24" s="585"/>
      <c r="GS24" s="585"/>
      <c r="GT24" s="585"/>
      <c r="GU24" s="585"/>
      <c r="GV24" s="585"/>
      <c r="GW24" s="585"/>
      <c r="GX24" s="585"/>
      <c r="GY24" s="585"/>
      <c r="GZ24" s="585"/>
      <c r="HA24" s="585"/>
      <c r="HB24" s="585"/>
      <c r="HC24" s="585"/>
      <c r="HD24" s="585"/>
      <c r="HE24" s="585"/>
      <c r="HF24" s="585"/>
      <c r="HG24" s="585"/>
      <c r="HH24" s="585"/>
      <c r="HI24" s="585"/>
      <c r="HJ24" s="585"/>
    </row>
    <row r="25" spans="1:218" s="584" customFormat="1" ht="12" customHeight="1" x14ac:dyDescent="0.15">
      <c r="A25" s="550"/>
      <c r="B25" s="586"/>
      <c r="C25" s="586"/>
      <c r="D25" s="587"/>
      <c r="E25" s="587"/>
      <c r="F25" s="587"/>
      <c r="G25" s="587"/>
      <c r="H25" s="587"/>
      <c r="I25" s="587"/>
      <c r="J25" s="587"/>
      <c r="K25" s="587"/>
      <c r="L25" s="587"/>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50"/>
      <c r="BI25" s="550"/>
      <c r="BJ25" s="550"/>
      <c r="BK25" s="550"/>
      <c r="BL25" s="550"/>
      <c r="BM25" s="551"/>
      <c r="BN25" s="541"/>
      <c r="BO25" s="541"/>
      <c r="BP25" s="541"/>
      <c r="BQ25" s="541"/>
      <c r="BR25" s="541"/>
      <c r="BS25" s="541"/>
      <c r="BT25" s="541"/>
      <c r="BU25" s="541"/>
      <c r="BV25" s="56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54"/>
      <c r="EJ25" s="585"/>
      <c r="EK25" s="585"/>
      <c r="EL25" s="585"/>
      <c r="EM25" s="585"/>
      <c r="EN25" s="585"/>
      <c r="EO25" s="585"/>
      <c r="EP25" s="585"/>
      <c r="EQ25" s="585"/>
      <c r="ER25" s="585"/>
      <c r="ES25" s="585"/>
      <c r="ET25" s="585"/>
      <c r="EU25" s="585"/>
      <c r="EV25" s="585"/>
      <c r="EW25" s="585"/>
      <c r="EX25" s="585"/>
      <c r="EY25" s="585"/>
      <c r="EZ25" s="585"/>
      <c r="FA25" s="585"/>
      <c r="FB25" s="585"/>
      <c r="FC25" s="585"/>
      <c r="FD25" s="585"/>
      <c r="FE25" s="585"/>
      <c r="FF25" s="585"/>
      <c r="FG25" s="585"/>
      <c r="FH25" s="585"/>
      <c r="FI25" s="585"/>
      <c r="FJ25" s="585"/>
      <c r="FK25" s="585"/>
      <c r="FL25" s="585"/>
      <c r="FM25" s="585"/>
      <c r="FN25" s="585"/>
      <c r="FO25" s="585"/>
      <c r="FP25" s="585"/>
      <c r="FQ25" s="585"/>
      <c r="FR25" s="585"/>
      <c r="FS25" s="585"/>
      <c r="FT25" s="585"/>
      <c r="FU25" s="585"/>
      <c r="FV25" s="585"/>
      <c r="FW25" s="585"/>
      <c r="FX25" s="585"/>
      <c r="FY25" s="585"/>
      <c r="FZ25" s="585"/>
      <c r="GA25" s="585"/>
      <c r="GB25" s="585"/>
      <c r="GC25" s="585"/>
      <c r="GD25" s="585"/>
      <c r="GE25" s="585"/>
      <c r="GF25" s="585"/>
      <c r="GG25" s="585"/>
      <c r="GH25" s="585"/>
      <c r="GI25" s="585"/>
      <c r="GJ25" s="585"/>
      <c r="GK25" s="585"/>
      <c r="GL25" s="585"/>
      <c r="GM25" s="585"/>
      <c r="GN25" s="585"/>
      <c r="GO25" s="585"/>
      <c r="GP25" s="585"/>
      <c r="GQ25" s="585"/>
      <c r="GR25" s="585"/>
      <c r="GS25" s="585"/>
      <c r="GT25" s="585"/>
      <c r="GU25" s="585"/>
      <c r="GV25" s="585"/>
      <c r="GW25" s="585"/>
      <c r="GX25" s="585"/>
      <c r="GY25" s="585"/>
      <c r="GZ25" s="585"/>
      <c r="HA25" s="585"/>
      <c r="HB25" s="585"/>
      <c r="HC25" s="585"/>
      <c r="HD25" s="585"/>
      <c r="HE25" s="585"/>
      <c r="HF25" s="585"/>
      <c r="HG25" s="585"/>
      <c r="HH25" s="585"/>
      <c r="HI25" s="585"/>
      <c r="HJ25" s="585"/>
    </row>
    <row r="26" spans="1:218" ht="12" customHeight="1" x14ac:dyDescent="0.15">
      <c r="A26" s="588"/>
      <c r="B26" s="1171" t="s">
        <v>859</v>
      </c>
      <c r="C26" s="1172"/>
      <c r="D26" s="1172"/>
      <c r="E26" s="1172"/>
      <c r="F26" s="1172"/>
      <c r="G26" s="1172"/>
      <c r="H26" s="1172"/>
      <c r="I26" s="1172"/>
      <c r="J26" s="1172"/>
      <c r="K26" s="1172"/>
      <c r="L26" s="1172"/>
      <c r="M26" s="1172"/>
      <c r="N26" s="1172"/>
      <c r="O26" s="1172"/>
      <c r="P26" s="1172"/>
      <c r="Q26" s="1172"/>
      <c r="R26" s="1172"/>
      <c r="S26" s="1172"/>
      <c r="T26" s="1172"/>
      <c r="U26" s="1172"/>
      <c r="V26" s="1172"/>
      <c r="W26" s="1172"/>
      <c r="X26" s="1172"/>
      <c r="Y26" s="1172"/>
      <c r="Z26" s="1172"/>
      <c r="AA26" s="1172"/>
      <c r="AB26" s="1172"/>
      <c r="AC26" s="1172"/>
      <c r="AD26" s="1172"/>
      <c r="AE26" s="1172"/>
      <c r="AF26" s="1172"/>
      <c r="AG26" s="1172"/>
      <c r="AH26" s="1172"/>
      <c r="AI26" s="1172"/>
      <c r="AJ26" s="1172"/>
      <c r="AK26" s="1172"/>
      <c r="AL26" s="1172"/>
      <c r="AM26" s="1172"/>
      <c r="AN26" s="1172"/>
      <c r="AO26" s="1172"/>
      <c r="AP26" s="1172"/>
      <c r="AQ26" s="1172"/>
      <c r="AR26" s="1172"/>
      <c r="AS26" s="1172"/>
      <c r="AT26" s="1172"/>
      <c r="AU26" s="1172"/>
      <c r="AV26" s="1172"/>
      <c r="AW26" s="1172"/>
      <c r="AX26" s="1172"/>
      <c r="AY26" s="1172"/>
      <c r="AZ26" s="1172"/>
      <c r="BA26" s="1172"/>
      <c r="BB26" s="1172"/>
      <c r="BC26" s="1172"/>
      <c r="BD26" s="1172"/>
      <c r="BE26" s="1172"/>
      <c r="BF26" s="1172"/>
      <c r="BG26" s="1173"/>
      <c r="BH26" s="588"/>
      <c r="BI26" s="588"/>
      <c r="BJ26" s="588"/>
      <c r="BK26" s="588"/>
      <c r="BL26" s="588"/>
      <c r="BM26" s="589"/>
      <c r="BN26" s="590"/>
      <c r="BO26" s="590"/>
      <c r="BP26" s="590"/>
      <c r="BQ26" s="590"/>
      <c r="BR26" s="590"/>
      <c r="BS26" s="590"/>
      <c r="BT26" s="590"/>
      <c r="BU26" s="590"/>
      <c r="BV26" s="541"/>
      <c r="BW26" s="590"/>
      <c r="BX26" s="590"/>
      <c r="BY26" s="590"/>
      <c r="BZ26" s="590"/>
      <c r="CA26" s="590"/>
      <c r="CB26" s="590"/>
      <c r="CC26" s="590"/>
      <c r="CD26" s="590"/>
      <c r="CE26" s="590"/>
      <c r="CF26" s="590"/>
      <c r="CG26" s="590"/>
      <c r="CH26" s="590"/>
      <c r="CI26" s="590"/>
      <c r="CJ26" s="590"/>
      <c r="CK26" s="590"/>
      <c r="CL26" s="590"/>
      <c r="CM26" s="590"/>
      <c r="CN26" s="590"/>
      <c r="CO26" s="590"/>
      <c r="CP26" s="590"/>
      <c r="CQ26" s="590"/>
      <c r="CR26" s="590"/>
      <c r="CS26" s="590"/>
      <c r="CT26" s="590"/>
      <c r="CU26" s="590"/>
      <c r="CV26" s="590"/>
      <c r="CW26" s="591"/>
      <c r="CX26" s="590"/>
      <c r="CY26" s="590"/>
      <c r="CZ26" s="590"/>
      <c r="DA26" s="590"/>
      <c r="DB26" s="590"/>
      <c r="DC26" s="590"/>
      <c r="DD26" s="590"/>
      <c r="DE26" s="590"/>
      <c r="DF26" s="590"/>
      <c r="DG26" s="590"/>
      <c r="DH26" s="590"/>
      <c r="DI26" s="590"/>
      <c r="DJ26" s="590"/>
      <c r="DK26" s="590"/>
      <c r="DL26" s="590"/>
      <c r="DM26" s="590"/>
      <c r="DN26" s="590"/>
      <c r="DO26" s="541"/>
      <c r="DP26" s="541"/>
    </row>
    <row r="27" spans="1:218" ht="16.5" customHeight="1" thickBot="1" x14ac:dyDescent="0.2">
      <c r="A27" s="588"/>
      <c r="B27" s="594"/>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595"/>
      <c r="AH27" s="595"/>
      <c r="AI27" s="595"/>
      <c r="AJ27" s="595"/>
      <c r="AK27" s="595"/>
      <c r="AL27" s="595"/>
      <c r="AM27" s="595"/>
      <c r="AN27" s="595"/>
      <c r="AO27" s="595"/>
      <c r="AP27" s="595"/>
      <c r="AQ27" s="595"/>
      <c r="AR27" s="595"/>
      <c r="AS27" s="595"/>
      <c r="AT27" s="595"/>
      <c r="AU27" s="595"/>
      <c r="AV27" s="595"/>
      <c r="AW27" s="595"/>
      <c r="AX27" s="595"/>
      <c r="AY27" s="595"/>
      <c r="AZ27" s="595"/>
      <c r="BA27" s="595"/>
      <c r="BB27" s="595"/>
      <c r="BC27" s="595"/>
      <c r="BD27" s="595"/>
      <c r="BE27" s="595"/>
      <c r="BF27" s="595"/>
      <c r="BG27" s="596"/>
      <c r="BH27" s="588"/>
      <c r="BI27" s="588"/>
      <c r="BJ27" s="588"/>
      <c r="BK27" s="588"/>
      <c r="BL27" s="588"/>
      <c r="BM27" s="589"/>
      <c r="BN27" s="590"/>
      <c r="BO27" s="590"/>
      <c r="BP27" s="590"/>
      <c r="BQ27" s="590"/>
      <c r="BR27" s="590"/>
      <c r="BS27" s="590"/>
      <c r="BT27" s="590"/>
      <c r="BU27" s="590"/>
      <c r="BV27" s="552"/>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1"/>
      <c r="CX27" s="590"/>
      <c r="CY27" s="590"/>
      <c r="CZ27" s="590"/>
      <c r="DA27" s="590"/>
      <c r="DB27" s="590"/>
      <c r="DC27" s="590"/>
      <c r="DD27" s="590"/>
      <c r="DE27" s="590"/>
      <c r="DF27" s="590"/>
      <c r="DG27" s="590"/>
      <c r="DH27" s="590"/>
      <c r="DI27" s="590"/>
      <c r="DJ27" s="590"/>
      <c r="DK27" s="590"/>
      <c r="DL27" s="590"/>
      <c r="DM27" s="590"/>
      <c r="DN27" s="590"/>
      <c r="DO27" s="590"/>
      <c r="DP27" s="590"/>
    </row>
    <row r="28" spans="1:218" s="541" customFormat="1" ht="25.5" customHeight="1" thickBot="1" x14ac:dyDescent="0.2">
      <c r="A28" s="550"/>
      <c r="B28" s="597"/>
      <c r="C28" s="1358" t="str">
        <f>+IF('Refinanszírozás célja'!C11:BF11="","",'Refinanszírozás célja'!C11:BF11)</f>
        <v/>
      </c>
      <c r="D28" s="1359"/>
      <c r="E28" s="1359"/>
      <c r="F28" s="1359"/>
      <c r="G28" s="1359"/>
      <c r="H28" s="1359"/>
      <c r="I28" s="1359"/>
      <c r="J28" s="1359"/>
      <c r="K28" s="1359"/>
      <c r="L28" s="1359"/>
      <c r="M28" s="1359"/>
      <c r="N28" s="1359"/>
      <c r="O28" s="1359"/>
      <c r="P28" s="1359"/>
      <c r="Q28" s="1359"/>
      <c r="R28" s="1359"/>
      <c r="S28" s="1359"/>
      <c r="T28" s="1359"/>
      <c r="U28" s="1359"/>
      <c r="V28" s="1359"/>
      <c r="W28" s="1359"/>
      <c r="X28" s="1359"/>
      <c r="Y28" s="1359"/>
      <c r="Z28" s="1359"/>
      <c r="AA28" s="1359"/>
      <c r="AB28" s="1359"/>
      <c r="AC28" s="1359"/>
      <c r="AD28" s="1359"/>
      <c r="AE28" s="1359"/>
      <c r="AF28" s="1359"/>
      <c r="AG28" s="1359"/>
      <c r="AH28" s="1359"/>
      <c r="AI28" s="1359"/>
      <c r="AJ28" s="1359"/>
      <c r="AK28" s="1359"/>
      <c r="AL28" s="1359"/>
      <c r="AM28" s="1359"/>
      <c r="AN28" s="1359"/>
      <c r="AO28" s="1359"/>
      <c r="AP28" s="1359"/>
      <c r="AQ28" s="1359"/>
      <c r="AR28" s="1359"/>
      <c r="AS28" s="1359"/>
      <c r="AT28" s="1359"/>
      <c r="AU28" s="1359"/>
      <c r="AV28" s="1359"/>
      <c r="AW28" s="1359"/>
      <c r="AX28" s="1359"/>
      <c r="AY28" s="1359"/>
      <c r="AZ28" s="1359"/>
      <c r="BA28" s="1359"/>
      <c r="BB28" s="1359"/>
      <c r="BC28" s="1359"/>
      <c r="BD28" s="1359"/>
      <c r="BE28" s="1359"/>
      <c r="BF28" s="1360"/>
      <c r="BG28" s="598"/>
      <c r="BM28" s="599"/>
      <c r="CW28" s="554"/>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row>
    <row r="29" spans="1:218" s="541" customFormat="1" ht="12" customHeight="1" x14ac:dyDescent="0.15">
      <c r="A29" s="550"/>
      <c r="B29" s="597"/>
      <c r="C29" s="550"/>
      <c r="D29" s="550" t="s">
        <v>370</v>
      </c>
      <c r="E29" s="550"/>
      <c r="F29" s="550"/>
      <c r="G29" s="550"/>
      <c r="H29" s="550"/>
      <c r="I29" s="550"/>
      <c r="J29" s="550"/>
      <c r="K29" s="550"/>
      <c r="L29" s="550"/>
      <c r="M29" s="550"/>
      <c r="N29" s="550"/>
      <c r="O29" s="550"/>
      <c r="P29" s="550"/>
      <c r="Q29" s="550"/>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c r="AQ29" s="550"/>
      <c r="AR29" s="550"/>
      <c r="AS29" s="550"/>
      <c r="AT29" s="550"/>
      <c r="AU29" s="550"/>
      <c r="AV29" s="550"/>
      <c r="AW29" s="550"/>
      <c r="AX29" s="550"/>
      <c r="AY29" s="550"/>
      <c r="AZ29" s="550"/>
      <c r="BA29" s="550"/>
      <c r="BB29" s="550"/>
      <c r="BC29" s="550"/>
      <c r="BD29" s="550"/>
      <c r="BE29" s="550"/>
      <c r="BF29" s="550"/>
      <c r="BG29" s="598"/>
      <c r="BM29" s="599"/>
      <c r="BV29" s="580"/>
      <c r="CW29" s="554"/>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row>
    <row r="30" spans="1:218" s="541" customFormat="1" ht="12.75" customHeight="1" thickBot="1" x14ac:dyDescent="0.2">
      <c r="A30" s="550"/>
      <c r="B30" s="597"/>
      <c r="C30" s="550"/>
      <c r="D30" s="1368" t="s">
        <v>286</v>
      </c>
      <c r="E30" s="1368"/>
      <c r="F30" s="1368"/>
      <c r="G30" s="1368"/>
      <c r="H30" s="1368"/>
      <c r="I30" s="1368"/>
      <c r="J30" s="1368"/>
      <c r="K30" s="1368"/>
      <c r="L30" s="1368"/>
      <c r="M30" s="1368"/>
      <c r="N30" s="1368"/>
      <c r="O30" s="581"/>
      <c r="P30" s="581"/>
      <c r="Q30" s="581"/>
      <c r="R30" s="581"/>
      <c r="S30" s="550"/>
      <c r="T30" s="581"/>
      <c r="U30" s="581"/>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c r="BA30" s="550"/>
      <c r="BB30" s="550"/>
      <c r="BC30" s="550"/>
      <c r="BD30" s="550"/>
      <c r="BE30" s="550"/>
      <c r="BF30" s="550"/>
      <c r="BG30" s="598"/>
      <c r="BM30" s="599"/>
      <c r="BV30" s="552"/>
      <c r="CW30" s="554"/>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row>
    <row r="31" spans="1:218" s="541" customFormat="1" ht="21" customHeight="1" thickBot="1" x14ac:dyDescent="0.2">
      <c r="A31" s="550"/>
      <c r="B31" s="597"/>
      <c r="C31" s="550"/>
      <c r="D31" s="1368"/>
      <c r="E31" s="1368"/>
      <c r="F31" s="1368"/>
      <c r="G31" s="1368"/>
      <c r="H31" s="1368"/>
      <c r="I31" s="1368"/>
      <c r="J31" s="1368"/>
      <c r="K31" s="1368"/>
      <c r="L31" s="1368"/>
      <c r="M31" s="1368"/>
      <c r="N31" s="1368"/>
      <c r="O31" s="600"/>
      <c r="P31" s="1358" t="str">
        <f>+IF('Refinanszírozás célja'!P19:S19="","",'Refinanszírozás célja'!P19:S19)</f>
        <v/>
      </c>
      <c r="Q31" s="1359"/>
      <c r="R31" s="1359"/>
      <c r="S31" s="1360"/>
      <c r="T31" s="550"/>
      <c r="U31" s="1358" t="str">
        <f>+IF('Refinanszírozás célja'!U19:AY19="","",'Refinanszírozás célja'!U19:AY19)</f>
        <v/>
      </c>
      <c r="V31" s="1359"/>
      <c r="W31" s="1359"/>
      <c r="X31" s="1359"/>
      <c r="Y31" s="1359"/>
      <c r="Z31" s="1359"/>
      <c r="AA31" s="1359"/>
      <c r="AB31" s="1359"/>
      <c r="AC31" s="1359"/>
      <c r="AD31" s="1359"/>
      <c r="AE31" s="1359"/>
      <c r="AF31" s="1359"/>
      <c r="AG31" s="1359"/>
      <c r="AH31" s="1359"/>
      <c r="AI31" s="1359"/>
      <c r="AJ31" s="1359"/>
      <c r="AK31" s="1359"/>
      <c r="AL31" s="1359"/>
      <c r="AM31" s="1359"/>
      <c r="AN31" s="1359"/>
      <c r="AO31" s="1359"/>
      <c r="AP31" s="1359"/>
      <c r="AQ31" s="1359"/>
      <c r="AR31" s="1359"/>
      <c r="AS31" s="1359"/>
      <c r="AT31" s="1359"/>
      <c r="AU31" s="1359"/>
      <c r="AV31" s="1359"/>
      <c r="AW31" s="1359"/>
      <c r="AX31" s="1359"/>
      <c r="AY31" s="1360"/>
      <c r="AZ31" s="550"/>
      <c r="BA31" s="1358" t="str">
        <f>+IF('Refinanszírozás célja'!BA19:BF19="","",'Refinanszírozás célja'!BA19:BF19)</f>
        <v/>
      </c>
      <c r="BB31" s="1359"/>
      <c r="BC31" s="1359"/>
      <c r="BD31" s="1359"/>
      <c r="BE31" s="1359"/>
      <c r="BF31" s="1360"/>
      <c r="BG31" s="598"/>
      <c r="BM31" s="599"/>
      <c r="BO31" s="552"/>
      <c r="BP31" s="552"/>
      <c r="BQ31" s="552"/>
      <c r="BR31" s="552"/>
      <c r="BS31" s="564"/>
      <c r="BU31" s="552"/>
      <c r="BV31" s="552"/>
      <c r="BW31" s="552"/>
      <c r="CW31" s="554"/>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row>
    <row r="32" spans="1:218" s="541" customFormat="1" ht="12.75" customHeight="1" x14ac:dyDescent="0.15">
      <c r="A32" s="550"/>
      <c r="B32" s="597"/>
      <c r="C32" s="550"/>
      <c r="D32" s="1368"/>
      <c r="E32" s="1368"/>
      <c r="F32" s="1368"/>
      <c r="G32" s="1368"/>
      <c r="H32" s="1368"/>
      <c r="I32" s="1368"/>
      <c r="J32" s="1368"/>
      <c r="K32" s="1368"/>
      <c r="L32" s="1368"/>
      <c r="M32" s="1368"/>
      <c r="N32" s="1368"/>
      <c r="O32" s="550"/>
      <c r="P32" s="550" t="s">
        <v>146</v>
      </c>
      <c r="Q32" s="550"/>
      <c r="R32" s="550"/>
      <c r="S32" s="550"/>
      <c r="T32" s="550"/>
      <c r="U32" s="550" t="s">
        <v>147</v>
      </c>
      <c r="V32" s="550"/>
      <c r="W32" s="550"/>
      <c r="X32" s="550"/>
      <c r="Y32" s="550"/>
      <c r="Z32" s="550"/>
      <c r="AA32" s="550"/>
      <c r="AB32" s="550"/>
      <c r="AC32" s="550"/>
      <c r="AD32" s="550"/>
      <c r="AE32" s="550"/>
      <c r="AF32" s="550"/>
      <c r="AG32" s="550"/>
      <c r="AH32" s="550"/>
      <c r="AI32" s="550"/>
      <c r="AJ32" s="550"/>
      <c r="AK32" s="550"/>
      <c r="AL32" s="550"/>
      <c r="AM32" s="550"/>
      <c r="AN32" s="550"/>
      <c r="AO32" s="550"/>
      <c r="AP32" s="550"/>
      <c r="AQ32" s="550"/>
      <c r="AR32" s="550"/>
      <c r="AS32" s="550"/>
      <c r="AT32" s="550"/>
      <c r="AU32" s="550"/>
      <c r="AV32" s="550"/>
      <c r="AW32" s="550"/>
      <c r="AX32" s="550"/>
      <c r="AY32" s="550"/>
      <c r="AZ32" s="550"/>
      <c r="BA32" s="550" t="s">
        <v>148</v>
      </c>
      <c r="BB32" s="550"/>
      <c r="BC32" s="550"/>
      <c r="BD32" s="550"/>
      <c r="BE32" s="550"/>
      <c r="BF32" s="550"/>
      <c r="BG32" s="598"/>
      <c r="BM32" s="599"/>
      <c r="BO32" s="580"/>
      <c r="BP32" s="580"/>
      <c r="BQ32" s="580"/>
      <c r="BR32" s="580"/>
      <c r="BS32" s="601" t="str">
        <f>+IF(R22="MFB Kisfaludy Turizmus-fejlesztési Hitelprogram",2,"")</f>
        <v/>
      </c>
      <c r="BU32" s="580"/>
      <c r="BV32" s="552"/>
      <c r="BW32" s="580"/>
      <c r="CW32" s="554"/>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row>
    <row r="33" spans="1:218" s="541" customFormat="1" ht="12" customHeight="1" thickBot="1" x14ac:dyDescent="0.2">
      <c r="A33" s="550"/>
      <c r="B33" s="597"/>
      <c r="C33" s="550"/>
      <c r="D33" s="580"/>
      <c r="E33" s="580"/>
      <c r="F33" s="580"/>
      <c r="G33" s="580"/>
      <c r="H33" s="580"/>
      <c r="I33" s="580"/>
      <c r="J33" s="580"/>
      <c r="K33" s="580"/>
      <c r="L33" s="580"/>
      <c r="M33" s="580"/>
      <c r="N33" s="58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c r="BA33" s="550"/>
      <c r="BB33" s="550"/>
      <c r="BC33" s="550"/>
      <c r="BD33" s="550"/>
      <c r="BE33" s="550"/>
      <c r="BF33" s="550"/>
      <c r="BG33" s="598"/>
      <c r="BM33" s="599"/>
      <c r="BO33" s="552"/>
      <c r="BP33" s="552"/>
      <c r="BQ33" s="552"/>
      <c r="BR33" s="552"/>
      <c r="BS33" s="564"/>
      <c r="BU33" s="552"/>
      <c r="BV33" s="552"/>
      <c r="BW33" s="552"/>
      <c r="CW33" s="554"/>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row>
    <row r="34" spans="1:218" s="541" customFormat="1" ht="16.5" customHeight="1" thickBot="1" x14ac:dyDescent="0.2">
      <c r="A34" s="550"/>
      <c r="B34" s="597"/>
      <c r="C34" s="550"/>
      <c r="D34" s="1358" t="str">
        <f>+IF('Refinanszírozás célja'!D22:AC22="","",'Refinanszírozás célja'!D22:AC22)</f>
        <v/>
      </c>
      <c r="E34" s="1359"/>
      <c r="F34" s="1359"/>
      <c r="G34" s="1359"/>
      <c r="H34" s="1359"/>
      <c r="I34" s="1359"/>
      <c r="J34" s="1359"/>
      <c r="K34" s="1359"/>
      <c r="L34" s="1359"/>
      <c r="M34" s="1359"/>
      <c r="N34" s="1359"/>
      <c r="O34" s="1359"/>
      <c r="P34" s="1359"/>
      <c r="Q34" s="1359"/>
      <c r="R34" s="1359"/>
      <c r="S34" s="1359"/>
      <c r="T34" s="1359"/>
      <c r="U34" s="1359"/>
      <c r="V34" s="1359"/>
      <c r="W34" s="1359"/>
      <c r="X34" s="1359"/>
      <c r="Y34" s="1359"/>
      <c r="Z34" s="1359"/>
      <c r="AA34" s="1359"/>
      <c r="AB34" s="1359"/>
      <c r="AC34" s="1360"/>
      <c r="AD34" s="602"/>
      <c r="AF34" s="1358" t="str">
        <f>+'Refinanszírozás célja'!AF22:AP22</f>
        <v>legördülő cella</v>
      </c>
      <c r="AG34" s="1359"/>
      <c r="AH34" s="1359"/>
      <c r="AI34" s="1359"/>
      <c r="AJ34" s="1359"/>
      <c r="AK34" s="1359"/>
      <c r="AL34" s="1359"/>
      <c r="AM34" s="1359"/>
      <c r="AN34" s="1359"/>
      <c r="AO34" s="1359"/>
      <c r="AP34" s="1360"/>
      <c r="AQ34" s="602"/>
      <c r="AR34" s="600"/>
      <c r="AS34" s="600"/>
      <c r="AT34" s="600"/>
      <c r="AU34" s="600"/>
      <c r="AV34" s="600"/>
      <c r="AW34" s="600"/>
      <c r="AX34" s="1392" t="str">
        <f>+IF(hazszam="","",hazszam)</f>
        <v/>
      </c>
      <c r="AY34" s="1393"/>
      <c r="AZ34" s="1393"/>
      <c r="BA34" s="1393"/>
      <c r="BB34" s="1393"/>
      <c r="BC34" s="1393"/>
      <c r="BD34" s="1393"/>
      <c r="BE34" s="1393"/>
      <c r="BF34" s="1394"/>
      <c r="BG34" s="598"/>
      <c r="BM34" s="599"/>
      <c r="BO34" s="552"/>
      <c r="BP34" s="552"/>
      <c r="BQ34" s="552"/>
      <c r="BR34" s="552"/>
      <c r="BS34" s="564" t="str">
        <f>+IF(R22="MFB Nemzeti Gépfinanszírozási Program Mezőgazdasági Vevőfinanszírozási Hitelprogram",4,"")</f>
        <v/>
      </c>
      <c r="BU34" s="552"/>
      <c r="BV34" s="552"/>
      <c r="BW34" s="552"/>
      <c r="CW34" s="554"/>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row>
    <row r="35" spans="1:218" s="541" customFormat="1" ht="14" x14ac:dyDescent="0.15">
      <c r="A35" s="588"/>
      <c r="B35" s="597"/>
      <c r="C35" s="550"/>
      <c r="D35" s="550" t="s">
        <v>149</v>
      </c>
      <c r="E35" s="550"/>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c r="AD35" s="550"/>
      <c r="AE35" s="550"/>
      <c r="AF35" s="550" t="s">
        <v>150</v>
      </c>
      <c r="AG35" s="550"/>
      <c r="AH35" s="550"/>
      <c r="AI35" s="550"/>
      <c r="AK35" s="550"/>
      <c r="AL35" s="550"/>
      <c r="AM35" s="550"/>
      <c r="AN35" s="550"/>
      <c r="AO35" s="550"/>
      <c r="AP35" s="550"/>
      <c r="AR35" s="550"/>
      <c r="AS35" s="550"/>
      <c r="AT35" s="550"/>
      <c r="AU35" s="550"/>
      <c r="AV35" s="550"/>
      <c r="AW35" s="550"/>
      <c r="AX35" s="581" t="s">
        <v>151</v>
      </c>
      <c r="AY35" s="581"/>
      <c r="AZ35" s="581"/>
      <c r="BA35" s="581"/>
      <c r="BB35" s="581"/>
      <c r="BC35" s="581"/>
      <c r="BD35" s="581"/>
      <c r="BE35" s="581"/>
      <c r="BF35" s="581"/>
      <c r="BG35" s="598"/>
      <c r="BM35" s="599"/>
      <c r="BO35" s="552"/>
      <c r="BP35" s="552"/>
      <c r="BQ35" s="552"/>
      <c r="BR35" s="552"/>
      <c r="BS35" s="564" t="str">
        <f>+IF(R22="MFB Nemzeti Gépfinanszírozási Program Mezőgazdasági Gépgyártó- és Forgalmazó Finanszírozási Hitelprogram",5,"")</f>
        <v/>
      </c>
      <c r="BU35" s="552"/>
      <c r="BV35" s="552"/>
      <c r="BW35" s="552"/>
      <c r="CW35" s="554"/>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row>
    <row r="36" spans="1:218" s="541" customFormat="1" ht="14" x14ac:dyDescent="0.15">
      <c r="A36" s="550"/>
      <c r="B36" s="597"/>
      <c r="C36" s="550"/>
      <c r="D36" s="550"/>
      <c r="E36" s="600"/>
      <c r="F36" s="600"/>
      <c r="G36" s="600"/>
      <c r="H36" s="600"/>
      <c r="I36" s="550"/>
      <c r="J36" s="600"/>
      <c r="K36" s="600"/>
      <c r="L36" s="600"/>
      <c r="M36" s="600"/>
      <c r="N36" s="600"/>
      <c r="O36" s="581"/>
      <c r="P36" s="60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0"/>
      <c r="AO36" s="550"/>
      <c r="AP36" s="550"/>
      <c r="AQ36" s="550"/>
      <c r="AR36" s="550"/>
      <c r="AS36" s="550"/>
      <c r="AT36" s="550"/>
      <c r="AU36" s="550"/>
      <c r="AV36" s="550"/>
      <c r="AW36" s="550"/>
      <c r="AX36" s="550"/>
      <c r="AY36" s="550"/>
      <c r="AZ36" s="550"/>
      <c r="BA36" s="550"/>
      <c r="BB36" s="550"/>
      <c r="BC36" s="550"/>
      <c r="BD36" s="550"/>
      <c r="BE36" s="550"/>
      <c r="BF36" s="550"/>
      <c r="BG36" s="598"/>
      <c r="BM36" s="599"/>
      <c r="BO36" s="552"/>
      <c r="BP36" s="552"/>
      <c r="BQ36" s="552"/>
      <c r="BR36" s="552"/>
      <c r="BS36" s="564" t="str">
        <f>+IF(R22="MFB Nemzeti Gépfinanszírozási Program Mezőgazdasági Vevőfinanszírozási Zárt Végű Pénzügyi Lízing Program",6,"")</f>
        <v/>
      </c>
      <c r="BU36" s="552"/>
      <c r="BV36" s="580"/>
      <c r="BW36" s="552"/>
      <c r="CW36" s="554"/>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row>
    <row r="37" spans="1:218" s="541" customFormat="1" ht="14" x14ac:dyDescent="0.15">
      <c r="A37" s="550"/>
      <c r="B37" s="597"/>
      <c r="C37" s="550"/>
      <c r="D37" s="550"/>
      <c r="E37" s="600"/>
      <c r="F37" s="600"/>
      <c r="G37" s="600"/>
      <c r="H37" s="600"/>
      <c r="I37" s="550"/>
      <c r="J37" s="600"/>
      <c r="K37" s="600"/>
      <c r="L37" s="600"/>
      <c r="M37" s="600"/>
      <c r="N37" s="600"/>
      <c r="O37" s="581"/>
      <c r="P37" s="60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550"/>
      <c r="AN37" s="550"/>
      <c r="AO37" s="550"/>
      <c r="AP37" s="550"/>
      <c r="AQ37" s="550"/>
      <c r="AR37" s="550"/>
      <c r="AS37" s="550"/>
      <c r="AT37" s="550"/>
      <c r="AU37" s="550"/>
      <c r="AV37" s="550"/>
      <c r="AW37" s="550"/>
      <c r="AX37" s="550"/>
      <c r="AY37" s="550"/>
      <c r="AZ37" s="550"/>
      <c r="BA37" s="550"/>
      <c r="BB37" s="550"/>
      <c r="BC37" s="550"/>
      <c r="BD37" s="550"/>
      <c r="BE37" s="550"/>
      <c r="BF37" s="550"/>
      <c r="BG37" s="598"/>
      <c r="BM37" s="599"/>
      <c r="BO37" s="552"/>
      <c r="BP37" s="552"/>
      <c r="BQ37" s="552"/>
      <c r="BR37" s="552"/>
      <c r="BS37" s="564"/>
      <c r="BU37" s="552"/>
      <c r="BV37" s="580"/>
      <c r="BW37" s="552"/>
      <c r="CW37" s="554"/>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row>
    <row r="38" spans="1:218" s="541" customFormat="1" ht="14" x14ac:dyDescent="0.15">
      <c r="A38" s="550"/>
      <c r="B38" s="597"/>
      <c r="C38" s="550"/>
      <c r="D38" s="550" t="s">
        <v>897</v>
      </c>
      <c r="E38" s="600"/>
      <c r="F38" s="600"/>
      <c r="G38" s="600"/>
      <c r="H38" s="600"/>
      <c r="I38" s="550"/>
      <c r="J38" s="600"/>
      <c r="K38" s="600"/>
      <c r="L38" s="600"/>
      <c r="M38" s="600"/>
      <c r="N38" s="600"/>
      <c r="O38" s="581"/>
      <c r="P38" s="600"/>
      <c r="Q38" s="550"/>
      <c r="R38" s="550"/>
      <c r="S38" s="550"/>
      <c r="T38" s="550"/>
      <c r="U38" s="550"/>
      <c r="V38" s="550"/>
      <c r="W38" s="550"/>
      <c r="X38" s="550"/>
      <c r="Y38" s="1361"/>
      <c r="Z38" s="1361"/>
      <c r="AA38" s="1361"/>
      <c r="AB38" s="1361"/>
      <c r="AC38" s="1361"/>
      <c r="AD38" s="1361"/>
      <c r="AE38" s="1361"/>
      <c r="AF38" s="1361"/>
      <c r="AG38" s="1361"/>
      <c r="AH38" s="1361"/>
      <c r="AI38" s="1361"/>
      <c r="AJ38" s="1361"/>
      <c r="AK38" s="1361"/>
      <c r="AL38" s="1361"/>
      <c r="AM38" s="1361"/>
      <c r="AN38" s="1361"/>
      <c r="AO38" s="1361"/>
      <c r="AP38" s="1361"/>
      <c r="AQ38" s="550"/>
      <c r="AR38" s="550"/>
      <c r="AS38" s="550"/>
      <c r="AT38" s="550"/>
      <c r="AU38" s="550"/>
      <c r="AV38" s="550"/>
      <c r="AW38" s="550"/>
      <c r="AX38" s="550"/>
      <c r="AY38" s="550"/>
      <c r="AZ38" s="550"/>
      <c r="BA38" s="550"/>
      <c r="BB38" s="550"/>
      <c r="BC38" s="550"/>
      <c r="BD38" s="550"/>
      <c r="BE38" s="550"/>
      <c r="BF38" s="550"/>
      <c r="BG38" s="598"/>
      <c r="BM38" s="599"/>
      <c r="BO38" s="552"/>
      <c r="BP38" s="552"/>
      <c r="BQ38" s="552"/>
      <c r="BR38" s="552"/>
      <c r="BS38" s="564"/>
      <c r="BU38" s="552"/>
      <c r="BV38" s="580"/>
      <c r="BW38" s="552"/>
      <c r="CW38" s="554"/>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row>
    <row r="39" spans="1:218" s="541" customFormat="1" ht="14" x14ac:dyDescent="0.15">
      <c r="A39" s="550"/>
      <c r="B39" s="597"/>
      <c r="C39" s="550"/>
      <c r="D39" s="550"/>
      <c r="E39" s="600"/>
      <c r="F39" s="600"/>
      <c r="G39" s="600"/>
      <c r="H39" s="600"/>
      <c r="I39" s="550"/>
      <c r="J39" s="600"/>
      <c r="K39" s="600"/>
      <c r="L39" s="600"/>
      <c r="M39" s="600"/>
      <c r="N39" s="600"/>
      <c r="O39" s="581"/>
      <c r="P39" s="600"/>
      <c r="Q39" s="550"/>
      <c r="R39" s="550"/>
      <c r="S39" s="550"/>
      <c r="T39" s="550"/>
      <c r="U39" s="550"/>
      <c r="V39" s="550"/>
      <c r="W39" s="550"/>
      <c r="X39" s="550"/>
      <c r="Y39" s="550"/>
      <c r="Z39" s="550"/>
      <c r="AA39" s="550"/>
      <c r="AB39" s="550"/>
      <c r="AC39" s="550"/>
      <c r="AD39" s="550"/>
      <c r="AE39" s="550"/>
      <c r="AF39" s="550"/>
      <c r="AG39" s="550"/>
      <c r="AH39" s="550"/>
      <c r="AI39" s="550"/>
      <c r="AJ39" s="550"/>
      <c r="AK39" s="550"/>
      <c r="AL39" s="550"/>
      <c r="AM39" s="550"/>
      <c r="AN39" s="550"/>
      <c r="AO39" s="550"/>
      <c r="AP39" s="550"/>
      <c r="AQ39" s="550"/>
      <c r="AR39" s="550"/>
      <c r="AS39" s="550"/>
      <c r="AT39" s="550"/>
      <c r="AU39" s="550"/>
      <c r="AV39" s="550"/>
      <c r="AW39" s="550"/>
      <c r="AX39" s="550"/>
      <c r="AY39" s="550"/>
      <c r="AZ39" s="550"/>
      <c r="BA39" s="550"/>
      <c r="BB39" s="550"/>
      <c r="BC39" s="550"/>
      <c r="BD39" s="550"/>
      <c r="BE39" s="550"/>
      <c r="BF39" s="550"/>
      <c r="BG39" s="598"/>
      <c r="BM39" s="599"/>
      <c r="BO39" s="552"/>
      <c r="BP39" s="552"/>
      <c r="BQ39" s="552"/>
      <c r="BR39" s="552"/>
      <c r="BS39" s="564"/>
      <c r="BU39" s="552"/>
      <c r="BV39" s="580"/>
      <c r="BW39" s="552"/>
      <c r="CW39" s="554"/>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row>
    <row r="40" spans="1:218" s="541" customFormat="1" ht="14" x14ac:dyDescent="0.15">
      <c r="A40" s="550"/>
      <c r="B40" s="597"/>
      <c r="C40" s="550"/>
      <c r="D40" s="550" t="s">
        <v>898</v>
      </c>
      <c r="E40" s="600"/>
      <c r="F40" s="600"/>
      <c r="G40" s="600"/>
      <c r="H40" s="600"/>
      <c r="I40" s="550"/>
      <c r="J40" s="600"/>
      <c r="K40" s="600"/>
      <c r="L40" s="600"/>
      <c r="M40" s="600"/>
      <c r="N40" s="600"/>
      <c r="O40" s="581"/>
      <c r="P40" s="600"/>
      <c r="Q40" s="550"/>
      <c r="R40" s="550"/>
      <c r="S40" s="550"/>
      <c r="T40" s="550"/>
      <c r="U40" s="550"/>
      <c r="V40" s="550"/>
      <c r="W40" s="550"/>
      <c r="X40" s="550"/>
      <c r="Y40" s="1362"/>
      <c r="Z40" s="1362"/>
      <c r="AA40" s="1362"/>
      <c r="AB40" s="1362"/>
      <c r="AC40" s="1362"/>
      <c r="AD40" s="1362"/>
      <c r="AE40" s="1362"/>
      <c r="AF40" s="1362"/>
      <c r="AG40" s="1362"/>
      <c r="AH40" s="1362"/>
      <c r="AI40" s="1362"/>
      <c r="AJ40" s="1362"/>
      <c r="AK40" s="1362"/>
      <c r="AL40" s="1362"/>
      <c r="AM40" s="1362"/>
      <c r="AN40" s="1362"/>
      <c r="AO40" s="1362"/>
      <c r="AP40" s="1362"/>
      <c r="AQ40" s="550"/>
      <c r="AR40" s="550"/>
      <c r="AS40" s="550"/>
      <c r="AT40" s="550"/>
      <c r="AU40" s="550"/>
      <c r="AV40" s="550"/>
      <c r="AW40" s="550"/>
      <c r="AX40" s="550"/>
      <c r="AY40" s="550"/>
      <c r="AZ40" s="550"/>
      <c r="BA40" s="550"/>
      <c r="BB40" s="550"/>
      <c r="BC40" s="550"/>
      <c r="BD40" s="550"/>
      <c r="BE40" s="550"/>
      <c r="BF40" s="550"/>
      <c r="BG40" s="598"/>
      <c r="BM40" s="599"/>
      <c r="BO40" s="552"/>
      <c r="BP40" s="552"/>
      <c r="BQ40" s="552"/>
      <c r="BR40" s="552"/>
      <c r="BS40" s="564"/>
      <c r="BU40" s="552"/>
      <c r="BV40" s="580"/>
      <c r="BW40" s="552"/>
      <c r="CW40" s="554"/>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row>
    <row r="41" spans="1:218" s="541" customFormat="1" ht="14" x14ac:dyDescent="0.15">
      <c r="A41" s="550"/>
      <c r="B41" s="597"/>
      <c r="C41" s="550"/>
      <c r="D41" s="550"/>
      <c r="E41" s="600"/>
      <c r="F41" s="600"/>
      <c r="G41" s="600"/>
      <c r="H41" s="600"/>
      <c r="I41" s="550"/>
      <c r="J41" s="600"/>
      <c r="K41" s="600"/>
      <c r="L41" s="600"/>
      <c r="M41" s="600"/>
      <c r="N41" s="600"/>
      <c r="O41" s="581"/>
      <c r="P41" s="600"/>
      <c r="Q41" s="550"/>
      <c r="R41" s="550"/>
      <c r="S41" s="550"/>
      <c r="T41" s="550"/>
      <c r="U41" s="550"/>
      <c r="V41" s="550"/>
      <c r="W41" s="550"/>
      <c r="X41" s="550"/>
      <c r="Y41" s="550"/>
      <c r="Z41" s="550"/>
      <c r="AA41" s="550"/>
      <c r="AB41" s="550"/>
      <c r="AC41" s="550"/>
      <c r="AD41" s="550"/>
      <c r="AE41" s="550"/>
      <c r="AF41" s="550"/>
      <c r="AG41" s="550"/>
      <c r="AH41" s="550"/>
      <c r="AI41" s="550"/>
      <c r="AJ41" s="550"/>
      <c r="AK41" s="550"/>
      <c r="AL41" s="550"/>
      <c r="AM41" s="550"/>
      <c r="AN41" s="550"/>
      <c r="AO41" s="550"/>
      <c r="AP41" s="550"/>
      <c r="AQ41" s="550"/>
      <c r="AR41" s="550"/>
      <c r="AS41" s="550"/>
      <c r="AT41" s="550"/>
      <c r="AU41" s="550"/>
      <c r="AV41" s="550"/>
      <c r="AW41" s="550"/>
      <c r="AX41" s="550"/>
      <c r="AY41" s="550"/>
      <c r="AZ41" s="550"/>
      <c r="BA41" s="550"/>
      <c r="BB41" s="550"/>
      <c r="BC41" s="550"/>
      <c r="BD41" s="550"/>
      <c r="BE41" s="550"/>
      <c r="BF41" s="550"/>
      <c r="BG41" s="598"/>
      <c r="BM41" s="599"/>
      <c r="BO41" s="552"/>
      <c r="BP41" s="552"/>
      <c r="BQ41" s="552"/>
      <c r="BR41" s="552"/>
      <c r="BS41" s="564"/>
      <c r="BU41" s="552"/>
      <c r="BV41" s="580"/>
      <c r="BW41" s="552"/>
      <c r="CW41" s="554"/>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row>
    <row r="42" spans="1:218" s="541" customFormat="1" ht="15" thickBot="1" x14ac:dyDescent="0.2">
      <c r="A42" s="550"/>
      <c r="B42" s="597"/>
      <c r="C42" s="550"/>
      <c r="D42" s="1368" t="s">
        <v>899</v>
      </c>
      <c r="E42" s="1368"/>
      <c r="F42" s="1368"/>
      <c r="G42" s="1368"/>
      <c r="H42" s="1368"/>
      <c r="I42" s="1368"/>
      <c r="J42" s="1368"/>
      <c r="K42" s="1368"/>
      <c r="L42" s="1368"/>
      <c r="M42" s="1368"/>
      <c r="N42" s="1368"/>
      <c r="O42" s="581"/>
      <c r="P42" s="581"/>
      <c r="Q42" s="581"/>
      <c r="R42" s="581"/>
      <c r="S42" s="550"/>
      <c r="T42" s="581"/>
      <c r="U42" s="581"/>
      <c r="V42" s="550"/>
      <c r="W42" s="550"/>
      <c r="X42" s="550"/>
      <c r="Y42" s="550"/>
      <c r="Z42" s="550"/>
      <c r="AA42" s="550"/>
      <c r="AB42" s="550"/>
      <c r="AC42" s="550"/>
      <c r="AD42" s="550"/>
      <c r="AE42" s="550"/>
      <c r="AF42" s="550"/>
      <c r="AG42" s="550"/>
      <c r="AH42" s="550"/>
      <c r="AI42" s="550"/>
      <c r="AJ42" s="550"/>
      <c r="AK42" s="550"/>
      <c r="AL42" s="550"/>
      <c r="AM42" s="550"/>
      <c r="AN42" s="550"/>
      <c r="AO42" s="550"/>
      <c r="AP42" s="550"/>
      <c r="AQ42" s="550"/>
      <c r="AR42" s="550"/>
      <c r="AS42" s="550"/>
      <c r="AT42" s="550"/>
      <c r="AU42" s="550"/>
      <c r="AV42" s="550"/>
      <c r="AW42" s="550"/>
      <c r="AX42" s="550"/>
      <c r="AY42" s="550"/>
      <c r="AZ42" s="550"/>
      <c r="BA42" s="550"/>
      <c r="BB42" s="550"/>
      <c r="BC42" s="550"/>
      <c r="BD42" s="550"/>
      <c r="BE42" s="550"/>
      <c r="BF42" s="550"/>
      <c r="BG42" s="598"/>
      <c r="BM42" s="599"/>
      <c r="BO42" s="552"/>
      <c r="BP42" s="552"/>
      <c r="BQ42" s="552"/>
      <c r="BR42" s="552"/>
      <c r="BS42" s="564"/>
      <c r="BU42" s="552"/>
      <c r="BV42" s="580"/>
      <c r="BW42" s="552"/>
      <c r="CW42" s="554"/>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row>
    <row r="43" spans="1:218" s="541" customFormat="1" ht="15" thickBot="1" x14ac:dyDescent="0.2">
      <c r="A43" s="550"/>
      <c r="B43" s="597"/>
      <c r="C43" s="550"/>
      <c r="D43" s="1368"/>
      <c r="E43" s="1368"/>
      <c r="F43" s="1368"/>
      <c r="G43" s="1368"/>
      <c r="H43" s="1368"/>
      <c r="I43" s="1368"/>
      <c r="J43" s="1368"/>
      <c r="K43" s="1368"/>
      <c r="L43" s="1368"/>
      <c r="M43" s="1368"/>
      <c r="N43" s="1368"/>
      <c r="O43" s="600"/>
      <c r="P43" s="1358"/>
      <c r="Q43" s="1359"/>
      <c r="R43" s="1359"/>
      <c r="S43" s="1360"/>
      <c r="T43" s="550"/>
      <c r="U43" s="1388"/>
      <c r="V43" s="1389"/>
      <c r="W43" s="1389"/>
      <c r="X43" s="1389"/>
      <c r="Y43" s="1389"/>
      <c r="Z43" s="1389"/>
      <c r="AA43" s="1389"/>
      <c r="AB43" s="1389"/>
      <c r="AC43" s="1389"/>
      <c r="AD43" s="1389"/>
      <c r="AE43" s="1389"/>
      <c r="AF43" s="1389"/>
      <c r="AG43" s="1389"/>
      <c r="AH43" s="1389"/>
      <c r="AI43" s="1389"/>
      <c r="AJ43" s="1389"/>
      <c r="AK43" s="1389"/>
      <c r="AL43" s="1389"/>
      <c r="AM43" s="1389"/>
      <c r="AN43" s="1389"/>
      <c r="AO43" s="1389"/>
      <c r="AP43" s="1389"/>
      <c r="AQ43" s="1389"/>
      <c r="AR43" s="1389"/>
      <c r="AS43" s="1389"/>
      <c r="AT43" s="1389"/>
      <c r="AU43" s="1389"/>
      <c r="AV43" s="1389"/>
      <c r="AW43" s="1389"/>
      <c r="AX43" s="1389"/>
      <c r="AY43" s="1390"/>
      <c r="AZ43" s="550"/>
      <c r="BA43" s="1388"/>
      <c r="BB43" s="1389"/>
      <c r="BC43" s="1389"/>
      <c r="BD43" s="1389"/>
      <c r="BE43" s="1389"/>
      <c r="BF43" s="1390"/>
      <c r="BG43" s="598"/>
      <c r="BM43" s="599"/>
      <c r="BO43" s="552"/>
      <c r="BP43" s="552"/>
      <c r="BQ43" s="552"/>
      <c r="BR43" s="552"/>
      <c r="BS43" s="564"/>
      <c r="BU43" s="552"/>
      <c r="BV43" s="580"/>
      <c r="BW43" s="552"/>
      <c r="CW43" s="554"/>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row>
    <row r="44" spans="1:218" s="541" customFormat="1" ht="14" x14ac:dyDescent="0.15">
      <c r="A44" s="550"/>
      <c r="B44" s="597"/>
      <c r="C44" s="550"/>
      <c r="D44" s="1368"/>
      <c r="E44" s="1368"/>
      <c r="F44" s="1368"/>
      <c r="G44" s="1368"/>
      <c r="H44" s="1368"/>
      <c r="I44" s="1368"/>
      <c r="J44" s="1368"/>
      <c r="K44" s="1368"/>
      <c r="L44" s="1368"/>
      <c r="M44" s="1368"/>
      <c r="N44" s="1368"/>
      <c r="O44" s="550"/>
      <c r="P44" s="550" t="s">
        <v>146</v>
      </c>
      <c r="Q44" s="550"/>
      <c r="R44" s="550"/>
      <c r="S44" s="550"/>
      <c r="T44" s="550"/>
      <c r="U44" s="550" t="s">
        <v>147</v>
      </c>
      <c r="V44" s="550"/>
      <c r="W44" s="550"/>
      <c r="X44" s="550"/>
      <c r="Y44" s="550"/>
      <c r="Z44" s="550"/>
      <c r="AA44" s="550"/>
      <c r="AB44" s="550"/>
      <c r="AC44" s="550"/>
      <c r="AD44" s="550"/>
      <c r="AE44" s="550"/>
      <c r="AF44" s="550"/>
      <c r="AG44" s="550"/>
      <c r="AH44" s="550"/>
      <c r="AI44" s="550"/>
      <c r="AJ44" s="550"/>
      <c r="AK44" s="550"/>
      <c r="AL44" s="550"/>
      <c r="AM44" s="550"/>
      <c r="AN44" s="550"/>
      <c r="AO44" s="550"/>
      <c r="AP44" s="550"/>
      <c r="AQ44" s="550"/>
      <c r="AR44" s="550"/>
      <c r="AS44" s="550"/>
      <c r="AT44" s="550"/>
      <c r="AU44" s="550"/>
      <c r="AV44" s="550"/>
      <c r="AW44" s="550"/>
      <c r="AX44" s="550"/>
      <c r="AY44" s="550"/>
      <c r="AZ44" s="550"/>
      <c r="BA44" s="550" t="s">
        <v>148</v>
      </c>
      <c r="BB44" s="550"/>
      <c r="BC44" s="550"/>
      <c r="BD44" s="550"/>
      <c r="BE44" s="550"/>
      <c r="BF44" s="550"/>
      <c r="BG44" s="598"/>
      <c r="BM44" s="599"/>
      <c r="BO44" s="552"/>
      <c r="BP44" s="552"/>
      <c r="BQ44" s="552"/>
      <c r="BR44" s="552"/>
      <c r="BS44" s="564"/>
      <c r="BU44" s="552"/>
      <c r="BV44" s="580"/>
      <c r="BW44" s="552"/>
      <c r="CW44" s="554"/>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row>
    <row r="45" spans="1:218" s="541" customFormat="1" ht="15" thickBot="1" x14ac:dyDescent="0.2">
      <c r="A45" s="550"/>
      <c r="B45" s="597"/>
      <c r="C45" s="550"/>
      <c r="D45" s="580"/>
      <c r="E45" s="580"/>
      <c r="F45" s="580"/>
      <c r="G45" s="580"/>
      <c r="H45" s="580"/>
      <c r="I45" s="580"/>
      <c r="J45" s="580"/>
      <c r="K45" s="580"/>
      <c r="L45" s="580"/>
      <c r="M45" s="580"/>
      <c r="N45" s="58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98"/>
      <c r="BM45" s="599"/>
      <c r="BO45" s="552"/>
      <c r="BP45" s="552"/>
      <c r="BQ45" s="552"/>
      <c r="BR45" s="552"/>
      <c r="BS45" s="564"/>
      <c r="BU45" s="552"/>
      <c r="BV45" s="580"/>
      <c r="BW45" s="552"/>
      <c r="CW45" s="554"/>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row>
    <row r="46" spans="1:218" s="541" customFormat="1" ht="15" thickBot="1" x14ac:dyDescent="0.2">
      <c r="A46" s="550"/>
      <c r="B46" s="597"/>
      <c r="C46" s="550"/>
      <c r="D46" s="1358"/>
      <c r="E46" s="1359"/>
      <c r="F46" s="1359"/>
      <c r="G46" s="1359"/>
      <c r="H46" s="1359"/>
      <c r="I46" s="1359"/>
      <c r="J46" s="1359"/>
      <c r="K46" s="1359"/>
      <c r="L46" s="1359"/>
      <c r="M46" s="1359"/>
      <c r="N46" s="1359"/>
      <c r="O46" s="1359"/>
      <c r="P46" s="1359"/>
      <c r="Q46" s="1359"/>
      <c r="R46" s="1359"/>
      <c r="S46" s="1359"/>
      <c r="T46" s="1359"/>
      <c r="U46" s="1359"/>
      <c r="V46" s="1359"/>
      <c r="W46" s="1359"/>
      <c r="X46" s="1359"/>
      <c r="Y46" s="1359"/>
      <c r="Z46" s="1359"/>
      <c r="AA46" s="1359"/>
      <c r="AB46" s="1359"/>
      <c r="AC46" s="1360"/>
      <c r="AD46" s="602"/>
      <c r="AF46" s="1358"/>
      <c r="AG46" s="1359"/>
      <c r="AH46" s="1359"/>
      <c r="AI46" s="1359"/>
      <c r="AJ46" s="1359"/>
      <c r="AK46" s="1359"/>
      <c r="AL46" s="1359"/>
      <c r="AM46" s="1359"/>
      <c r="AN46" s="1359"/>
      <c r="AO46" s="1359"/>
      <c r="AP46" s="1360"/>
      <c r="AQ46" s="602"/>
      <c r="AR46" s="600"/>
      <c r="AS46" s="600"/>
      <c r="AT46" s="600"/>
      <c r="AU46" s="600"/>
      <c r="AV46" s="600"/>
      <c r="AW46" s="600"/>
      <c r="AX46" s="1392"/>
      <c r="AY46" s="1393"/>
      <c r="AZ46" s="1393"/>
      <c r="BA46" s="1393"/>
      <c r="BB46" s="1393"/>
      <c r="BC46" s="1393"/>
      <c r="BD46" s="1393"/>
      <c r="BE46" s="1393"/>
      <c r="BF46" s="1394"/>
      <c r="BG46" s="598"/>
      <c r="BM46" s="599"/>
      <c r="BO46" s="552"/>
      <c r="BP46" s="552"/>
      <c r="BQ46" s="552"/>
      <c r="BR46" s="552"/>
      <c r="BS46" s="564"/>
      <c r="BU46" s="552"/>
      <c r="BV46" s="580"/>
      <c r="BW46" s="552"/>
      <c r="CW46" s="554"/>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row>
    <row r="47" spans="1:218" s="541" customFormat="1" ht="14" x14ac:dyDescent="0.15">
      <c r="A47" s="550"/>
      <c r="B47" s="597"/>
      <c r="C47" s="550"/>
      <c r="D47" s="550" t="s">
        <v>149</v>
      </c>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t="s">
        <v>150</v>
      </c>
      <c r="AG47" s="550"/>
      <c r="AH47" s="550"/>
      <c r="AI47" s="550"/>
      <c r="AK47" s="550"/>
      <c r="AL47" s="550"/>
      <c r="AM47" s="550"/>
      <c r="AN47" s="550"/>
      <c r="AO47" s="550"/>
      <c r="AP47" s="550"/>
      <c r="AR47" s="550"/>
      <c r="AS47" s="550"/>
      <c r="AT47" s="550"/>
      <c r="AU47" s="550"/>
      <c r="AV47" s="550"/>
      <c r="AW47" s="550"/>
      <c r="AX47" s="581" t="s">
        <v>151</v>
      </c>
      <c r="AY47" s="581"/>
      <c r="AZ47" s="581"/>
      <c r="BA47" s="581"/>
      <c r="BB47" s="581"/>
      <c r="BC47" s="581"/>
      <c r="BD47" s="581"/>
      <c r="BE47" s="581"/>
      <c r="BF47" s="581"/>
      <c r="BG47" s="598"/>
      <c r="BM47" s="599"/>
      <c r="BO47" s="552"/>
      <c r="BP47" s="552"/>
      <c r="BQ47" s="552"/>
      <c r="BR47" s="552"/>
      <c r="BS47" s="564"/>
      <c r="BU47" s="552"/>
      <c r="BV47" s="580"/>
      <c r="BW47" s="552"/>
      <c r="CW47" s="554"/>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row>
    <row r="48" spans="1:218" s="541" customFormat="1" ht="14" x14ac:dyDescent="0.15">
      <c r="A48" s="550"/>
      <c r="B48" s="597"/>
      <c r="C48" s="550"/>
      <c r="D48" s="550"/>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K48" s="550"/>
      <c r="AL48" s="550"/>
      <c r="AM48" s="550"/>
      <c r="AN48" s="550"/>
      <c r="AO48" s="550"/>
      <c r="AP48" s="550"/>
      <c r="AR48" s="550"/>
      <c r="AS48" s="550"/>
      <c r="AT48" s="550"/>
      <c r="AU48" s="550"/>
      <c r="AV48" s="550"/>
      <c r="AW48" s="550"/>
      <c r="AX48" s="581"/>
      <c r="AY48" s="581"/>
      <c r="AZ48" s="581"/>
      <c r="BA48" s="581"/>
      <c r="BB48" s="581"/>
      <c r="BC48" s="581"/>
      <c r="BD48" s="581"/>
      <c r="BE48" s="581"/>
      <c r="BF48" s="581"/>
      <c r="BG48" s="598"/>
      <c r="BM48" s="599"/>
      <c r="BO48" s="552"/>
      <c r="BP48" s="552"/>
      <c r="BQ48" s="552"/>
      <c r="BR48" s="552"/>
      <c r="BS48" s="564"/>
      <c r="BU48" s="552"/>
      <c r="BV48" s="580"/>
      <c r="BW48" s="552"/>
      <c r="CW48" s="554"/>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row>
    <row r="49" spans="1:218" s="541" customFormat="1" ht="14" x14ac:dyDescent="0.15">
      <c r="A49" s="550"/>
      <c r="B49" s="597"/>
      <c r="C49" s="550"/>
      <c r="D49" s="550" t="s">
        <v>901</v>
      </c>
      <c r="E49" s="550"/>
      <c r="F49" s="550"/>
      <c r="G49" s="550"/>
      <c r="H49" s="550"/>
      <c r="I49" s="550"/>
      <c r="J49" s="550"/>
      <c r="K49" s="550"/>
      <c r="L49" s="550"/>
      <c r="M49" s="550"/>
      <c r="N49" s="550"/>
      <c r="O49" s="550"/>
      <c r="P49" s="550"/>
      <c r="Q49" s="550"/>
      <c r="R49" s="550"/>
      <c r="S49" s="550"/>
      <c r="T49" s="550"/>
      <c r="U49" s="550"/>
      <c r="V49" s="550"/>
      <c r="W49" s="550"/>
      <c r="X49" s="550"/>
      <c r="Y49" s="1264"/>
      <c r="Z49" s="1264"/>
      <c r="AA49" s="1264"/>
      <c r="AB49" s="1264"/>
      <c r="AC49" s="1264"/>
      <c r="AD49" s="1264"/>
      <c r="AE49" s="1264"/>
      <c r="AF49" s="1264"/>
      <c r="AG49" s="1264"/>
      <c r="AH49" s="1264"/>
      <c r="AI49" s="1264"/>
      <c r="AJ49" s="1264"/>
      <c r="AK49" s="1264"/>
      <c r="AL49" s="1264"/>
      <c r="AM49" s="1264"/>
      <c r="AN49" s="1264"/>
      <c r="AO49" s="1264"/>
      <c r="AP49" s="1264"/>
      <c r="AR49" s="550"/>
      <c r="AS49" s="550"/>
      <c r="AT49" s="550"/>
      <c r="AU49" s="550"/>
      <c r="AV49" s="550"/>
      <c r="AW49" s="550"/>
      <c r="AX49" s="581"/>
      <c r="AY49" s="581"/>
      <c r="AZ49" s="581"/>
      <c r="BA49" s="581"/>
      <c r="BB49" s="581"/>
      <c r="BC49" s="581"/>
      <c r="BD49" s="581"/>
      <c r="BE49" s="581"/>
      <c r="BF49" s="581"/>
      <c r="BG49" s="598"/>
      <c r="BM49" s="599"/>
      <c r="BO49" s="552"/>
      <c r="BP49" s="552"/>
      <c r="BQ49" s="552"/>
      <c r="BR49" s="552"/>
      <c r="BS49" s="564"/>
      <c r="BU49" s="552"/>
      <c r="BV49" s="580"/>
      <c r="BW49" s="552"/>
      <c r="CW49" s="554"/>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row>
    <row r="50" spans="1:218" s="541" customFormat="1" ht="14" x14ac:dyDescent="0.15">
      <c r="A50" s="550"/>
      <c r="B50" s="597"/>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c r="AE50" s="550"/>
      <c r="AF50" s="550"/>
      <c r="AG50" s="550"/>
      <c r="AH50" s="550"/>
      <c r="AI50" s="550"/>
      <c r="AK50" s="550"/>
      <c r="AL50" s="550"/>
      <c r="AM50" s="550"/>
      <c r="AN50" s="550"/>
      <c r="AO50" s="550"/>
      <c r="AP50" s="550"/>
      <c r="AR50" s="550"/>
      <c r="AS50" s="550"/>
      <c r="AT50" s="550"/>
      <c r="AU50" s="550"/>
      <c r="AV50" s="550"/>
      <c r="AW50" s="550"/>
      <c r="AX50" s="581"/>
      <c r="AY50" s="581"/>
      <c r="AZ50" s="581"/>
      <c r="BA50" s="581"/>
      <c r="BB50" s="581"/>
      <c r="BC50" s="581"/>
      <c r="BD50" s="581"/>
      <c r="BE50" s="581"/>
      <c r="BF50" s="581"/>
      <c r="BG50" s="598"/>
      <c r="BM50" s="599"/>
      <c r="BO50" s="552"/>
      <c r="BP50" s="552"/>
      <c r="BQ50" s="552"/>
      <c r="BR50" s="552"/>
      <c r="BS50" s="564"/>
      <c r="BU50" s="552"/>
      <c r="BV50" s="580"/>
      <c r="BW50" s="552"/>
      <c r="CW50" s="554"/>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row>
    <row r="51" spans="1:218" s="541" customFormat="1" ht="14" x14ac:dyDescent="0.15">
      <c r="A51" s="550"/>
      <c r="B51" s="597"/>
      <c r="C51" s="550"/>
      <c r="D51" s="550" t="s">
        <v>900</v>
      </c>
      <c r="E51" s="550"/>
      <c r="F51" s="550"/>
      <c r="G51" s="550"/>
      <c r="H51" s="550"/>
      <c r="I51" s="550"/>
      <c r="J51" s="550"/>
      <c r="K51" s="550"/>
      <c r="L51" s="550"/>
      <c r="M51" s="550"/>
      <c r="N51" s="550"/>
      <c r="O51" s="550"/>
      <c r="P51" s="550"/>
      <c r="Q51" s="550"/>
      <c r="R51" s="550"/>
      <c r="S51" s="550"/>
      <c r="T51" s="550"/>
      <c r="U51" s="550"/>
      <c r="V51" s="550"/>
      <c r="W51" s="550"/>
      <c r="X51" s="550"/>
      <c r="Y51" s="1361"/>
      <c r="Z51" s="1361"/>
      <c r="AA51" s="1361"/>
      <c r="AB51" s="1361"/>
      <c r="AC51" s="1361"/>
      <c r="AD51" s="1361"/>
      <c r="AE51" s="1361"/>
      <c r="AF51" s="1361"/>
      <c r="AG51" s="1361"/>
      <c r="AH51" s="1361"/>
      <c r="AI51" s="1361"/>
      <c r="AJ51" s="1361"/>
      <c r="AK51" s="1361"/>
      <c r="AL51" s="1361"/>
      <c r="AM51" s="1361"/>
      <c r="AN51" s="1361"/>
      <c r="AO51" s="1361"/>
      <c r="AP51" s="1361"/>
      <c r="AR51" s="550"/>
      <c r="AS51" s="1361"/>
      <c r="AT51" s="1361"/>
      <c r="AU51" s="1361"/>
      <c r="AV51" s="1361"/>
      <c r="AW51" s="1361"/>
      <c r="AX51" s="1361"/>
      <c r="AY51" s="1361"/>
      <c r="AZ51" s="1361"/>
      <c r="BA51" s="1361"/>
      <c r="BB51" s="1361"/>
      <c r="BC51" s="1361"/>
      <c r="BD51" s="1361"/>
      <c r="BE51" s="1361"/>
      <c r="BF51" s="1361"/>
      <c r="BG51" s="598"/>
      <c r="BM51" s="599"/>
      <c r="BO51" s="552"/>
      <c r="BP51" s="552"/>
      <c r="BQ51" s="552"/>
      <c r="BR51" s="552"/>
      <c r="BS51" s="564"/>
      <c r="BU51" s="552"/>
      <c r="BV51" s="580"/>
      <c r="BW51" s="552"/>
      <c r="CW51" s="554"/>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row>
    <row r="52" spans="1:218" s="541" customFormat="1" ht="14" x14ac:dyDescent="0.15">
      <c r="A52" s="550"/>
      <c r="B52" s="597"/>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K52" s="550"/>
      <c r="AL52" s="550"/>
      <c r="AM52" s="550"/>
      <c r="AN52" s="550"/>
      <c r="AO52" s="550"/>
      <c r="AP52" s="550"/>
      <c r="AR52" s="550"/>
      <c r="AS52" s="1377"/>
      <c r="AT52" s="1377"/>
      <c r="AU52" s="1377"/>
      <c r="AV52" s="1377"/>
      <c r="AW52" s="1377"/>
      <c r="AX52" s="1377"/>
      <c r="AY52" s="1377"/>
      <c r="AZ52" s="1377"/>
      <c r="BA52" s="1377"/>
      <c r="BB52" s="1377"/>
      <c r="BC52" s="1377"/>
      <c r="BD52" s="1377"/>
      <c r="BE52" s="1377"/>
      <c r="BF52" s="1377"/>
      <c r="BG52" s="598"/>
      <c r="BM52" s="599"/>
      <c r="BO52" s="552"/>
      <c r="BP52" s="552"/>
      <c r="BQ52" s="552"/>
      <c r="BR52" s="552"/>
      <c r="BS52" s="564"/>
      <c r="BU52" s="552"/>
      <c r="BV52" s="580"/>
      <c r="BW52" s="552"/>
      <c r="CW52" s="554"/>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row>
    <row r="53" spans="1:218" s="541" customFormat="1" ht="14" x14ac:dyDescent="0.15">
      <c r="A53" s="550"/>
      <c r="B53" s="597"/>
      <c r="C53" s="550"/>
      <c r="D53" s="550" t="s">
        <v>1032</v>
      </c>
      <c r="E53" s="550"/>
      <c r="F53" s="550"/>
      <c r="G53" s="550"/>
      <c r="H53" s="550"/>
      <c r="I53" s="550"/>
      <c r="J53" s="550"/>
      <c r="K53" s="550"/>
      <c r="L53" s="550"/>
      <c r="M53" s="550"/>
      <c r="N53" s="550"/>
      <c r="O53" s="550"/>
      <c r="P53" s="550"/>
      <c r="Q53" s="550"/>
      <c r="R53" s="550"/>
      <c r="S53" s="550"/>
      <c r="T53" s="550"/>
      <c r="U53" s="550"/>
      <c r="V53" s="550"/>
      <c r="W53" s="550"/>
      <c r="X53" s="550"/>
      <c r="Y53" s="1361"/>
      <c r="Z53" s="1361"/>
      <c r="AA53" s="1361"/>
      <c r="AB53" s="1361"/>
      <c r="AC53" s="1361"/>
      <c r="AD53" s="1361"/>
      <c r="AE53" s="1361"/>
      <c r="AF53" s="1361"/>
      <c r="AG53" s="1361"/>
      <c r="AH53" s="1361"/>
      <c r="AI53" s="1361"/>
      <c r="AJ53" s="1361"/>
      <c r="AK53" s="1361"/>
      <c r="AL53" s="1361"/>
      <c r="AM53" s="1361"/>
      <c r="AN53" s="1361"/>
      <c r="AO53" s="1361"/>
      <c r="AP53" s="1361"/>
      <c r="AR53" s="550"/>
      <c r="AS53" s="1361"/>
      <c r="AT53" s="1361"/>
      <c r="AU53" s="1361"/>
      <c r="AV53" s="1361"/>
      <c r="AW53" s="1361"/>
      <c r="AX53" s="1361"/>
      <c r="AY53" s="1361"/>
      <c r="AZ53" s="1361"/>
      <c r="BA53" s="1361"/>
      <c r="BB53" s="1361"/>
      <c r="BC53" s="1361"/>
      <c r="BD53" s="1361"/>
      <c r="BE53" s="1361"/>
      <c r="BF53" s="1361"/>
      <c r="BG53" s="598"/>
      <c r="BM53" s="599"/>
      <c r="BO53" s="552"/>
      <c r="BP53" s="552"/>
      <c r="BQ53" s="552"/>
      <c r="BR53" s="552"/>
      <c r="BS53" s="564"/>
      <c r="BU53" s="552"/>
      <c r="BV53" s="580"/>
      <c r="BW53" s="552"/>
      <c r="CW53" s="554"/>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row>
    <row r="54" spans="1:218" ht="14.25" customHeight="1" thickBot="1" x14ac:dyDescent="0.2">
      <c r="A54" s="550"/>
      <c r="B54" s="603"/>
      <c r="C54" s="604"/>
      <c r="D54" s="604"/>
      <c r="E54" s="605"/>
      <c r="F54" s="605"/>
      <c r="G54" s="605"/>
      <c r="H54" s="605"/>
      <c r="I54" s="604"/>
      <c r="J54" s="605"/>
      <c r="K54" s="605"/>
      <c r="L54" s="605"/>
      <c r="M54" s="605"/>
      <c r="N54" s="605"/>
      <c r="O54" s="606"/>
      <c r="P54" s="605"/>
      <c r="Q54" s="604"/>
      <c r="R54" s="604"/>
      <c r="S54" s="604"/>
      <c r="T54" s="604"/>
      <c r="U54" s="604"/>
      <c r="V54" s="604"/>
      <c r="W54" s="604"/>
      <c r="X54" s="604"/>
      <c r="Y54" s="604"/>
      <c r="Z54" s="604"/>
      <c r="AA54" s="604"/>
      <c r="AB54" s="604"/>
      <c r="AC54" s="604"/>
      <c r="AD54" s="604"/>
      <c r="AE54" s="604"/>
      <c r="AF54" s="604"/>
      <c r="AG54" s="604"/>
      <c r="AH54" s="604"/>
      <c r="AI54" s="604"/>
      <c r="AJ54" s="604"/>
      <c r="AK54" s="604"/>
      <c r="AL54" s="604"/>
      <c r="AM54" s="604"/>
      <c r="AN54" s="604"/>
      <c r="AO54" s="604"/>
      <c r="AP54" s="604"/>
      <c r="AQ54" s="604"/>
      <c r="AR54" s="604"/>
      <c r="AS54" s="604"/>
      <c r="AT54" s="604"/>
      <c r="AU54" s="604"/>
      <c r="AV54" s="604"/>
      <c r="AW54" s="604"/>
      <c r="AX54" s="604"/>
      <c r="AY54" s="604"/>
      <c r="AZ54" s="604"/>
      <c r="BA54" s="604"/>
      <c r="BB54" s="604"/>
      <c r="BC54" s="604"/>
      <c r="BD54" s="604"/>
      <c r="BE54" s="604"/>
      <c r="BF54" s="604"/>
      <c r="BG54" s="607"/>
      <c r="BH54" s="541"/>
      <c r="BI54" s="541"/>
      <c r="BJ54" s="541"/>
      <c r="BK54" s="541"/>
      <c r="BL54" s="541"/>
      <c r="BM54" s="599"/>
      <c r="BN54" s="590"/>
      <c r="BO54" s="580"/>
      <c r="BP54" s="580"/>
      <c r="BQ54" s="580"/>
      <c r="BR54" s="580"/>
      <c r="BS54" s="580"/>
      <c r="BT54" s="580"/>
      <c r="BU54" s="580"/>
      <c r="BV54" s="580"/>
      <c r="BW54" s="580"/>
      <c r="BX54" s="608"/>
      <c r="BY54" s="608"/>
      <c r="BZ54" s="608"/>
      <c r="CA54" s="608"/>
      <c r="CB54" s="608"/>
      <c r="CC54" s="608"/>
      <c r="CD54" s="608"/>
      <c r="CE54" s="590"/>
      <c r="CF54" s="590"/>
      <c r="CG54" s="590"/>
      <c r="CH54" s="590"/>
      <c r="CI54" s="590"/>
      <c r="CJ54" s="590"/>
      <c r="CK54" s="590"/>
      <c r="CL54" s="590"/>
      <c r="CM54" s="590"/>
      <c r="CN54" s="590"/>
      <c r="CO54" s="590"/>
      <c r="CP54" s="590"/>
      <c r="CQ54" s="590"/>
      <c r="CR54" s="590"/>
      <c r="CS54" s="590"/>
      <c r="CT54" s="590"/>
      <c r="CU54" s="590"/>
      <c r="CV54" s="590"/>
      <c r="CW54" s="591"/>
      <c r="CX54" s="590"/>
      <c r="CY54" s="590"/>
      <c r="CZ54" s="590"/>
      <c r="DA54" s="590"/>
      <c r="DB54" s="590"/>
      <c r="DC54" s="590"/>
      <c r="DD54" s="590"/>
      <c r="DE54" s="590"/>
      <c r="DF54" s="590"/>
      <c r="DG54" s="590"/>
      <c r="DH54" s="590"/>
      <c r="DI54" s="590"/>
      <c r="DJ54" s="590"/>
      <c r="DK54" s="590"/>
      <c r="DL54" s="590"/>
      <c r="DM54" s="590"/>
      <c r="DN54" s="590"/>
      <c r="DO54" s="541"/>
      <c r="DP54" s="541"/>
    </row>
    <row r="55" spans="1:218" ht="14.25" customHeight="1" thickBot="1" x14ac:dyDescent="0.2">
      <c r="A55" s="588"/>
      <c r="B55" s="1171" t="s">
        <v>860</v>
      </c>
      <c r="C55" s="1172"/>
      <c r="D55" s="1172"/>
      <c r="E55" s="1172"/>
      <c r="F55" s="1172"/>
      <c r="G55" s="1172"/>
      <c r="H55" s="1172"/>
      <c r="I55" s="1172"/>
      <c r="J55" s="1172"/>
      <c r="K55" s="1172"/>
      <c r="L55" s="1172"/>
      <c r="M55" s="1172"/>
      <c r="N55" s="1172"/>
      <c r="O55" s="1172"/>
      <c r="P55" s="1172"/>
      <c r="Q55" s="1172"/>
      <c r="R55" s="1172"/>
      <c r="S55" s="1172"/>
      <c r="T55" s="1172"/>
      <c r="U55" s="1172"/>
      <c r="V55" s="1172"/>
      <c r="W55" s="1172"/>
      <c r="X55" s="1172"/>
      <c r="Y55" s="1172"/>
      <c r="Z55" s="1172"/>
      <c r="AA55" s="1172"/>
      <c r="AB55" s="1172"/>
      <c r="AC55" s="1172"/>
      <c r="AD55" s="1172"/>
      <c r="AE55" s="1172"/>
      <c r="AF55" s="1172"/>
      <c r="AG55" s="1172"/>
      <c r="AH55" s="1172"/>
      <c r="AI55" s="1172"/>
      <c r="AJ55" s="1172"/>
      <c r="AK55" s="1172"/>
      <c r="AL55" s="1172"/>
      <c r="AM55" s="1172"/>
      <c r="AN55" s="1172"/>
      <c r="AO55" s="1172"/>
      <c r="AP55" s="1172"/>
      <c r="AQ55" s="1172"/>
      <c r="AR55" s="1172"/>
      <c r="AS55" s="1172"/>
      <c r="AT55" s="1172"/>
      <c r="AU55" s="1172"/>
      <c r="AV55" s="1172"/>
      <c r="AW55" s="1172"/>
      <c r="AX55" s="1172"/>
      <c r="AY55" s="1172"/>
      <c r="AZ55" s="1172"/>
      <c r="BA55" s="1172"/>
      <c r="BB55" s="1172"/>
      <c r="BC55" s="1172"/>
      <c r="BD55" s="1172"/>
      <c r="BE55" s="1172"/>
      <c r="BF55" s="1172"/>
      <c r="BG55" s="1173"/>
      <c r="BH55" s="541"/>
      <c r="BI55" s="541"/>
      <c r="BJ55" s="541"/>
      <c r="BK55" s="541"/>
      <c r="BL55" s="541"/>
      <c r="BM55" s="1411" t="s">
        <v>484</v>
      </c>
      <c r="BN55" s="1412"/>
      <c r="BO55" s="1412"/>
      <c r="BP55" s="1412"/>
      <c r="BQ55" s="1412"/>
      <c r="BR55" s="1412"/>
      <c r="BS55" s="1412"/>
      <c r="BT55" s="1412"/>
      <c r="BU55" s="1412"/>
      <c r="BV55" s="1412"/>
      <c r="BW55" s="1412"/>
      <c r="BX55" s="1412"/>
      <c r="BY55" s="1412"/>
      <c r="BZ55" s="1412"/>
      <c r="CA55" s="1412"/>
      <c r="CB55" s="1412"/>
      <c r="CC55" s="1412"/>
      <c r="CD55" s="1412"/>
      <c r="CE55" s="1412"/>
      <c r="CF55" s="1412"/>
      <c r="CG55" s="1412"/>
      <c r="CH55" s="1412"/>
      <c r="CI55" s="1412"/>
      <c r="CJ55" s="1412"/>
      <c r="CK55" s="1412"/>
      <c r="CL55" s="1412"/>
      <c r="CM55" s="1412"/>
      <c r="CN55" s="1412"/>
      <c r="CO55" s="1412"/>
      <c r="CP55" s="1412"/>
      <c r="CQ55" s="1412"/>
      <c r="CR55" s="1412"/>
      <c r="CS55" s="1412"/>
      <c r="CT55" s="1412"/>
      <c r="CU55" s="1412"/>
      <c r="CV55" s="1412"/>
      <c r="CW55" s="1413"/>
      <c r="CX55" s="590"/>
      <c r="CY55" s="590"/>
      <c r="CZ55" s="590"/>
      <c r="DA55" s="590"/>
      <c r="DB55" s="590"/>
      <c r="DC55" s="590"/>
      <c r="DD55" s="590"/>
      <c r="DE55" s="590"/>
      <c r="DF55" s="590"/>
      <c r="DG55" s="590"/>
      <c r="DH55" s="590"/>
      <c r="DI55" s="590"/>
      <c r="DJ55" s="590"/>
      <c r="DK55" s="590"/>
      <c r="DL55" s="590"/>
      <c r="DM55" s="590"/>
      <c r="DN55" s="590"/>
      <c r="DO55" s="590"/>
      <c r="DP55" s="590"/>
      <c r="DV55" s="581"/>
      <c r="DW55" s="556"/>
      <c r="DX55" s="556"/>
      <c r="DY55" s="556"/>
      <c r="DZ55" s="556"/>
      <c r="EA55" s="556"/>
      <c r="EB55" s="556"/>
      <c r="EC55" s="581"/>
      <c r="ED55" s="609"/>
      <c r="EE55" s="610"/>
      <c r="EF55" s="609"/>
      <c r="EG55" s="610"/>
      <c r="EH55" s="609"/>
      <c r="EI55" s="556"/>
      <c r="EJ55" s="611"/>
      <c r="EK55" s="612"/>
      <c r="EL55" s="571"/>
      <c r="EM55" s="546"/>
      <c r="EN55" s="546"/>
      <c r="EO55" s="546"/>
    </row>
    <row r="56" spans="1:218" s="584" customFormat="1" ht="15" customHeight="1" thickBot="1" x14ac:dyDescent="0.2">
      <c r="A56" s="588"/>
      <c r="B56" s="613"/>
      <c r="C56" s="614"/>
      <c r="D56" s="615"/>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615"/>
      <c r="AC56" s="615"/>
      <c r="AD56" s="615"/>
      <c r="AE56" s="615"/>
      <c r="AF56" s="615"/>
      <c r="AG56" s="615"/>
      <c r="AH56" s="615"/>
      <c r="AI56" s="615"/>
      <c r="AJ56" s="615"/>
      <c r="AK56" s="615"/>
      <c r="AL56" s="615"/>
      <c r="AM56" s="615"/>
      <c r="AN56" s="615"/>
      <c r="AO56" s="615"/>
      <c r="AP56" s="615"/>
      <c r="AQ56" s="615"/>
      <c r="AR56" s="615"/>
      <c r="AS56" s="615"/>
      <c r="AT56" s="615"/>
      <c r="AU56" s="615"/>
      <c r="AV56" s="615"/>
      <c r="AW56" s="615"/>
      <c r="AX56" s="615"/>
      <c r="AY56" s="615"/>
      <c r="AZ56" s="615"/>
      <c r="BA56" s="615"/>
      <c r="BB56" s="615"/>
      <c r="BC56" s="615"/>
      <c r="BD56" s="615"/>
      <c r="BE56" s="615"/>
      <c r="BF56" s="615"/>
      <c r="BG56" s="616"/>
      <c r="BH56" s="541"/>
      <c r="BI56" s="541"/>
      <c r="BJ56" s="541"/>
      <c r="BK56" s="541"/>
      <c r="BL56" s="541"/>
      <c r="BM56" s="1414" t="s">
        <v>489</v>
      </c>
      <c r="BN56" s="1415"/>
      <c r="BO56" s="1415"/>
      <c r="BP56" s="1415"/>
      <c r="BQ56" s="1415"/>
      <c r="BR56" s="1415"/>
      <c r="BS56" s="1415"/>
      <c r="BT56" s="1415"/>
      <c r="BU56" s="1415"/>
      <c r="BV56" s="1415"/>
      <c r="BW56" s="1415"/>
      <c r="BX56" s="1415"/>
      <c r="BY56" s="1415"/>
      <c r="BZ56" s="1415"/>
      <c r="CA56" s="1415"/>
      <c r="CB56" s="1415"/>
      <c r="CC56" s="1415"/>
      <c r="CD56" s="1415"/>
      <c r="CE56" s="1415"/>
      <c r="CF56" s="1415"/>
      <c r="CG56" s="1415"/>
      <c r="CH56" s="1415"/>
      <c r="CI56" s="1415"/>
      <c r="CJ56" s="1415"/>
      <c r="CK56" s="1415"/>
      <c r="CL56" s="1415"/>
      <c r="CM56" s="1415"/>
      <c r="CN56" s="1415"/>
      <c r="CO56" s="1415"/>
      <c r="CP56" s="1415"/>
      <c r="CQ56" s="1415"/>
      <c r="CR56" s="1415"/>
      <c r="CS56" s="1415"/>
      <c r="CT56" s="1415"/>
      <c r="CU56" s="1415"/>
      <c r="CV56" s="1415"/>
      <c r="CW56" s="1416"/>
      <c r="CX56" s="541"/>
      <c r="CY56" s="541"/>
      <c r="CZ56" s="541"/>
      <c r="DA56" s="541"/>
      <c r="DB56" s="541"/>
      <c r="DC56" s="541"/>
      <c r="DD56" s="541"/>
      <c r="DE56" s="541"/>
      <c r="DF56" s="541"/>
      <c r="DG56" s="541"/>
      <c r="DH56" s="541"/>
      <c r="DI56" s="541"/>
      <c r="DJ56" s="541"/>
      <c r="DK56" s="541"/>
      <c r="DL56" s="541"/>
      <c r="DM56" s="541"/>
      <c r="DN56" s="541"/>
      <c r="DO56" s="541"/>
      <c r="DP56" s="541"/>
      <c r="DV56" s="581"/>
      <c r="DW56" s="556"/>
      <c r="DX56" s="556"/>
      <c r="DY56" s="556"/>
      <c r="DZ56" s="556"/>
      <c r="EA56" s="556"/>
      <c r="EB56" s="556"/>
      <c r="EC56" s="581"/>
      <c r="ED56" s="610"/>
      <c r="EE56" s="610"/>
      <c r="EF56" s="610"/>
      <c r="EG56" s="610"/>
      <c r="EH56" s="610"/>
      <c r="EI56" s="610"/>
      <c r="EJ56" s="611"/>
      <c r="EK56" s="617"/>
      <c r="EL56" s="618"/>
      <c r="EM56" s="546"/>
      <c r="EN56" s="546"/>
      <c r="EO56" s="546"/>
      <c r="EP56" s="585"/>
      <c r="EQ56" s="585"/>
      <c r="ER56" s="585"/>
      <c r="ES56" s="585"/>
      <c r="ET56" s="585"/>
      <c r="EU56" s="585"/>
      <c r="EV56" s="585"/>
      <c r="EW56" s="585"/>
      <c r="EX56" s="585"/>
      <c r="EY56" s="585"/>
      <c r="EZ56" s="585"/>
      <c r="FA56" s="585"/>
      <c r="FB56" s="585"/>
      <c r="FC56" s="585"/>
      <c r="FD56" s="585"/>
      <c r="FE56" s="585"/>
      <c r="FF56" s="585"/>
      <c r="FG56" s="585"/>
      <c r="FH56" s="585"/>
      <c r="FI56" s="585"/>
      <c r="FJ56" s="585"/>
      <c r="FK56" s="585"/>
      <c r="FL56" s="585"/>
      <c r="FM56" s="585"/>
      <c r="FN56" s="585"/>
      <c r="FO56" s="585"/>
      <c r="FP56" s="585"/>
      <c r="FQ56" s="585"/>
      <c r="FR56" s="585"/>
      <c r="FS56" s="585"/>
      <c r="FT56" s="585"/>
      <c r="FU56" s="585"/>
      <c r="FV56" s="585"/>
      <c r="FW56" s="585"/>
      <c r="FX56" s="585"/>
      <c r="FY56" s="585"/>
      <c r="FZ56" s="585"/>
      <c r="GA56" s="585"/>
      <c r="GB56" s="585"/>
      <c r="GC56" s="585"/>
      <c r="GD56" s="585"/>
      <c r="GE56" s="585"/>
      <c r="GF56" s="585"/>
      <c r="GG56" s="585"/>
      <c r="GH56" s="585"/>
      <c r="GI56" s="585"/>
      <c r="GJ56" s="585"/>
      <c r="GK56" s="585"/>
      <c r="GL56" s="585"/>
      <c r="GM56" s="585"/>
      <c r="GN56" s="585"/>
      <c r="GO56" s="585"/>
      <c r="GP56" s="585"/>
      <c r="GQ56" s="585"/>
      <c r="GR56" s="585"/>
      <c r="GS56" s="585"/>
      <c r="GT56" s="585"/>
      <c r="GU56" s="585"/>
      <c r="GV56" s="585"/>
      <c r="GW56" s="585"/>
      <c r="GX56" s="585"/>
      <c r="GY56" s="585"/>
      <c r="GZ56" s="585"/>
      <c r="HA56" s="585"/>
      <c r="HB56" s="585"/>
      <c r="HC56" s="585"/>
      <c r="HD56" s="585"/>
      <c r="HE56" s="585"/>
      <c r="HF56" s="585"/>
      <c r="HG56" s="585"/>
      <c r="HH56" s="585"/>
      <c r="HI56" s="585"/>
      <c r="HJ56" s="585"/>
    </row>
    <row r="57" spans="1:218" s="584" customFormat="1" ht="14" x14ac:dyDescent="0.15">
      <c r="A57" s="588"/>
      <c r="B57" s="619"/>
      <c r="C57" s="588"/>
      <c r="D57" s="620" t="s">
        <v>457</v>
      </c>
      <c r="E57" s="588"/>
      <c r="F57" s="588"/>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8"/>
      <c r="BA57" s="588"/>
      <c r="BB57" s="588"/>
      <c r="BC57" s="588"/>
      <c r="BD57" s="588"/>
      <c r="BE57" s="588"/>
      <c r="BF57" s="588"/>
      <c r="BG57" s="621"/>
      <c r="BH57" s="541"/>
      <c r="BI57" s="541"/>
      <c r="BJ57" s="541"/>
      <c r="BK57" s="541"/>
      <c r="BL57" s="541"/>
      <c r="BM57" s="622"/>
      <c r="BN57" s="623"/>
      <c r="BO57" s="623"/>
      <c r="BP57" s="623"/>
      <c r="BQ57" s="624"/>
      <c r="BR57" s="624"/>
      <c r="BS57" s="624"/>
      <c r="BT57" s="624"/>
      <c r="BU57" s="624"/>
      <c r="BV57" s="1395" t="str">
        <f>+IF(CB9="c","beruházási hitel","kitöltendő legördülő cella")</f>
        <v>kitöltendő legördülő cella</v>
      </c>
      <c r="BW57" s="1395"/>
      <c r="BX57" s="1395"/>
      <c r="BY57" s="1395"/>
      <c r="BZ57" s="1395"/>
      <c r="CA57" s="1395"/>
      <c r="CB57" s="1395"/>
      <c r="CC57" s="1396"/>
      <c r="CD57" s="625" t="s">
        <v>554</v>
      </c>
      <c r="CE57" s="559" t="s">
        <v>555</v>
      </c>
      <c r="CF57" s="559"/>
      <c r="CG57" s="559"/>
      <c r="CH57" s="559"/>
      <c r="CI57" s="559"/>
      <c r="CJ57" s="559"/>
      <c r="CK57" s="559"/>
      <c r="CL57" s="559"/>
      <c r="CM57" s="559"/>
      <c r="CN57" s="559"/>
      <c r="CO57" s="559"/>
      <c r="CP57" s="559"/>
      <c r="CQ57" s="559" t="s">
        <v>552</v>
      </c>
      <c r="CR57" s="559"/>
      <c r="CS57" s="559"/>
      <c r="CT57" s="559"/>
      <c r="CU57" s="559"/>
      <c r="CV57" s="559"/>
      <c r="CW57" s="554"/>
      <c r="CX57" s="541"/>
      <c r="CY57" s="541"/>
      <c r="CZ57" s="541"/>
      <c r="DA57" s="541"/>
      <c r="DB57" s="541"/>
      <c r="DC57" s="541"/>
      <c r="DD57" s="541"/>
      <c r="DE57" s="541"/>
      <c r="DF57" s="541"/>
      <c r="DG57" s="541"/>
      <c r="DH57" s="541"/>
      <c r="DI57" s="541"/>
      <c r="DJ57" s="541"/>
      <c r="DK57" s="541"/>
      <c r="DL57" s="541"/>
      <c r="DM57" s="541"/>
      <c r="DN57" s="541"/>
      <c r="DO57" s="541"/>
      <c r="DP57" s="541"/>
      <c r="DV57" s="581"/>
      <c r="DW57" s="556"/>
      <c r="DX57" s="556"/>
      <c r="DY57" s="556"/>
      <c r="DZ57" s="556"/>
      <c r="EA57" s="556"/>
      <c r="EB57" s="556"/>
      <c r="EC57" s="581"/>
      <c r="ED57" s="609"/>
      <c r="EE57" s="610"/>
      <c r="EF57" s="609"/>
      <c r="EG57" s="610"/>
      <c r="EH57" s="609"/>
      <c r="EI57" s="556"/>
      <c r="EJ57" s="611"/>
      <c r="EK57" s="612"/>
      <c r="EL57" s="546"/>
      <c r="EM57" s="546"/>
      <c r="EN57" s="546"/>
      <c r="EO57" s="546"/>
      <c r="EP57" s="585"/>
      <c r="EQ57" s="585"/>
      <c r="ER57" s="585"/>
      <c r="ES57" s="585"/>
      <c r="ET57" s="585"/>
      <c r="EU57" s="585"/>
      <c r="EV57" s="585"/>
      <c r="EW57" s="585"/>
      <c r="EX57" s="585"/>
      <c r="EY57" s="585"/>
      <c r="EZ57" s="585"/>
      <c r="FA57" s="585"/>
      <c r="FB57" s="585"/>
      <c r="FC57" s="585"/>
      <c r="FD57" s="585"/>
      <c r="FE57" s="585"/>
      <c r="FF57" s="585"/>
      <c r="FG57" s="585"/>
      <c r="FH57" s="585"/>
      <c r="FI57" s="585"/>
      <c r="FJ57" s="585"/>
      <c r="FK57" s="585"/>
      <c r="FL57" s="585"/>
      <c r="FM57" s="585"/>
      <c r="FN57" s="585"/>
      <c r="FO57" s="585"/>
      <c r="FP57" s="585"/>
      <c r="FQ57" s="585"/>
      <c r="FR57" s="585"/>
      <c r="FS57" s="585"/>
      <c r="FT57" s="585"/>
      <c r="FU57" s="585"/>
      <c r="FV57" s="585"/>
      <c r="FW57" s="585"/>
      <c r="FX57" s="585"/>
      <c r="FY57" s="585"/>
      <c r="FZ57" s="585"/>
      <c r="GA57" s="585"/>
      <c r="GB57" s="585"/>
      <c r="GC57" s="585"/>
      <c r="GD57" s="585"/>
      <c r="GE57" s="585"/>
      <c r="GF57" s="585"/>
      <c r="GG57" s="585"/>
      <c r="GH57" s="585"/>
      <c r="GI57" s="585"/>
      <c r="GJ57" s="585"/>
      <c r="GK57" s="585"/>
      <c r="GL57" s="585"/>
      <c r="GM57" s="585"/>
      <c r="GN57" s="585"/>
      <c r="GO57" s="585"/>
      <c r="GP57" s="585"/>
      <c r="GQ57" s="585"/>
      <c r="GR57" s="585"/>
      <c r="GS57" s="585"/>
      <c r="GT57" s="585"/>
      <c r="GU57" s="585"/>
      <c r="GV57" s="585"/>
      <c r="GW57" s="585"/>
      <c r="GX57" s="585"/>
      <c r="GY57" s="585"/>
      <c r="GZ57" s="585"/>
      <c r="HA57" s="585"/>
      <c r="HB57" s="585"/>
      <c r="HC57" s="585"/>
      <c r="HD57" s="585"/>
      <c r="HE57" s="585"/>
      <c r="HF57" s="585"/>
      <c r="HG57" s="585"/>
      <c r="HH57" s="585"/>
      <c r="HI57" s="585"/>
      <c r="HJ57" s="585"/>
    </row>
    <row r="58" spans="1:218" s="584" customFormat="1" ht="14" x14ac:dyDescent="0.15">
      <c r="A58" s="588"/>
      <c r="B58" s="619"/>
      <c r="C58" s="588"/>
      <c r="D58" s="620"/>
      <c r="E58" s="588"/>
      <c r="F58" s="588"/>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K58" s="588"/>
      <c r="AL58" s="588"/>
      <c r="AM58" s="588"/>
      <c r="AN58" s="588"/>
      <c r="AO58" s="588"/>
      <c r="AP58" s="588"/>
      <c r="AQ58" s="588"/>
      <c r="AR58" s="588"/>
      <c r="AS58" s="588"/>
      <c r="AT58" s="588"/>
      <c r="AU58" s="588"/>
      <c r="AV58" s="588"/>
      <c r="AW58" s="588"/>
      <c r="AX58" s="588"/>
      <c r="AY58" s="588"/>
      <c r="AZ58" s="588"/>
      <c r="BA58" s="588"/>
      <c r="BB58" s="588"/>
      <c r="BC58" s="588"/>
      <c r="BD58" s="588"/>
      <c r="BE58" s="588"/>
      <c r="BF58" s="588"/>
      <c r="BG58" s="621"/>
      <c r="BH58" s="541"/>
      <c r="BI58" s="541"/>
      <c r="BJ58" s="541"/>
      <c r="BK58" s="541"/>
      <c r="BL58" s="541"/>
      <c r="BM58" s="599"/>
      <c r="BN58" s="541"/>
      <c r="BO58" s="541"/>
      <c r="BP58" s="541"/>
      <c r="BQ58" s="566"/>
      <c r="BR58" s="566"/>
      <c r="BS58" s="566"/>
      <c r="BT58" s="566"/>
      <c r="BU58" s="626"/>
      <c r="BV58" s="1372" t="str">
        <f>+IF(OR(CB7="a",CB8="b",BU10=4,BU11=5),"beruházási hitel","")</f>
        <v/>
      </c>
      <c r="BW58" s="1372"/>
      <c r="BX58" s="1372"/>
      <c r="BY58" s="1372"/>
      <c r="BZ58" s="1372"/>
      <c r="CA58" s="1372"/>
      <c r="CB58" s="1372"/>
      <c r="CC58" s="1373"/>
      <c r="CD58" s="625">
        <v>5000000</v>
      </c>
      <c r="CE58" s="559" t="s">
        <v>553</v>
      </c>
      <c r="CF58" s="559"/>
      <c r="CG58" s="625" t="str">
        <f t="shared" ref="CG58:CH60" si="0">+CB7</f>
        <v/>
      </c>
      <c r="CH58" s="625" t="str">
        <f t="shared" si="0"/>
        <v/>
      </c>
      <c r="CI58" s="625"/>
      <c r="CJ58" s="625"/>
      <c r="CK58" s="625"/>
      <c r="CL58" s="625"/>
      <c r="CM58" s="625"/>
      <c r="CN58" s="625"/>
      <c r="CO58" s="625"/>
      <c r="CP58" s="625"/>
      <c r="CQ58" s="625" t="str">
        <f>+BU7</f>
        <v/>
      </c>
      <c r="CR58" s="559" t="str">
        <f>+BV7</f>
        <v>MFB Vállalkozásfinanszírozási Program 2020</v>
      </c>
      <c r="CS58" s="625"/>
      <c r="CT58" s="625"/>
      <c r="CU58" s="559"/>
      <c r="CV58" s="559"/>
      <c r="CW58" s="554"/>
      <c r="CX58" s="541"/>
      <c r="CY58" s="541"/>
      <c r="CZ58" s="541"/>
      <c r="DA58" s="541"/>
      <c r="DB58" s="541"/>
      <c r="DC58" s="541"/>
      <c r="DD58" s="541"/>
      <c r="DE58" s="541"/>
      <c r="DF58" s="541"/>
      <c r="DG58" s="541"/>
      <c r="DH58" s="541"/>
      <c r="DI58" s="541"/>
      <c r="DJ58" s="541"/>
      <c r="DK58" s="541"/>
      <c r="DL58" s="541"/>
      <c r="DM58" s="541"/>
      <c r="DN58" s="541"/>
      <c r="DO58" s="541"/>
      <c r="DP58" s="541"/>
      <c r="DV58" s="581"/>
      <c r="DW58" s="556"/>
      <c r="DX58" s="556"/>
      <c r="DY58" s="556"/>
      <c r="DZ58" s="556"/>
      <c r="EA58" s="556"/>
      <c r="EB58" s="556"/>
      <c r="EC58" s="581"/>
      <c r="ED58" s="609"/>
      <c r="EE58" s="610"/>
      <c r="EF58" s="609"/>
      <c r="EG58" s="610"/>
      <c r="EH58" s="609"/>
      <c r="EI58" s="556"/>
      <c r="EJ58" s="611"/>
      <c r="EK58" s="612"/>
      <c r="EL58" s="546"/>
      <c r="EM58" s="546"/>
      <c r="EN58" s="546"/>
      <c r="EO58" s="546"/>
      <c r="EP58" s="585"/>
      <c r="EQ58" s="585"/>
      <c r="ER58" s="585"/>
      <c r="ES58" s="585"/>
      <c r="ET58" s="585"/>
      <c r="EU58" s="585"/>
      <c r="EV58" s="585"/>
      <c r="EW58" s="585"/>
      <c r="EX58" s="585"/>
      <c r="EY58" s="585"/>
      <c r="EZ58" s="585"/>
      <c r="FA58" s="585"/>
      <c r="FB58" s="585"/>
      <c r="FC58" s="585"/>
      <c r="FD58" s="585"/>
      <c r="FE58" s="585"/>
      <c r="FF58" s="585"/>
      <c r="FG58" s="585"/>
      <c r="FH58" s="585"/>
      <c r="FI58" s="585"/>
      <c r="FJ58" s="585"/>
      <c r="FK58" s="585"/>
      <c r="FL58" s="585"/>
      <c r="FM58" s="585"/>
      <c r="FN58" s="585"/>
      <c r="FO58" s="585"/>
      <c r="FP58" s="585"/>
      <c r="FQ58" s="585"/>
      <c r="FR58" s="585"/>
      <c r="FS58" s="585"/>
      <c r="FT58" s="585"/>
      <c r="FU58" s="585"/>
      <c r="FV58" s="585"/>
      <c r="FW58" s="585"/>
      <c r="FX58" s="585"/>
      <c r="FY58" s="585"/>
      <c r="FZ58" s="585"/>
      <c r="GA58" s="585"/>
      <c r="GB58" s="585"/>
      <c r="GC58" s="585"/>
      <c r="GD58" s="585"/>
      <c r="GE58" s="585"/>
      <c r="GF58" s="585"/>
      <c r="GG58" s="585"/>
      <c r="GH58" s="585"/>
      <c r="GI58" s="585"/>
      <c r="GJ58" s="585"/>
      <c r="GK58" s="585"/>
      <c r="GL58" s="585"/>
      <c r="GM58" s="585"/>
      <c r="GN58" s="585"/>
      <c r="GO58" s="585"/>
      <c r="GP58" s="585"/>
      <c r="GQ58" s="585"/>
      <c r="GR58" s="585"/>
      <c r="GS58" s="585"/>
      <c r="GT58" s="585"/>
      <c r="GU58" s="585"/>
      <c r="GV58" s="585"/>
      <c r="GW58" s="585"/>
      <c r="GX58" s="585"/>
      <c r="GY58" s="585"/>
      <c r="GZ58" s="585"/>
      <c r="HA58" s="585"/>
      <c r="HB58" s="585"/>
      <c r="HC58" s="585"/>
      <c r="HD58" s="585"/>
      <c r="HE58" s="585"/>
      <c r="HF58" s="585"/>
      <c r="HG58" s="585"/>
      <c r="HH58" s="585"/>
      <c r="HI58" s="585"/>
      <c r="HJ58" s="585"/>
    </row>
    <row r="59" spans="1:218" s="541" customFormat="1" ht="15" customHeight="1" x14ac:dyDescent="0.15">
      <c r="A59" s="588"/>
      <c r="B59" s="619"/>
      <c r="C59" s="588"/>
      <c r="D59" s="588"/>
      <c r="E59" s="588"/>
      <c r="F59" s="588"/>
      <c r="G59" s="588"/>
      <c r="H59" s="588"/>
      <c r="I59" s="588"/>
      <c r="J59" s="588"/>
      <c r="K59" s="588"/>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621"/>
      <c r="BM59" s="599"/>
      <c r="BP59" s="627"/>
      <c r="BQ59" s="627"/>
      <c r="BR59" s="627"/>
      <c r="BS59" s="627"/>
      <c r="BT59" s="627"/>
      <c r="BU59" s="628"/>
      <c r="BV59" s="1372" t="str">
        <f>+IF(OR(CB8="b",BU10=4),"beruházási hitel+kapcsolódó forgóeszközhitel","")</f>
        <v/>
      </c>
      <c r="BW59" s="1372"/>
      <c r="BX59" s="1372"/>
      <c r="BY59" s="1372"/>
      <c r="BZ59" s="1372"/>
      <c r="CA59" s="1372"/>
      <c r="CB59" s="1372"/>
      <c r="CC59" s="1373"/>
      <c r="CD59" s="625">
        <v>10000000</v>
      </c>
      <c r="CE59" s="559" t="s">
        <v>556</v>
      </c>
      <c r="CF59" s="559"/>
      <c r="CG59" s="625" t="str">
        <f t="shared" si="0"/>
        <v/>
      </c>
      <c r="CH59" s="625" t="str">
        <f t="shared" si="0"/>
        <v/>
      </c>
      <c r="CI59" s="625"/>
      <c r="CJ59" s="625"/>
      <c r="CK59" s="625"/>
      <c r="CL59" s="625"/>
      <c r="CM59" s="625"/>
      <c r="CN59" s="625"/>
      <c r="CO59" s="625"/>
      <c r="CP59" s="625"/>
      <c r="CQ59" s="559"/>
      <c r="CR59" s="559"/>
      <c r="CS59" s="559"/>
      <c r="CT59" s="559"/>
      <c r="CU59" s="559"/>
      <c r="CV59" s="559"/>
      <c r="CW59" s="554"/>
      <c r="DV59" s="581"/>
      <c r="DW59" s="556"/>
      <c r="DX59" s="556"/>
      <c r="DY59" s="556"/>
      <c r="DZ59" s="556"/>
      <c r="EA59" s="556"/>
      <c r="EB59" s="556"/>
      <c r="EC59" s="581"/>
      <c r="ED59" s="610"/>
      <c r="EE59" s="610"/>
      <c r="EF59" s="610"/>
      <c r="EG59" s="610"/>
      <c r="EH59" s="610"/>
      <c r="EI59" s="610"/>
      <c r="EJ59" s="611"/>
      <c r="EK59" s="617"/>
      <c r="EL59" s="618"/>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row>
    <row r="60" spans="1:218" s="541" customFormat="1" ht="15" customHeight="1" x14ac:dyDescent="0.15">
      <c r="A60" s="588"/>
      <c r="B60" s="619"/>
      <c r="C60" s="588"/>
      <c r="D60" s="588" t="s">
        <v>392</v>
      </c>
      <c r="E60" s="588"/>
      <c r="F60" s="588"/>
      <c r="G60" s="588"/>
      <c r="H60" s="588"/>
      <c r="I60" s="588"/>
      <c r="J60" s="588"/>
      <c r="K60" s="588"/>
      <c r="L60" s="588"/>
      <c r="M60" s="588"/>
      <c r="N60" s="588"/>
      <c r="O60" s="588"/>
      <c r="P60" s="588"/>
      <c r="Q60" s="588"/>
      <c r="R60" s="588"/>
      <c r="S60" s="588"/>
      <c r="T60" s="588"/>
      <c r="U60" s="588"/>
      <c r="V60" s="588"/>
      <c r="W60" s="588"/>
      <c r="X60" s="588"/>
      <c r="Y60" s="1167" t="s">
        <v>163</v>
      </c>
      <c r="Z60" s="1167"/>
      <c r="AA60" s="1167"/>
      <c r="AB60" s="1167"/>
      <c r="AC60" s="1167"/>
      <c r="AD60" s="1167"/>
      <c r="AE60" s="1167"/>
      <c r="AF60" s="1167"/>
      <c r="AG60" s="1167"/>
      <c r="AH60" s="1167"/>
      <c r="AI60" s="1167"/>
      <c r="AJ60" s="1167"/>
      <c r="AK60" s="1167"/>
      <c r="AL60" s="1167"/>
      <c r="AM60" s="1167"/>
      <c r="AN60" s="1167"/>
      <c r="AO60" s="1167"/>
      <c r="AP60" s="1167"/>
      <c r="AQ60" s="629"/>
      <c r="AR60" s="588"/>
      <c r="AS60" s="588"/>
      <c r="AT60" s="1374" t="str">
        <f>+IF(E22="","",IF(R22="kitöltendő legördülő cella","Kérem válasszon alprogramot!",""))</f>
        <v/>
      </c>
      <c r="AU60" s="1374"/>
      <c r="AV60" s="1374"/>
      <c r="AW60" s="1374"/>
      <c r="AX60" s="1374"/>
      <c r="AY60" s="1374"/>
      <c r="AZ60" s="1374"/>
      <c r="BA60" s="1374"/>
      <c r="BB60" s="1374"/>
      <c r="BC60" s="1374"/>
      <c r="BD60" s="1374"/>
      <c r="BE60" s="1374"/>
      <c r="BF60" s="588"/>
      <c r="BG60" s="621"/>
      <c r="BM60" s="599"/>
      <c r="BP60" s="552"/>
      <c r="BQ60" s="552"/>
      <c r="BR60" s="552"/>
      <c r="BS60" s="552"/>
      <c r="BT60" s="552"/>
      <c r="BU60" s="571"/>
      <c r="BV60" s="1372" t="str">
        <f>+IF(OR(CB11="e",BU11=5),"önálló forgóeszközhitel","")</f>
        <v/>
      </c>
      <c r="BW60" s="1372"/>
      <c r="BX60" s="1372"/>
      <c r="BY60" s="1372"/>
      <c r="BZ60" s="1372"/>
      <c r="CA60" s="1372"/>
      <c r="CB60" s="1372"/>
      <c r="CC60" s="1373"/>
      <c r="CD60" s="625">
        <v>5000000</v>
      </c>
      <c r="CE60" s="559" t="s">
        <v>557</v>
      </c>
      <c r="CF60" s="559"/>
      <c r="CG60" s="625" t="str">
        <f t="shared" si="0"/>
        <v/>
      </c>
      <c r="CH60" s="625" t="str">
        <f t="shared" si="0"/>
        <v/>
      </c>
      <c r="CI60" s="625"/>
      <c r="CJ60" s="625"/>
      <c r="CK60" s="625"/>
      <c r="CL60" s="625"/>
      <c r="CM60" s="625"/>
      <c r="CN60" s="625"/>
      <c r="CO60" s="625"/>
      <c r="CP60" s="625"/>
      <c r="CQ60" s="559"/>
      <c r="CR60" s="559"/>
      <c r="CS60" s="559"/>
      <c r="CT60" s="559"/>
      <c r="CU60" s="559"/>
      <c r="CV60" s="559"/>
      <c r="CW60" s="554"/>
      <c r="DV60" s="581"/>
      <c r="DW60" s="556"/>
      <c r="DX60" s="556"/>
      <c r="DY60" s="556"/>
      <c r="DZ60" s="556"/>
      <c r="EA60" s="556"/>
      <c r="EB60" s="556"/>
      <c r="EC60" s="581"/>
      <c r="ED60" s="610"/>
      <c r="EE60" s="610"/>
      <c r="EF60" s="610"/>
      <c r="EG60" s="610"/>
      <c r="EH60" s="610"/>
      <c r="EI60" s="610"/>
      <c r="EJ60" s="611"/>
      <c r="EK60" s="617"/>
      <c r="EL60" s="618"/>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row>
    <row r="61" spans="1:218" s="541" customFormat="1" ht="15" customHeight="1" x14ac:dyDescent="0.15">
      <c r="A61" s="588"/>
      <c r="B61" s="619"/>
      <c r="C61" s="588"/>
      <c r="D61" s="588"/>
      <c r="E61" s="588"/>
      <c r="F61" s="588"/>
      <c r="G61" s="588"/>
      <c r="H61" s="588"/>
      <c r="I61" s="588"/>
      <c r="J61" s="588"/>
      <c r="K61" s="588"/>
      <c r="L61" s="588"/>
      <c r="M61" s="588"/>
      <c r="N61" s="588"/>
      <c r="O61" s="588"/>
      <c r="P61" s="588"/>
      <c r="Q61" s="588"/>
      <c r="R61" s="588"/>
      <c r="S61" s="588"/>
      <c r="T61" s="588"/>
      <c r="U61" s="588"/>
      <c r="V61" s="588"/>
      <c r="W61" s="588"/>
      <c r="X61" s="588"/>
      <c r="Y61" s="588"/>
      <c r="Z61" s="556"/>
      <c r="AA61" s="556"/>
      <c r="AB61" s="556"/>
      <c r="AC61" s="556"/>
      <c r="AD61" s="556"/>
      <c r="AE61" s="556"/>
      <c r="AF61" s="556"/>
      <c r="AG61" s="556"/>
      <c r="AH61" s="556"/>
      <c r="AI61" s="556"/>
      <c r="AJ61" s="556"/>
      <c r="AK61" s="556"/>
      <c r="AL61" s="556"/>
      <c r="AM61" s="556"/>
      <c r="AN61" s="556"/>
      <c r="AO61" s="556"/>
      <c r="AP61" s="556"/>
      <c r="AQ61" s="588"/>
      <c r="AR61" s="588"/>
      <c r="AS61" s="588"/>
      <c r="AT61" s="588"/>
      <c r="AU61" s="588"/>
      <c r="AV61" s="588"/>
      <c r="AW61" s="588"/>
      <c r="AX61" s="588"/>
      <c r="AY61" s="588"/>
      <c r="AZ61" s="588"/>
      <c r="BA61" s="588"/>
      <c r="BB61" s="588"/>
      <c r="BC61" s="588"/>
      <c r="BD61" s="588"/>
      <c r="BE61" s="588"/>
      <c r="BF61" s="588"/>
      <c r="BG61" s="621"/>
      <c r="BM61" s="599"/>
      <c r="BP61" s="552"/>
      <c r="BQ61" s="552"/>
      <c r="BR61" s="552"/>
      <c r="BS61" s="552"/>
      <c r="BT61" s="552"/>
      <c r="BU61" s="571"/>
      <c r="BV61" s="1372" t="str">
        <f>+IF(CB11="e","készletfinanszírozó hitel","")</f>
        <v/>
      </c>
      <c r="BW61" s="1372"/>
      <c r="BX61" s="1372"/>
      <c r="BY61" s="1372"/>
      <c r="BZ61" s="1372"/>
      <c r="CA61" s="1372"/>
      <c r="CB61" s="1372"/>
      <c r="CC61" s="1373"/>
      <c r="CD61" s="630"/>
      <c r="CE61" s="555"/>
      <c r="CF61" s="555"/>
      <c r="CG61" s="630"/>
      <c r="CH61" s="630"/>
      <c r="CI61" s="630"/>
      <c r="CJ61" s="630"/>
      <c r="CK61" s="630"/>
      <c r="CL61" s="630"/>
      <c r="CM61" s="630"/>
      <c r="CN61" s="630"/>
      <c r="CO61" s="630"/>
      <c r="CP61" s="630"/>
      <c r="CQ61" s="555"/>
      <c r="CR61" s="555"/>
      <c r="CS61" s="555"/>
      <c r="CT61" s="555"/>
      <c r="CU61" s="555"/>
      <c r="CV61" s="555"/>
      <c r="CW61" s="554"/>
      <c r="DV61" s="581"/>
      <c r="DW61" s="556"/>
      <c r="DX61" s="556"/>
      <c r="DY61" s="556"/>
      <c r="DZ61" s="556"/>
      <c r="EA61" s="556"/>
      <c r="EB61" s="556"/>
      <c r="EC61" s="581"/>
      <c r="ED61" s="610"/>
      <c r="EE61" s="610"/>
      <c r="EF61" s="610"/>
      <c r="EG61" s="610"/>
      <c r="EH61" s="610"/>
      <c r="EI61" s="610"/>
      <c r="EJ61" s="611"/>
      <c r="EK61" s="617"/>
      <c r="EL61" s="618"/>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row>
    <row r="62" spans="1:218" s="541" customFormat="1" ht="15" customHeight="1" x14ac:dyDescent="0.15">
      <c r="A62" s="588"/>
      <c r="B62" s="619"/>
      <c r="C62" s="588"/>
      <c r="D62" s="588" t="s">
        <v>561</v>
      </c>
      <c r="E62" s="588"/>
      <c r="F62" s="588"/>
      <c r="G62" s="588"/>
      <c r="H62" s="588"/>
      <c r="I62" s="588"/>
      <c r="J62" s="588"/>
      <c r="K62" s="588"/>
      <c r="L62" s="588"/>
      <c r="M62" s="588"/>
      <c r="N62" s="588"/>
      <c r="O62" s="588"/>
      <c r="P62" s="588"/>
      <c r="Q62" s="588"/>
      <c r="R62" s="588"/>
      <c r="S62" s="588"/>
      <c r="T62" s="588"/>
      <c r="U62" s="588"/>
      <c r="V62" s="588"/>
      <c r="W62" s="588"/>
      <c r="X62" s="588"/>
      <c r="Y62" s="588"/>
      <c r="Z62" s="1168"/>
      <c r="AA62" s="1168"/>
      <c r="AB62" s="1168"/>
      <c r="AC62" s="1168"/>
      <c r="AD62" s="1168"/>
      <c r="AE62" s="1168"/>
      <c r="AF62" s="1168"/>
      <c r="AG62" s="1168"/>
      <c r="AH62" s="1168"/>
      <c r="AI62" s="1168"/>
      <c r="AJ62" s="1168"/>
      <c r="AK62" s="1168"/>
      <c r="AL62" s="1168"/>
      <c r="AM62" s="1168"/>
      <c r="AN62" s="1168"/>
      <c r="AO62" s="1168"/>
      <c r="AP62" s="556"/>
      <c r="AQ62" s="588"/>
      <c r="AR62" s="588"/>
      <c r="AS62" s="588"/>
      <c r="AT62" s="588"/>
      <c r="AU62" s="588"/>
      <c r="AV62" s="588"/>
      <c r="AW62" s="588"/>
      <c r="AX62" s="588"/>
      <c r="AY62" s="588"/>
      <c r="AZ62" s="588"/>
      <c r="BA62" s="588"/>
      <c r="BB62" s="588"/>
      <c r="BC62" s="588"/>
      <c r="BD62" s="588"/>
      <c r="BE62" s="588"/>
      <c r="BF62" s="588"/>
      <c r="BG62" s="621"/>
      <c r="BM62" s="599"/>
      <c r="BR62" s="566"/>
      <c r="BS62" s="566"/>
      <c r="BT62" s="566"/>
      <c r="BU62" s="626"/>
      <c r="BV62" s="1372" t="str">
        <f>+IF(OR(CB7="a",BU8=2,BU9=3),"éven túli beruházási célú zárt végű pénzügyi lízing","")</f>
        <v/>
      </c>
      <c r="BW62" s="1372"/>
      <c r="BX62" s="1372"/>
      <c r="BY62" s="1372"/>
      <c r="BZ62" s="1372"/>
      <c r="CA62" s="1372"/>
      <c r="CB62" s="1372"/>
      <c r="CC62" s="1373"/>
      <c r="CD62" s="630"/>
      <c r="CE62" s="555"/>
      <c r="CF62" s="555"/>
      <c r="CG62" s="630"/>
      <c r="CH62" s="630"/>
      <c r="CI62" s="630"/>
      <c r="CJ62" s="630"/>
      <c r="CK62" s="630"/>
      <c r="CL62" s="630"/>
      <c r="CM62" s="630"/>
      <c r="CN62" s="630"/>
      <c r="CO62" s="630"/>
      <c r="CP62" s="630"/>
      <c r="CQ62" s="555"/>
      <c r="CR62" s="555"/>
      <c r="CS62" s="555"/>
      <c r="CT62" s="555"/>
      <c r="CU62" s="555"/>
      <c r="CV62" s="555"/>
      <c r="CW62" s="554"/>
      <c r="DV62" s="581"/>
      <c r="DW62" s="556"/>
      <c r="DX62" s="556"/>
      <c r="DY62" s="556"/>
      <c r="DZ62" s="556"/>
      <c r="EA62" s="556"/>
      <c r="EB62" s="556"/>
      <c r="EC62" s="581"/>
      <c r="ED62" s="610"/>
      <c r="EE62" s="610"/>
      <c r="EF62" s="610"/>
      <c r="EG62" s="610"/>
      <c r="EH62" s="610"/>
      <c r="EI62" s="610"/>
      <c r="EJ62" s="611"/>
      <c r="EK62" s="617"/>
      <c r="EL62" s="618"/>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row>
    <row r="63" spans="1:218" s="541" customFormat="1" ht="15" customHeight="1" x14ac:dyDescent="0.15">
      <c r="A63" s="588"/>
      <c r="B63" s="619"/>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56"/>
      <c r="AA63" s="556"/>
      <c r="AB63" s="556"/>
      <c r="AC63" s="556"/>
      <c r="AD63" s="556"/>
      <c r="AE63" s="556"/>
      <c r="AF63" s="556"/>
      <c r="AG63" s="556"/>
      <c r="AH63" s="556"/>
      <c r="AI63" s="556"/>
      <c r="AJ63" s="556"/>
      <c r="AK63" s="556"/>
      <c r="AL63" s="556"/>
      <c r="AM63" s="556"/>
      <c r="AN63" s="556"/>
      <c r="AO63" s="556"/>
      <c r="AP63" s="556"/>
      <c r="AQ63" s="588"/>
      <c r="AR63" s="588"/>
      <c r="AS63" s="588"/>
      <c r="AT63" s="588"/>
      <c r="AU63" s="588"/>
      <c r="AV63" s="588"/>
      <c r="AW63" s="588"/>
      <c r="AX63" s="588"/>
      <c r="AY63" s="588"/>
      <c r="AZ63" s="588"/>
      <c r="BA63" s="588"/>
      <c r="BB63" s="588"/>
      <c r="BC63" s="588"/>
      <c r="BD63" s="588"/>
      <c r="BE63" s="588"/>
      <c r="BF63" s="588"/>
      <c r="BG63" s="621"/>
      <c r="BM63" s="599"/>
      <c r="BP63" s="627"/>
      <c r="BQ63" s="627"/>
      <c r="BR63" s="627"/>
      <c r="BS63" s="627"/>
      <c r="BT63" s="627"/>
      <c r="BU63" s="628"/>
      <c r="BV63" s="1397" t="str">
        <f>+IF(BU8=2,"éven túli beruházási célú zárt végű pénzügyi lízing (technikai visszlízing)","")</f>
        <v/>
      </c>
      <c r="BW63" s="1397"/>
      <c r="BX63" s="1397"/>
      <c r="BY63" s="1397"/>
      <c r="BZ63" s="1397"/>
      <c r="CA63" s="1397"/>
      <c r="CB63" s="1397"/>
      <c r="CC63" s="1398"/>
      <c r="CD63" s="630"/>
      <c r="CE63" s="555"/>
      <c r="CF63" s="555"/>
      <c r="CG63" s="630"/>
      <c r="CH63" s="630"/>
      <c r="CI63" s="630"/>
      <c r="CJ63" s="630"/>
      <c r="CK63" s="630"/>
      <c r="CL63" s="630"/>
      <c r="CM63" s="630"/>
      <c r="CN63" s="630"/>
      <c r="CO63" s="630"/>
      <c r="CP63" s="630"/>
      <c r="CQ63" s="555"/>
      <c r="CR63" s="555"/>
      <c r="CS63" s="555"/>
      <c r="CT63" s="555"/>
      <c r="CU63" s="555"/>
      <c r="CV63" s="555"/>
      <c r="CW63" s="554"/>
      <c r="DV63" s="581"/>
      <c r="DW63" s="556"/>
      <c r="DX63" s="556"/>
      <c r="DY63" s="556"/>
      <c r="DZ63" s="556"/>
      <c r="EA63" s="556"/>
      <c r="EB63" s="556"/>
      <c r="EC63" s="581"/>
      <c r="ED63" s="610"/>
      <c r="EE63" s="610"/>
      <c r="EF63" s="610"/>
      <c r="EG63" s="610"/>
      <c r="EH63" s="610"/>
      <c r="EI63" s="610"/>
      <c r="EJ63" s="611"/>
      <c r="EK63" s="617"/>
      <c r="EL63" s="618"/>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row>
    <row r="64" spans="1:218" s="541" customFormat="1" ht="15" customHeight="1" x14ac:dyDescent="0.15">
      <c r="A64" s="588"/>
      <c r="B64" s="619"/>
      <c r="C64" s="588"/>
      <c r="D64" s="588" t="s">
        <v>293</v>
      </c>
      <c r="E64" s="588"/>
      <c r="F64" s="588"/>
      <c r="G64" s="588"/>
      <c r="H64" s="588"/>
      <c r="I64" s="588"/>
      <c r="J64" s="588"/>
      <c r="K64" s="588"/>
      <c r="L64" s="588"/>
      <c r="M64" s="588"/>
      <c r="N64" s="588"/>
      <c r="O64" s="588"/>
      <c r="P64" s="588"/>
      <c r="Q64" s="588"/>
      <c r="R64" s="588"/>
      <c r="S64" s="588"/>
      <c r="T64" s="588"/>
      <c r="U64" s="588"/>
      <c r="V64" s="588"/>
      <c r="W64" s="588"/>
      <c r="X64" s="588"/>
      <c r="Y64" s="588"/>
      <c r="Z64" s="1355"/>
      <c r="AA64" s="1355"/>
      <c r="AB64" s="1355"/>
      <c r="AC64" s="1355"/>
      <c r="AD64" s="1355"/>
      <c r="AE64" s="1355"/>
      <c r="AF64" s="1355"/>
      <c r="AG64" s="1355"/>
      <c r="AH64" s="1355"/>
      <c r="AI64" s="1355"/>
      <c r="AJ64" s="1355"/>
      <c r="AK64" s="1355"/>
      <c r="AL64" s="1355"/>
      <c r="AM64" s="1355"/>
      <c r="AN64" s="1355"/>
      <c r="AO64" s="1355"/>
      <c r="AP64" s="556"/>
      <c r="AQ64" s="588"/>
      <c r="AR64" s="588"/>
      <c r="AS64" s="588"/>
      <c r="AT64" s="588"/>
      <c r="AU64" s="588"/>
      <c r="AV64" s="588"/>
      <c r="AW64" s="588"/>
      <c r="AX64" s="588"/>
      <c r="AY64" s="588"/>
      <c r="AZ64" s="588"/>
      <c r="BA64" s="588"/>
      <c r="BB64" s="588"/>
      <c r="BC64" s="588"/>
      <c r="BD64" s="588"/>
      <c r="BE64" s="588"/>
      <c r="BF64" s="588"/>
      <c r="BG64" s="631"/>
      <c r="BM64" s="599"/>
      <c r="BP64" s="552"/>
      <c r="BQ64" s="552"/>
      <c r="BR64" s="552"/>
      <c r="BS64" s="552"/>
      <c r="BT64" s="552"/>
      <c r="BU64" s="571"/>
      <c r="BV64" s="1372" t="str">
        <f>+IF(OR(BU8=2,BU9=3),"éven túli beruházási célú eszköz alapú kölcsön","")</f>
        <v/>
      </c>
      <c r="BW64" s="1372"/>
      <c r="BX64" s="1372"/>
      <c r="BY64" s="1372"/>
      <c r="BZ64" s="1372"/>
      <c r="CA64" s="1372"/>
      <c r="CB64" s="1372"/>
      <c r="CC64" s="1373"/>
      <c r="CD64" s="625">
        <v>10000000</v>
      </c>
      <c r="CE64" s="559" t="s">
        <v>559</v>
      </c>
      <c r="CF64" s="559"/>
      <c r="CG64" s="625"/>
      <c r="CH64" s="625"/>
      <c r="CI64" s="625"/>
      <c r="CJ64" s="625"/>
      <c r="CK64" s="625"/>
      <c r="CL64" s="625"/>
      <c r="CM64" s="625"/>
      <c r="CN64" s="625"/>
      <c r="CO64" s="625"/>
      <c r="CP64" s="625"/>
      <c r="CQ64" s="625" t="str">
        <f t="shared" ref="CQ64:CR67" si="1">+BU8</f>
        <v/>
      </c>
      <c r="CR64" s="559" t="str">
        <f t="shared" si="1"/>
        <v>MFB Lízing Refinanszírozási Program</v>
      </c>
      <c r="CS64" s="625"/>
      <c r="CT64" s="625"/>
      <c r="CU64" s="559"/>
      <c r="CV64" s="559"/>
      <c r="CW64" s="554"/>
      <c r="DV64" s="581"/>
      <c r="DW64" s="556"/>
      <c r="DX64" s="556"/>
      <c r="DY64" s="556"/>
      <c r="DZ64" s="556"/>
      <c r="EA64" s="556"/>
      <c r="EB64" s="556"/>
      <c r="EC64" s="581"/>
      <c r="ED64" s="610"/>
      <c r="EE64" s="610"/>
      <c r="EF64" s="610"/>
      <c r="EG64" s="610"/>
      <c r="EH64" s="610"/>
      <c r="EI64" s="610"/>
      <c r="EJ64" s="611"/>
      <c r="EK64" s="617"/>
      <c r="EL64" s="618"/>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row>
    <row r="65" spans="1:218" s="541" customFormat="1" ht="15" customHeight="1" x14ac:dyDescent="0.15">
      <c r="A65" s="588"/>
      <c r="B65" s="619"/>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602"/>
      <c r="AA65" s="602"/>
      <c r="AB65" s="602"/>
      <c r="AC65" s="602"/>
      <c r="AD65" s="602"/>
      <c r="AE65" s="602"/>
      <c r="AF65" s="602"/>
      <c r="AG65" s="602"/>
      <c r="AH65" s="556"/>
      <c r="AI65" s="602"/>
      <c r="AJ65" s="602"/>
      <c r="AK65" s="556"/>
      <c r="AL65" s="602"/>
      <c r="AM65" s="602"/>
      <c r="AN65" s="602"/>
      <c r="AO65" s="602"/>
      <c r="AP65" s="556"/>
      <c r="AQ65" s="632"/>
      <c r="AR65" s="588"/>
      <c r="AS65" s="588"/>
      <c r="AT65" s="588"/>
      <c r="AU65" s="588"/>
      <c r="AV65" s="588"/>
      <c r="AW65" s="588"/>
      <c r="AX65" s="588"/>
      <c r="AY65" s="588"/>
      <c r="AZ65" s="588"/>
      <c r="BA65" s="588"/>
      <c r="BB65" s="588"/>
      <c r="BC65" s="588"/>
      <c r="BD65" s="588"/>
      <c r="BE65" s="588"/>
      <c r="BF65" s="588"/>
      <c r="BG65" s="621"/>
      <c r="BM65" s="599"/>
      <c r="BO65" s="546"/>
      <c r="BP65" s="546"/>
      <c r="BQ65" s="626"/>
      <c r="BR65" s="626"/>
      <c r="BS65" s="626"/>
      <c r="BT65" s="626"/>
      <c r="BU65" s="626"/>
      <c r="BV65" s="1372" t="str">
        <f>+IF(BU10=4,"ingatlan célú éven túli forgóeszközhitel","")</f>
        <v/>
      </c>
      <c r="BW65" s="1372"/>
      <c r="BX65" s="1372"/>
      <c r="BY65" s="1372"/>
      <c r="BZ65" s="1372"/>
      <c r="CA65" s="1372"/>
      <c r="CB65" s="1372"/>
      <c r="CC65" s="1373"/>
      <c r="CD65" s="633" t="s">
        <v>560</v>
      </c>
      <c r="CE65" s="559" t="s">
        <v>558</v>
      </c>
      <c r="CF65" s="559"/>
      <c r="CG65" s="625"/>
      <c r="CH65" s="625"/>
      <c r="CI65" s="625"/>
      <c r="CJ65" s="625"/>
      <c r="CK65" s="625"/>
      <c r="CL65" s="625"/>
      <c r="CM65" s="625"/>
      <c r="CN65" s="625"/>
      <c r="CO65" s="625"/>
      <c r="CP65" s="625"/>
      <c r="CQ65" s="625" t="str">
        <f t="shared" si="1"/>
        <v/>
      </c>
      <c r="CR65" s="559" t="str">
        <f t="shared" si="1"/>
        <v>MFB NHP Fix Lízing Refinanszírozási Program</v>
      </c>
      <c r="CS65" s="625"/>
      <c r="CT65" s="625"/>
      <c r="CU65" s="559"/>
      <c r="CV65" s="559"/>
      <c r="CW65" s="554"/>
      <c r="DV65" s="581"/>
      <c r="DW65" s="556"/>
      <c r="DX65" s="556"/>
      <c r="DY65" s="556"/>
      <c r="DZ65" s="556"/>
      <c r="EA65" s="556"/>
      <c r="EB65" s="556"/>
      <c r="EC65" s="581"/>
      <c r="ED65" s="610"/>
      <c r="EE65" s="610"/>
      <c r="EF65" s="610"/>
      <c r="EG65" s="610"/>
      <c r="EH65" s="610"/>
      <c r="EI65" s="610"/>
      <c r="EJ65" s="611"/>
      <c r="EK65" s="617"/>
      <c r="EL65" s="618"/>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row>
    <row r="66" spans="1:218" s="541" customFormat="1" ht="15" customHeight="1" x14ac:dyDescent="0.15">
      <c r="A66" s="588"/>
      <c r="B66" s="619"/>
      <c r="C66" s="588"/>
      <c r="D66" s="550" t="s">
        <v>294</v>
      </c>
      <c r="E66" s="590"/>
      <c r="F66" s="588"/>
      <c r="G66" s="588"/>
      <c r="H66" s="588"/>
      <c r="I66" s="588"/>
      <c r="J66" s="588"/>
      <c r="K66" s="588"/>
      <c r="L66" s="588"/>
      <c r="M66" s="588"/>
      <c r="N66" s="588"/>
      <c r="O66" s="588"/>
      <c r="P66" s="588"/>
      <c r="Q66" s="588"/>
      <c r="R66" s="588"/>
      <c r="S66" s="588"/>
      <c r="T66" s="588"/>
      <c r="U66" s="588"/>
      <c r="V66" s="588"/>
      <c r="W66" s="588"/>
      <c r="X66" s="588"/>
      <c r="Y66" s="588"/>
      <c r="Z66" s="1244"/>
      <c r="AA66" s="1244"/>
      <c r="AB66" s="1244"/>
      <c r="AC66" s="1244"/>
      <c r="AD66" s="1244"/>
      <c r="AE66" s="1244"/>
      <c r="AF66" s="1244"/>
      <c r="AG66" s="1244"/>
      <c r="AH66" s="1244"/>
      <c r="AI66" s="1244"/>
      <c r="AJ66" s="1244"/>
      <c r="AK66" s="1244"/>
      <c r="AL66" s="1244"/>
      <c r="AM66" s="1244"/>
      <c r="AN66" s="1244"/>
      <c r="AO66" s="1244"/>
      <c r="AP66" s="632"/>
      <c r="AQ66" s="632"/>
      <c r="AR66" s="632"/>
      <c r="AS66" s="632"/>
      <c r="AT66" s="632"/>
      <c r="AU66" s="632"/>
      <c r="AV66" s="632"/>
      <c r="AW66" s="632"/>
      <c r="AX66" s="632"/>
      <c r="AY66" s="632"/>
      <c r="AZ66" s="588"/>
      <c r="BA66" s="588"/>
      <c r="BB66" s="588"/>
      <c r="BC66" s="588"/>
      <c r="BD66" s="588"/>
      <c r="BE66" s="588"/>
      <c r="BF66" s="588"/>
      <c r="BG66" s="621"/>
      <c r="BM66" s="599"/>
      <c r="BO66" s="546"/>
      <c r="BP66" s="546"/>
      <c r="BQ66" s="626"/>
      <c r="BR66" s="626"/>
      <c r="BS66" s="626"/>
      <c r="BT66" s="626"/>
      <c r="BU66" s="626"/>
      <c r="BV66" s="1372" t="str">
        <f>+IF(BU10=4,"ingatlan célú éven belüli forgóeszközhitel","")</f>
        <v/>
      </c>
      <c r="BW66" s="1372"/>
      <c r="BX66" s="1372"/>
      <c r="BY66" s="1372"/>
      <c r="BZ66" s="1372"/>
      <c r="CA66" s="1372"/>
      <c r="CB66" s="1372"/>
      <c r="CC66" s="1373"/>
      <c r="CD66" s="625">
        <v>1000000</v>
      </c>
      <c r="CE66" s="625" t="str">
        <f>+IF(HetelTipusa="kitöltendő legördülő cella","",IF(HetelTipusa="egyéb önálló forgóeszközhitel",50000000,100000000))</f>
        <v/>
      </c>
      <c r="CF66" s="559"/>
      <c r="CG66" s="625"/>
      <c r="CH66" s="625"/>
      <c r="CI66" s="625"/>
      <c r="CJ66" s="625"/>
      <c r="CK66" s="625"/>
      <c r="CL66" s="625"/>
      <c r="CM66" s="625"/>
      <c r="CN66" s="625"/>
      <c r="CO66" s="625"/>
      <c r="CP66" s="625"/>
      <c r="CQ66" s="625" t="str">
        <f t="shared" si="1"/>
        <v/>
      </c>
      <c r="CR66" s="559" t="str">
        <f t="shared" si="1"/>
        <v>MFB Gazdaság Újjáépítési Hitel Program</v>
      </c>
      <c r="CS66" s="625"/>
      <c r="CT66" s="625"/>
      <c r="CU66" s="559"/>
      <c r="CV66" s="559"/>
      <c r="CW66" s="554"/>
      <c r="DV66" s="581"/>
      <c r="DW66" s="556"/>
      <c r="DX66" s="556"/>
      <c r="DY66" s="556"/>
      <c r="DZ66" s="556"/>
      <c r="EA66" s="556"/>
      <c r="EB66" s="556"/>
      <c r="EC66" s="581"/>
      <c r="ED66" s="610"/>
      <c r="EE66" s="610"/>
      <c r="EF66" s="610"/>
      <c r="EG66" s="610"/>
      <c r="EH66" s="610"/>
      <c r="EI66" s="610"/>
      <c r="EJ66" s="611"/>
      <c r="EK66" s="617"/>
      <c r="EL66" s="618"/>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row>
    <row r="67" spans="1:218" s="541" customFormat="1" ht="14" x14ac:dyDescent="0.15">
      <c r="A67" s="588"/>
      <c r="B67" s="619"/>
      <c r="C67" s="588"/>
      <c r="D67" s="588"/>
      <c r="E67" s="588"/>
      <c r="F67" s="588"/>
      <c r="G67" s="588"/>
      <c r="H67" s="588"/>
      <c r="I67" s="588"/>
      <c r="J67" s="588"/>
      <c r="K67" s="588"/>
      <c r="L67" s="588"/>
      <c r="M67" s="588"/>
      <c r="N67" s="588"/>
      <c r="O67" s="588"/>
      <c r="P67" s="588"/>
      <c r="Q67" s="588"/>
      <c r="R67" s="588"/>
      <c r="S67" s="588"/>
      <c r="T67" s="588"/>
      <c r="U67" s="588"/>
      <c r="AJ67" s="588"/>
      <c r="AK67" s="588"/>
      <c r="AL67" s="588"/>
      <c r="AM67" s="588"/>
      <c r="AN67" s="588"/>
      <c r="AO67" s="588"/>
      <c r="AP67" s="588"/>
      <c r="AQ67" s="588"/>
      <c r="AR67" s="634"/>
      <c r="AS67" s="634"/>
      <c r="AT67" s="634"/>
      <c r="AU67" s="634"/>
      <c r="AV67" s="634"/>
      <c r="AW67" s="634"/>
      <c r="AX67" s="634"/>
      <c r="AY67" s="634"/>
      <c r="AZ67" s="634"/>
      <c r="BA67" s="634"/>
      <c r="BB67" s="634"/>
      <c r="BC67" s="634"/>
      <c r="BD67" s="634"/>
      <c r="BE67" s="634"/>
      <c r="BF67" s="634"/>
      <c r="BG67" s="635"/>
      <c r="BM67" s="599"/>
      <c r="BO67" s="546"/>
      <c r="BP67" s="546"/>
      <c r="BQ67" s="626"/>
      <c r="BR67" s="626"/>
      <c r="BS67" s="626"/>
      <c r="BT67" s="626"/>
      <c r="BU67" s="626"/>
      <c r="BV67" s="1372" t="str">
        <f>+IF(BU10=4,"egyéb önálló forgóeszközhitel","")</f>
        <v/>
      </c>
      <c r="BW67" s="1372"/>
      <c r="BX67" s="1372"/>
      <c r="BY67" s="1372"/>
      <c r="BZ67" s="1372"/>
      <c r="CA67" s="1372"/>
      <c r="CB67" s="1372"/>
      <c r="CC67" s="1373"/>
      <c r="CD67" s="630">
        <v>1000000</v>
      </c>
      <c r="CE67" s="555" t="s">
        <v>1087</v>
      </c>
      <c r="CF67" s="555"/>
      <c r="CG67" s="630"/>
      <c r="CH67" s="630"/>
      <c r="CI67" s="630"/>
      <c r="CJ67" s="630"/>
      <c r="CK67" s="630"/>
      <c r="CL67" s="630"/>
      <c r="CM67" s="630"/>
      <c r="CN67" s="630"/>
      <c r="CO67" s="630"/>
      <c r="CP67" s="630"/>
      <c r="CQ67" s="630" t="str">
        <f>+BU11</f>
        <v/>
      </c>
      <c r="CR67" s="559" t="str">
        <f t="shared" si="1"/>
        <v>MFB Régió Versenyképességi Pénzügyi Vállalkozás Refinanszírozási Program</v>
      </c>
      <c r="CS67" s="630"/>
      <c r="CT67" s="630"/>
      <c r="CU67" s="555"/>
      <c r="CV67" s="555"/>
      <c r="CW67" s="554"/>
      <c r="DV67" s="581"/>
      <c r="DW67" s="556"/>
      <c r="DX67" s="556"/>
      <c r="DY67" s="556"/>
      <c r="DZ67" s="556"/>
      <c r="EA67" s="556"/>
      <c r="EB67" s="556"/>
      <c r="EC67" s="581"/>
      <c r="ED67" s="610"/>
      <c r="EE67" s="610"/>
      <c r="EF67" s="610"/>
      <c r="EG67" s="610"/>
      <c r="EH67" s="610"/>
      <c r="EI67" s="610"/>
      <c r="EJ67" s="611"/>
      <c r="EK67" s="617"/>
      <c r="EL67" s="618"/>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row>
    <row r="68" spans="1:218" s="541" customFormat="1" ht="14" x14ac:dyDescent="0.15">
      <c r="A68" s="588"/>
      <c r="B68" s="619"/>
      <c r="C68" s="588"/>
      <c r="D68" s="588" t="str">
        <f>+IF(OR(BU10=4,BU11=5),"Szerződés szerinti devizanem","Szerződés szerinti finanszírozott összeg és devizanem")</f>
        <v>Szerződés szerinti finanszírozott összeg és devizanem</v>
      </c>
      <c r="E68" s="588"/>
      <c r="F68" s="588"/>
      <c r="G68" s="588"/>
      <c r="H68" s="588"/>
      <c r="I68" s="588"/>
      <c r="J68" s="588"/>
      <c r="K68" s="588"/>
      <c r="L68" s="588"/>
      <c r="M68" s="588"/>
      <c r="N68" s="588"/>
      <c r="O68" s="588"/>
      <c r="P68" s="588"/>
      <c r="Q68" s="588"/>
      <c r="R68" s="588"/>
      <c r="S68" s="588"/>
      <c r="T68" s="588"/>
      <c r="U68" s="588"/>
      <c r="Z68" s="1356"/>
      <c r="AA68" s="1356"/>
      <c r="AB68" s="1356"/>
      <c r="AC68" s="1356"/>
      <c r="AD68" s="1356"/>
      <c r="AE68" s="1356"/>
      <c r="AF68" s="1356"/>
      <c r="AG68" s="1356"/>
      <c r="AH68" s="1356"/>
      <c r="AI68" s="1356"/>
      <c r="AJ68" s="1356"/>
      <c r="AK68" s="1356"/>
      <c r="AL68" s="1356"/>
      <c r="AM68" s="1356"/>
      <c r="AN68" s="1356"/>
      <c r="AO68" s="1356"/>
      <c r="AP68" s="588"/>
      <c r="AQ68" s="636" t="s">
        <v>380</v>
      </c>
      <c r="AR68" s="637"/>
      <c r="AS68" s="1025" t="s">
        <v>1057</v>
      </c>
      <c r="AT68" s="637"/>
      <c r="AU68" s="637"/>
      <c r="AV68" s="637"/>
      <c r="AW68" s="637"/>
      <c r="AX68" s="637"/>
      <c r="AY68" s="637"/>
      <c r="AZ68" s="637"/>
      <c r="BA68" s="637"/>
      <c r="BB68" s="637"/>
      <c r="BC68" s="637"/>
      <c r="BD68" s="637"/>
      <c r="BE68" s="1034"/>
      <c r="BF68" s="637"/>
      <c r="BG68" s="638"/>
      <c r="BM68" s="599"/>
      <c r="BN68" s="580"/>
      <c r="BO68" s="546"/>
      <c r="BP68" s="546"/>
      <c r="BQ68" s="626"/>
      <c r="BR68" s="626"/>
      <c r="BS68" s="626"/>
      <c r="BT68" s="626"/>
      <c r="BU68" s="626"/>
      <c r="BV68" s="1200" t="str">
        <f>+IF(BU11=5,"akvizíciós hitel","")</f>
        <v/>
      </c>
      <c r="BW68" s="1200"/>
      <c r="BX68" s="1200"/>
      <c r="BY68" s="1200"/>
      <c r="BZ68" s="1200"/>
      <c r="CA68" s="1200"/>
      <c r="CB68" s="1200"/>
      <c r="CC68" s="1201"/>
      <c r="CD68" s="555"/>
      <c r="CE68" s="555"/>
      <c r="CF68" s="555"/>
      <c r="CG68" s="630"/>
      <c r="CH68" s="630"/>
      <c r="CI68" s="630"/>
      <c r="CJ68" s="630"/>
      <c r="CK68" s="630"/>
      <c r="CL68" s="630"/>
      <c r="CM68" s="630"/>
      <c r="CN68" s="630"/>
      <c r="CO68" s="630"/>
      <c r="CP68" s="630"/>
      <c r="CQ68" s="630"/>
      <c r="CR68" s="630"/>
      <c r="CS68" s="630"/>
      <c r="CT68" s="630"/>
      <c r="CU68" s="555"/>
      <c r="CV68" s="555"/>
      <c r="CW68" s="554"/>
      <c r="DV68" s="581"/>
      <c r="DW68" s="556"/>
      <c r="DX68" s="556"/>
      <c r="DY68" s="556"/>
      <c r="DZ68" s="556"/>
      <c r="EA68" s="556"/>
      <c r="EB68" s="556"/>
      <c r="EC68" s="581"/>
      <c r="ED68" s="610"/>
      <c r="EE68" s="610"/>
      <c r="EF68" s="610"/>
      <c r="EG68" s="610"/>
      <c r="EH68" s="610"/>
      <c r="EI68" s="610"/>
      <c r="EJ68" s="611"/>
      <c r="EK68" s="617"/>
      <c r="EL68" s="618"/>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row>
    <row r="69" spans="1:218" s="541" customFormat="1" ht="14" x14ac:dyDescent="0.15">
      <c r="A69" s="588"/>
      <c r="B69" s="619"/>
      <c r="C69" s="588"/>
      <c r="D69" s="588"/>
      <c r="E69" s="588"/>
      <c r="F69" s="588"/>
      <c r="G69" s="588"/>
      <c r="H69" s="588"/>
      <c r="I69" s="588"/>
      <c r="J69" s="588"/>
      <c r="K69" s="588"/>
      <c r="L69" s="588"/>
      <c r="M69" s="588"/>
      <c r="N69" s="588"/>
      <c r="O69" s="588"/>
      <c r="P69" s="588"/>
      <c r="Q69" s="588"/>
      <c r="R69" s="588"/>
      <c r="S69" s="588"/>
      <c r="T69" s="588"/>
      <c r="U69" s="588"/>
      <c r="AJ69" s="588"/>
      <c r="AK69" s="588"/>
      <c r="AL69" s="588"/>
      <c r="AM69" s="588"/>
      <c r="AN69" s="588"/>
      <c r="AO69" s="588"/>
      <c r="AP69" s="588"/>
      <c r="AQ69" s="641" t="str">
        <f>IF(AQ68="legördülő cella","Válassza ki a devizanemet!","")</f>
        <v>Válassza ki a devizanemet!</v>
      </c>
      <c r="AR69" s="637"/>
      <c r="AS69" s="1025" t="s">
        <v>1058</v>
      </c>
      <c r="AT69" s="637"/>
      <c r="AU69" s="637"/>
      <c r="AV69" s="637"/>
      <c r="AW69" s="637"/>
      <c r="AX69" s="637"/>
      <c r="AY69" s="637"/>
      <c r="AZ69" s="637"/>
      <c r="BA69" s="637"/>
      <c r="BB69" s="637"/>
      <c r="BC69" s="637"/>
      <c r="BD69" s="637"/>
      <c r="BE69" s="1035"/>
      <c r="BF69" s="637"/>
      <c r="BG69" s="638"/>
      <c r="BM69" s="599"/>
      <c r="BN69" s="546"/>
      <c r="BO69" s="546"/>
      <c r="BP69" s="546"/>
      <c r="BQ69" s="626"/>
      <c r="BR69" s="626"/>
      <c r="BS69" s="626"/>
      <c r="BT69" s="626"/>
      <c r="BU69" s="626"/>
      <c r="BV69" s="1372" t="str">
        <f>+IF(BU10=4,"likvidítási hitel","")</f>
        <v/>
      </c>
      <c r="BW69" s="1372"/>
      <c r="BX69" s="1372"/>
      <c r="BY69" s="1372"/>
      <c r="BZ69" s="1372"/>
      <c r="CA69" s="1372"/>
      <c r="CB69" s="1372"/>
      <c r="CC69" s="1373"/>
      <c r="CD69" s="630"/>
      <c r="CE69" s="555"/>
      <c r="CF69" s="555"/>
      <c r="CG69" s="630"/>
      <c r="CH69" s="630"/>
      <c r="CI69" s="630"/>
      <c r="CJ69" s="630"/>
      <c r="CK69" s="630"/>
      <c r="CL69" s="630"/>
      <c r="CM69" s="630"/>
      <c r="CN69" s="630"/>
      <c r="CO69" s="630"/>
      <c r="CP69" s="630"/>
      <c r="CQ69" s="630"/>
      <c r="CR69" s="630"/>
      <c r="CS69" s="630"/>
      <c r="CT69" s="630"/>
      <c r="CU69" s="555"/>
      <c r="CV69" s="555"/>
      <c r="CW69" s="554"/>
      <c r="DV69" s="581"/>
      <c r="DW69" s="556"/>
      <c r="DX69" s="556"/>
      <c r="DY69" s="556"/>
      <c r="DZ69" s="556"/>
      <c r="EA69" s="556"/>
      <c r="EB69" s="556"/>
      <c r="EC69" s="581"/>
      <c r="ED69" s="610"/>
      <c r="EE69" s="610"/>
      <c r="EF69" s="610"/>
      <c r="EG69" s="610"/>
      <c r="EH69" s="610"/>
      <c r="EI69" s="610"/>
      <c r="EJ69" s="611"/>
      <c r="EK69" s="617"/>
      <c r="EL69" s="618"/>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row>
    <row r="70" spans="1:218" s="541" customFormat="1" ht="14" x14ac:dyDescent="0.15">
      <c r="A70" s="588"/>
      <c r="B70" s="619"/>
      <c r="C70" s="588"/>
      <c r="D70" s="588" t="s">
        <v>1056</v>
      </c>
      <c r="E70" s="588"/>
      <c r="F70" s="588"/>
      <c r="G70" s="588"/>
      <c r="H70" s="588"/>
      <c r="I70" s="588"/>
      <c r="J70" s="588"/>
      <c r="K70" s="588"/>
      <c r="L70" s="588"/>
      <c r="M70" s="588"/>
      <c r="N70" s="588"/>
      <c r="O70" s="588"/>
      <c r="P70" s="588"/>
      <c r="Q70" s="588"/>
      <c r="R70" s="588"/>
      <c r="S70" s="588"/>
      <c r="T70" s="588"/>
      <c r="U70" s="588"/>
      <c r="Z70" s="1378" t="str">
        <f>+IF(Z68="","",Z68*IF(AQ68="HUF",1,BE68))</f>
        <v/>
      </c>
      <c r="AA70" s="1378"/>
      <c r="AB70" s="1378"/>
      <c r="AC70" s="1378"/>
      <c r="AD70" s="1378"/>
      <c r="AE70" s="1378"/>
      <c r="AF70" s="1378"/>
      <c r="AG70" s="1378"/>
      <c r="AH70" s="1378"/>
      <c r="AI70" s="1378"/>
      <c r="AJ70" s="1378"/>
      <c r="AK70" s="1378"/>
      <c r="AL70" s="1378"/>
      <c r="AM70" s="1378"/>
      <c r="AN70" s="1378"/>
      <c r="AO70" s="1378"/>
      <c r="AP70" s="588"/>
      <c r="AQ70" s="641"/>
      <c r="AR70" s="1024"/>
      <c r="AS70" s="1025" t="s">
        <v>1059</v>
      </c>
      <c r="AT70" s="1024"/>
      <c r="AU70" s="1024"/>
      <c r="AV70" s="1024"/>
      <c r="AW70" s="1024"/>
      <c r="AX70" s="1024"/>
      <c r="AY70" s="1024"/>
      <c r="AZ70" s="1024"/>
      <c r="BA70" s="1024"/>
      <c r="BB70" s="1024"/>
      <c r="BC70" s="1024"/>
      <c r="BD70" s="1024"/>
      <c r="BE70" s="1036"/>
      <c r="BF70" s="1024"/>
      <c r="BG70" s="638"/>
      <c r="BM70" s="599"/>
      <c r="BN70" s="546"/>
      <c r="BO70" s="546"/>
      <c r="BP70" s="546"/>
      <c r="BQ70" s="626"/>
      <c r="BR70" s="626"/>
      <c r="BS70" s="626"/>
      <c r="BT70" s="626"/>
      <c r="BU70" s="626"/>
      <c r="BV70" s="639"/>
      <c r="BW70" s="639"/>
      <c r="BX70" s="639"/>
      <c r="BY70" s="639"/>
      <c r="BZ70" s="639"/>
      <c r="CA70" s="639"/>
      <c r="CB70" s="639"/>
      <c r="CC70" s="640"/>
      <c r="CD70" s="630"/>
      <c r="CE70" s="555"/>
      <c r="CF70" s="555"/>
      <c r="CG70" s="630"/>
      <c r="CH70" s="630"/>
      <c r="CI70" s="630"/>
      <c r="CJ70" s="630"/>
      <c r="CK70" s="630"/>
      <c r="CL70" s="630"/>
      <c r="CM70" s="630"/>
      <c r="CN70" s="630"/>
      <c r="CO70" s="630"/>
      <c r="CP70" s="630"/>
      <c r="CQ70" s="630"/>
      <c r="CR70" s="630"/>
      <c r="CS70" s="630"/>
      <c r="CT70" s="630"/>
      <c r="CU70" s="555"/>
      <c r="CV70" s="555"/>
      <c r="CW70" s="554"/>
      <c r="DV70" s="581"/>
      <c r="DW70" s="556"/>
      <c r="DX70" s="556"/>
      <c r="DY70" s="556"/>
      <c r="DZ70" s="556"/>
      <c r="EA70" s="556"/>
      <c r="EB70" s="556"/>
      <c r="EC70" s="581"/>
      <c r="ED70" s="610"/>
      <c r="EE70" s="610"/>
      <c r="EF70" s="610"/>
      <c r="EG70" s="610"/>
      <c r="EH70" s="610"/>
      <c r="EI70" s="610"/>
      <c r="EJ70" s="611"/>
      <c r="EK70" s="617"/>
      <c r="EL70" s="618"/>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row>
    <row r="71" spans="1:218" s="541" customFormat="1" ht="14" x14ac:dyDescent="0.15">
      <c r="A71" s="588"/>
      <c r="B71" s="619"/>
      <c r="C71" s="588"/>
      <c r="D71" s="588"/>
      <c r="E71" s="588"/>
      <c r="F71" s="588"/>
      <c r="G71" s="588"/>
      <c r="H71" s="588"/>
      <c r="I71" s="588"/>
      <c r="J71" s="588"/>
      <c r="K71" s="588"/>
      <c r="L71" s="588"/>
      <c r="M71" s="588"/>
      <c r="N71" s="588"/>
      <c r="O71" s="588"/>
      <c r="P71" s="588"/>
      <c r="Q71" s="588"/>
      <c r="R71" s="588"/>
      <c r="S71" s="588"/>
      <c r="T71" s="588"/>
      <c r="U71" s="588"/>
      <c r="AJ71" s="588"/>
      <c r="AK71" s="588"/>
      <c r="AL71" s="588"/>
      <c r="AM71" s="588"/>
      <c r="AN71" s="588"/>
      <c r="AO71" s="588"/>
      <c r="AP71" s="588"/>
      <c r="AQ71" s="641"/>
      <c r="AR71" s="1024"/>
      <c r="AS71" s="1024"/>
      <c r="AT71" s="1024"/>
      <c r="AU71" s="1024"/>
      <c r="AV71" s="1024"/>
      <c r="AW71" s="1024"/>
      <c r="AX71" s="1024"/>
      <c r="AY71" s="1024"/>
      <c r="AZ71" s="1024"/>
      <c r="BA71" s="1024"/>
      <c r="BB71" s="1024"/>
      <c r="BC71" s="1024"/>
      <c r="BD71" s="1024"/>
      <c r="BE71" s="1024"/>
      <c r="BF71" s="1024"/>
      <c r="BG71" s="638"/>
      <c r="BM71" s="599"/>
      <c r="BN71" s="546"/>
      <c r="BO71" s="546"/>
      <c r="BP71" s="546"/>
      <c r="BQ71" s="626"/>
      <c r="BR71" s="626"/>
      <c r="BS71" s="626"/>
      <c r="BT71" s="626"/>
      <c r="BU71" s="626"/>
      <c r="BV71" s="639"/>
      <c r="BW71" s="639"/>
      <c r="BX71" s="639"/>
      <c r="BY71" s="639"/>
      <c r="BZ71" s="639"/>
      <c r="CA71" s="639"/>
      <c r="CB71" s="639"/>
      <c r="CC71" s="640"/>
      <c r="CD71" s="630"/>
      <c r="CE71" s="555"/>
      <c r="CF71" s="555"/>
      <c r="CG71" s="630"/>
      <c r="CH71" s="630"/>
      <c r="CI71" s="630"/>
      <c r="CJ71" s="630"/>
      <c r="CK71" s="630"/>
      <c r="CL71" s="630"/>
      <c r="CM71" s="630"/>
      <c r="CN71" s="630"/>
      <c r="CO71" s="630"/>
      <c r="CP71" s="630"/>
      <c r="CQ71" s="630"/>
      <c r="CR71" s="630"/>
      <c r="CS71" s="630"/>
      <c r="CT71" s="630"/>
      <c r="CU71" s="555"/>
      <c r="CV71" s="555"/>
      <c r="CW71" s="554"/>
      <c r="DV71" s="581"/>
      <c r="DW71" s="556"/>
      <c r="DX71" s="556"/>
      <c r="DY71" s="556"/>
      <c r="DZ71" s="556"/>
      <c r="EA71" s="556"/>
      <c r="EB71" s="556"/>
      <c r="EC71" s="581"/>
      <c r="ED71" s="610"/>
      <c r="EE71" s="610"/>
      <c r="EF71" s="610"/>
      <c r="EG71" s="610"/>
      <c r="EH71" s="610"/>
      <c r="EI71" s="610"/>
      <c r="EJ71" s="611"/>
      <c r="EK71" s="617"/>
      <c r="EL71" s="618"/>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row>
    <row r="72" spans="1:218" s="541" customFormat="1" ht="27.75" customHeight="1" x14ac:dyDescent="0.15">
      <c r="A72" s="588"/>
      <c r="B72" s="619"/>
      <c r="C72" s="588"/>
      <c r="D72" s="545" t="s">
        <v>404</v>
      </c>
      <c r="E72" s="545"/>
      <c r="F72" s="545"/>
      <c r="G72" s="545"/>
      <c r="H72" s="545"/>
      <c r="I72" s="545"/>
      <c r="J72" s="545"/>
      <c r="K72" s="545"/>
      <c r="L72" s="545"/>
      <c r="M72" s="545"/>
      <c r="N72" s="545"/>
      <c r="O72" s="545"/>
      <c r="P72" s="545"/>
      <c r="Q72" s="545"/>
      <c r="R72" s="545"/>
      <c r="S72" s="642"/>
      <c r="T72" s="643"/>
      <c r="U72" s="643"/>
      <c r="V72" s="643"/>
      <c r="W72" s="643"/>
      <c r="X72" s="643"/>
      <c r="Y72" s="643"/>
      <c r="Z72" s="1356"/>
      <c r="AA72" s="1356"/>
      <c r="AB72" s="1356"/>
      <c r="AC72" s="1356"/>
      <c r="AD72" s="1356"/>
      <c r="AE72" s="1356"/>
      <c r="AF72" s="1356"/>
      <c r="AG72" s="1356"/>
      <c r="AH72" s="1356"/>
      <c r="AI72" s="1356"/>
      <c r="AJ72" s="1356"/>
      <c r="AK72" s="1356"/>
      <c r="AL72" s="1356"/>
      <c r="AM72" s="1356"/>
      <c r="AN72" s="1356"/>
      <c r="AO72" s="1356"/>
      <c r="AP72" s="545"/>
      <c r="AQ72" s="935" t="str">
        <f>+IF(AQ68="legördülő cella","",AQ68)</f>
        <v/>
      </c>
      <c r="AY72" s="644"/>
      <c r="AZ72" s="644"/>
      <c r="BA72" s="1370" t="str">
        <f>+IF(CD76="","",IF(CD76&lt;CD75,"Refinanszírozási összeg túl kevés!",""))</f>
        <v/>
      </c>
      <c r="BB72" s="1370"/>
      <c r="BC72" s="1370"/>
      <c r="BD72" s="1370"/>
      <c r="BE72" s="1370"/>
      <c r="BF72" s="1370"/>
      <c r="BG72" s="1371"/>
      <c r="BM72" s="599"/>
      <c r="BN72" s="546"/>
      <c r="BU72" s="546"/>
      <c r="BV72" s="639"/>
      <c r="BW72" s="639"/>
      <c r="BX72" s="639"/>
      <c r="BY72" s="639"/>
      <c r="BZ72" s="639"/>
      <c r="CA72" s="639"/>
      <c r="CB72" s="639"/>
      <c r="CC72" s="640"/>
      <c r="CD72" s="555"/>
      <c r="CE72" s="555"/>
      <c r="CF72" s="555"/>
      <c r="CG72" s="630"/>
      <c r="CH72" s="630"/>
      <c r="CI72" s="630"/>
      <c r="CJ72" s="630"/>
      <c r="CK72" s="630"/>
      <c r="CL72" s="630"/>
      <c r="CM72" s="630"/>
      <c r="CN72" s="630"/>
      <c r="CO72" s="630"/>
      <c r="CP72" s="630"/>
      <c r="CQ72" s="555"/>
      <c r="CR72" s="555"/>
      <c r="CS72" s="555"/>
      <c r="CT72" s="555"/>
      <c r="CU72" s="555"/>
      <c r="CV72" s="555"/>
      <c r="CW72" s="554"/>
      <c r="DV72" s="581"/>
      <c r="DW72" s="556"/>
      <c r="DX72" s="556"/>
      <c r="DY72" s="556"/>
      <c r="DZ72" s="556"/>
      <c r="EA72" s="556"/>
      <c r="EB72" s="556"/>
      <c r="EC72" s="581"/>
      <c r="ED72" s="610"/>
      <c r="EE72" s="610"/>
      <c r="EF72" s="610"/>
      <c r="EG72" s="610"/>
      <c r="EH72" s="610"/>
      <c r="EI72" s="610"/>
      <c r="EJ72" s="611"/>
      <c r="EK72" s="617"/>
      <c r="EL72" s="618"/>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row>
    <row r="73" spans="1:218" s="541" customFormat="1" ht="15" customHeight="1" x14ac:dyDescent="0.15">
      <c r="A73" s="588"/>
      <c r="B73" s="619"/>
      <c r="C73" s="588"/>
      <c r="D73" s="588"/>
      <c r="E73" s="588"/>
      <c r="F73" s="588"/>
      <c r="G73" s="588"/>
      <c r="H73" s="588"/>
      <c r="I73" s="588"/>
      <c r="J73" s="588"/>
      <c r="K73" s="588"/>
      <c r="L73" s="588"/>
      <c r="M73" s="588"/>
      <c r="N73" s="588"/>
      <c r="O73" s="588"/>
      <c r="P73" s="588"/>
      <c r="Q73" s="588"/>
      <c r="R73" s="588"/>
      <c r="S73" s="645"/>
      <c r="T73" s="645"/>
      <c r="U73" s="645"/>
      <c r="V73" s="645"/>
      <c r="W73" s="645"/>
      <c r="X73" s="645"/>
      <c r="BA73" s="1375" t="str">
        <f>+IF(CD76="","",IF(CD76&gt;CE75,"Refinanszírozási összeg túl sok!",""))</f>
        <v/>
      </c>
      <c r="BB73" s="1375"/>
      <c r="BC73" s="1375"/>
      <c r="BD73" s="1375"/>
      <c r="BE73" s="1375"/>
      <c r="BF73" s="1375"/>
      <c r="BG73" s="1376"/>
      <c r="BM73" s="599"/>
      <c r="BN73" s="546"/>
      <c r="BU73" s="546"/>
      <c r="BV73" s="639"/>
      <c r="BW73" s="639"/>
      <c r="BX73" s="639"/>
      <c r="BY73" s="639"/>
      <c r="BZ73" s="639"/>
      <c r="CA73" s="639"/>
      <c r="CB73" s="639"/>
      <c r="CC73" s="640"/>
      <c r="CD73" s="555"/>
      <c r="CE73" s="555"/>
      <c r="CF73" s="555"/>
      <c r="CG73" s="630"/>
      <c r="CH73" s="630"/>
      <c r="CI73" s="630"/>
      <c r="CJ73" s="630"/>
      <c r="CK73" s="630"/>
      <c r="CL73" s="630"/>
      <c r="CM73" s="630"/>
      <c r="CN73" s="630"/>
      <c r="CO73" s="630"/>
      <c r="CP73" s="630"/>
      <c r="CQ73" s="555"/>
      <c r="CR73" s="555"/>
      <c r="CS73" s="555"/>
      <c r="CT73" s="555"/>
      <c r="CU73" s="555"/>
      <c r="CV73" s="555"/>
      <c r="CW73" s="554"/>
      <c r="DV73" s="581"/>
      <c r="DW73" s="556"/>
      <c r="DX73" s="556"/>
      <c r="DY73" s="556"/>
      <c r="DZ73" s="556"/>
      <c r="EA73" s="556"/>
      <c r="EB73" s="556"/>
      <c r="EC73" s="581"/>
      <c r="ED73" s="610"/>
      <c r="EE73" s="610"/>
      <c r="EF73" s="610"/>
      <c r="EG73" s="610"/>
      <c r="EH73" s="610"/>
      <c r="EI73" s="610"/>
      <c r="EJ73" s="611"/>
      <c r="EK73" s="617"/>
      <c r="EL73" s="618"/>
      <c r="EM73" s="546"/>
      <c r="EN73" s="546"/>
      <c r="EO73" s="546"/>
      <c r="EP73" s="546"/>
      <c r="EQ73" s="546"/>
      <c r="ER73" s="546"/>
      <c r="ES73" s="546"/>
      <c r="ET73" s="546"/>
      <c r="EU73" s="546"/>
      <c r="EV73" s="546"/>
      <c r="EW73" s="546"/>
      <c r="EX73" s="546"/>
      <c r="EY73" s="546"/>
      <c r="EZ73" s="546"/>
      <c r="FA73" s="546"/>
      <c r="FB73" s="546"/>
      <c r="FC73" s="546"/>
      <c r="FD73" s="546"/>
      <c r="FE73" s="546"/>
      <c r="FF73" s="546"/>
      <c r="FG73" s="546"/>
      <c r="FH73" s="546"/>
      <c r="FI73" s="546"/>
      <c r="FJ73" s="546"/>
      <c r="FK73" s="546"/>
      <c r="FL73" s="546"/>
      <c r="FM73" s="546"/>
      <c r="FN73" s="546"/>
      <c r="FO73" s="546"/>
      <c r="FP73" s="546"/>
      <c r="FQ73" s="546"/>
      <c r="FR73" s="546"/>
      <c r="FS73" s="546"/>
      <c r="FT73" s="546"/>
      <c r="FU73" s="546"/>
      <c r="FV73" s="546"/>
      <c r="FW73" s="546"/>
      <c r="FX73" s="546"/>
      <c r="FY73" s="546"/>
      <c r="FZ73" s="546"/>
      <c r="GA73" s="546"/>
      <c r="GB73" s="546"/>
      <c r="GC73" s="546"/>
      <c r="GD73" s="546"/>
      <c r="GE73" s="546"/>
      <c r="GF73" s="546"/>
      <c r="GG73" s="546"/>
      <c r="GH73" s="546"/>
      <c r="GI73" s="546"/>
      <c r="GJ73" s="546"/>
      <c r="GK73" s="546"/>
      <c r="GL73" s="546"/>
      <c r="GM73" s="546"/>
      <c r="GN73" s="546"/>
      <c r="GO73" s="546"/>
      <c r="GP73" s="546"/>
      <c r="GQ73" s="546"/>
      <c r="GR73" s="546"/>
      <c r="GS73" s="546"/>
      <c r="GT73" s="546"/>
      <c r="GU73" s="546"/>
      <c r="GV73" s="546"/>
      <c r="GW73" s="546"/>
      <c r="GX73" s="546"/>
      <c r="GY73" s="546"/>
      <c r="GZ73" s="546"/>
      <c r="HA73" s="546"/>
      <c r="HB73" s="546"/>
      <c r="HC73" s="546"/>
      <c r="HD73" s="546"/>
      <c r="HE73" s="546"/>
      <c r="HF73" s="546"/>
      <c r="HG73" s="546"/>
      <c r="HH73" s="546"/>
      <c r="HI73" s="546"/>
      <c r="HJ73" s="546"/>
    </row>
    <row r="74" spans="1:218" s="541" customFormat="1" ht="14" x14ac:dyDescent="0.15">
      <c r="A74" s="588"/>
      <c r="B74" s="619"/>
      <c r="C74" s="588"/>
      <c r="D74" s="588" t="str">
        <f>IF(BU10&lt;&gt;4,"","Kamatozás típusa")</f>
        <v/>
      </c>
      <c r="E74" s="588"/>
      <c r="F74" s="588"/>
      <c r="G74" s="588"/>
      <c r="H74" s="588"/>
      <c r="I74" s="588"/>
      <c r="J74" s="588"/>
      <c r="K74" s="588"/>
      <c r="L74" s="588"/>
      <c r="M74" s="588"/>
      <c r="N74" s="588"/>
      <c r="O74" s="588"/>
      <c r="P74" s="588"/>
      <c r="Q74" s="588"/>
      <c r="R74" s="588"/>
      <c r="S74" s="645"/>
      <c r="T74" s="645"/>
      <c r="U74" s="645"/>
      <c r="V74" s="645"/>
      <c r="W74" s="645"/>
      <c r="X74" s="645"/>
      <c r="Z74" s="1281" t="s">
        <v>505</v>
      </c>
      <c r="AA74" s="1281"/>
      <c r="AB74" s="1281"/>
      <c r="AC74" s="1281"/>
      <c r="AD74" s="1281"/>
      <c r="AE74" s="1281"/>
      <c r="AF74" s="1281"/>
      <c r="AG74" s="1281"/>
      <c r="AH74" s="1281"/>
      <c r="AI74" s="1281"/>
      <c r="AJ74" s="1281"/>
      <c r="AK74" s="1281"/>
      <c r="AL74" s="1281"/>
      <c r="AM74" s="1281"/>
      <c r="AN74" s="1281"/>
      <c r="AO74" s="1281"/>
      <c r="BA74" s="1103"/>
      <c r="BB74" s="1103"/>
      <c r="BC74" s="1103"/>
      <c r="BD74" s="1103"/>
      <c r="BE74" s="1103"/>
      <c r="BF74" s="1103"/>
      <c r="BG74" s="1104"/>
      <c r="BM74" s="599"/>
      <c r="BN74" s="546"/>
      <c r="BU74" s="546"/>
      <c r="BV74" s="639"/>
      <c r="BW74" s="639"/>
      <c r="BX74" s="639"/>
      <c r="BY74" s="639"/>
      <c r="BZ74" s="639"/>
      <c r="CA74" s="639"/>
      <c r="CB74" s="639"/>
      <c r="CC74" s="640"/>
      <c r="CD74" s="555"/>
      <c r="CE74" s="555"/>
      <c r="CF74" s="555"/>
      <c r="CG74" s="630"/>
      <c r="CH74" s="630"/>
      <c r="CI74" s="630"/>
      <c r="CJ74" s="630"/>
      <c r="CK74" s="630"/>
      <c r="CL74" s="630"/>
      <c r="CM74" s="630"/>
      <c r="CN74" s="630"/>
      <c r="CO74" s="630"/>
      <c r="CP74" s="630"/>
      <c r="CQ74" s="555"/>
      <c r="CR74" s="555"/>
      <c r="CS74" s="555"/>
      <c r="CT74" s="555"/>
      <c r="CU74" s="555"/>
      <c r="CV74" s="555"/>
      <c r="CW74" s="554"/>
      <c r="DV74" s="647"/>
      <c r="DW74" s="647"/>
      <c r="DX74" s="647"/>
      <c r="DY74" s="647"/>
      <c r="DZ74" s="647"/>
      <c r="EA74" s="647"/>
      <c r="EB74" s="647"/>
      <c r="EC74" s="647"/>
      <c r="ED74" s="647"/>
      <c r="EE74" s="647"/>
      <c r="EF74" s="647"/>
      <c r="EG74" s="647"/>
      <c r="EH74" s="647"/>
      <c r="EI74" s="647"/>
      <c r="EJ74" s="648"/>
      <c r="EK74" s="648"/>
      <c r="EL74" s="648"/>
      <c r="EM74" s="648"/>
      <c r="EN74" s="649"/>
      <c r="EO74" s="649"/>
      <c r="EP74" s="546"/>
      <c r="EQ74" s="546"/>
      <c r="ER74" s="546"/>
      <c r="ES74" s="546"/>
      <c r="ET74" s="546"/>
      <c r="EU74" s="546"/>
      <c r="EV74" s="546"/>
      <c r="EW74" s="546"/>
      <c r="EX74" s="546"/>
      <c r="EY74" s="546"/>
      <c r="EZ74" s="546"/>
      <c r="FA74" s="546"/>
      <c r="FB74" s="546"/>
      <c r="FC74" s="546"/>
      <c r="FD74" s="546"/>
      <c r="FE74" s="546"/>
      <c r="FF74" s="546"/>
      <c r="FG74" s="546"/>
      <c r="FH74" s="546"/>
      <c r="FI74" s="546"/>
      <c r="FJ74" s="546"/>
      <c r="FK74" s="546"/>
      <c r="FL74" s="546"/>
      <c r="FM74" s="546"/>
      <c r="FN74" s="546"/>
      <c r="FO74" s="546"/>
      <c r="FP74" s="546"/>
      <c r="FQ74" s="546"/>
      <c r="FR74" s="546"/>
      <c r="FS74" s="546"/>
      <c r="FT74" s="546"/>
      <c r="FU74" s="546"/>
      <c r="FV74" s="546"/>
      <c r="FW74" s="546"/>
      <c r="FX74" s="546"/>
      <c r="FY74" s="546"/>
      <c r="FZ74" s="546"/>
      <c r="GA74" s="546"/>
      <c r="GB74" s="546"/>
      <c r="GC74" s="546"/>
      <c r="GD74" s="546"/>
      <c r="GE74" s="546"/>
      <c r="GF74" s="546"/>
      <c r="GG74" s="546"/>
      <c r="GH74" s="546"/>
      <c r="GI74" s="546"/>
      <c r="GJ74" s="546"/>
      <c r="GK74" s="546"/>
      <c r="GL74" s="546"/>
      <c r="GM74" s="546"/>
      <c r="GN74" s="546"/>
      <c r="GO74" s="546"/>
      <c r="GP74" s="546"/>
      <c r="GQ74" s="546"/>
      <c r="GR74" s="546"/>
      <c r="GS74" s="546"/>
      <c r="GT74" s="546"/>
      <c r="GU74" s="546"/>
      <c r="GV74" s="546"/>
      <c r="GW74" s="546"/>
      <c r="GX74" s="546"/>
      <c r="GY74" s="546"/>
      <c r="GZ74" s="546"/>
      <c r="HA74" s="546"/>
      <c r="HB74" s="546"/>
      <c r="HC74" s="546"/>
      <c r="HD74" s="546"/>
      <c r="HE74" s="546"/>
      <c r="HF74" s="546"/>
      <c r="HG74" s="546"/>
      <c r="HH74" s="546"/>
      <c r="HI74" s="546"/>
      <c r="HJ74" s="546"/>
    </row>
    <row r="75" spans="1:218" s="541" customFormat="1" ht="14" x14ac:dyDescent="0.15">
      <c r="A75" s="550"/>
      <c r="B75" s="619"/>
      <c r="C75" s="588"/>
      <c r="D75" s="588"/>
      <c r="E75" s="588"/>
      <c r="F75" s="588"/>
      <c r="G75" s="588"/>
      <c r="H75" s="588"/>
      <c r="I75" s="588"/>
      <c r="J75" s="588"/>
      <c r="K75" s="588"/>
      <c r="L75" s="588"/>
      <c r="M75" s="588"/>
      <c r="N75" s="588"/>
      <c r="O75" s="588"/>
      <c r="P75" s="588"/>
      <c r="Q75" s="588"/>
      <c r="R75" s="588"/>
      <c r="S75" s="645"/>
      <c r="T75" s="645"/>
      <c r="U75" s="645"/>
      <c r="V75" s="645"/>
      <c r="W75" s="645"/>
      <c r="X75" s="645"/>
      <c r="BA75" s="1103"/>
      <c r="BB75" s="1103"/>
      <c r="BC75" s="1103"/>
      <c r="BD75" s="1103"/>
      <c r="BE75" s="1103"/>
      <c r="BF75" s="1103"/>
      <c r="BG75" s="1104"/>
      <c r="BM75" s="599"/>
      <c r="BN75" s="546"/>
      <c r="BO75" s="546"/>
      <c r="BP75" s="651"/>
      <c r="BU75" s="626"/>
      <c r="BV75" s="639"/>
      <c r="BW75" s="639"/>
      <c r="BX75" s="639"/>
      <c r="BY75" s="639"/>
      <c r="BZ75" s="639"/>
      <c r="CA75" s="639"/>
      <c r="CB75" s="639"/>
      <c r="CC75" s="640"/>
      <c r="CD75" s="652" t="str">
        <f>+IF(AND(CQ58=1,CG58="a"),CD58,IF(AND(CQ58=1,CG59="b"),CD59,IF(AND(CQ58=1,CG60="c"),CD60,IF(CQ64=2,CD64,IF(CQ65=3,CD65,IF(CQ66=4,CD66,IF(CQ67=5,CD67,"")))))))</f>
        <v/>
      </c>
      <c r="CE75" s="653" t="str">
        <f>+IF(AND(CQ58=1,CG58="a"),CE58,IF(AND(CQ58=1,CG59="b"),CE59,IF(AND(CQ58=1,CG60="c"),CE60,IF(CQ64=2,CE64,IF(CQ65=3,CE65,IF(CQ66=4,CE66,IF(CQ67=5,CE67,"")))))))</f>
        <v/>
      </c>
      <c r="CW75" s="554"/>
      <c r="DV75" s="654"/>
      <c r="DW75" s="583"/>
      <c r="DX75" s="583"/>
      <c r="DY75" s="583"/>
      <c r="DZ75" s="583"/>
      <c r="EA75" s="583"/>
      <c r="EB75" s="655"/>
      <c r="EC75" s="583"/>
      <c r="ED75" s="583"/>
      <c r="EE75" s="583"/>
      <c r="EF75" s="583"/>
      <c r="EG75" s="583"/>
      <c r="EH75" s="583"/>
      <c r="EI75" s="583"/>
      <c r="EJ75" s="656"/>
      <c r="EK75" s="656"/>
      <c r="EL75" s="656"/>
      <c r="EM75" s="656"/>
      <c r="EN75" s="656"/>
      <c r="EO75" s="656"/>
      <c r="EP75" s="546"/>
      <c r="EQ75" s="546"/>
      <c r="ER75" s="546"/>
      <c r="ES75" s="546"/>
      <c r="ET75" s="546"/>
      <c r="EU75" s="546"/>
      <c r="EV75" s="546"/>
      <c r="EW75" s="546"/>
      <c r="EX75" s="546"/>
      <c r="EY75" s="546"/>
      <c r="EZ75" s="546"/>
      <c r="FA75" s="546"/>
      <c r="FB75" s="546"/>
      <c r="FC75" s="546"/>
      <c r="FD75" s="546"/>
      <c r="FE75" s="546"/>
      <c r="FF75" s="546"/>
      <c r="FG75" s="546"/>
      <c r="FH75" s="546"/>
      <c r="FI75" s="546"/>
      <c r="FJ75" s="546"/>
      <c r="FK75" s="546"/>
      <c r="FL75" s="546"/>
      <c r="FM75" s="546"/>
      <c r="FN75" s="546"/>
      <c r="FO75" s="546"/>
      <c r="FP75" s="546"/>
      <c r="FQ75" s="546"/>
      <c r="FR75" s="546"/>
      <c r="FS75" s="546"/>
      <c r="FT75" s="546"/>
      <c r="FU75" s="546"/>
      <c r="FV75" s="546"/>
      <c r="FW75" s="546"/>
      <c r="FX75" s="546"/>
      <c r="FY75" s="546"/>
      <c r="FZ75" s="546"/>
      <c r="GA75" s="546"/>
      <c r="GB75" s="546"/>
      <c r="GC75" s="546"/>
      <c r="GD75" s="546"/>
      <c r="GE75" s="546"/>
      <c r="GF75" s="546"/>
      <c r="GG75" s="546"/>
      <c r="GH75" s="546"/>
      <c r="GI75" s="546"/>
      <c r="GJ75" s="546"/>
      <c r="GK75" s="546"/>
      <c r="GL75" s="546"/>
      <c r="GM75" s="546"/>
      <c r="GN75" s="546"/>
      <c r="GO75" s="546"/>
      <c r="GP75" s="546"/>
      <c r="GQ75" s="546"/>
      <c r="GR75" s="546"/>
      <c r="GS75" s="546"/>
      <c r="GT75" s="546"/>
      <c r="GU75" s="546"/>
      <c r="GV75" s="546"/>
      <c r="GW75" s="546"/>
      <c r="GX75" s="546"/>
      <c r="GY75" s="546"/>
      <c r="GZ75" s="546"/>
      <c r="HA75" s="546"/>
      <c r="HB75" s="546"/>
      <c r="HC75" s="546"/>
      <c r="HD75" s="546"/>
      <c r="HE75" s="546"/>
      <c r="HF75" s="546"/>
      <c r="HG75" s="546"/>
      <c r="HH75" s="546"/>
      <c r="HI75" s="546"/>
      <c r="HJ75" s="546"/>
    </row>
    <row r="76" spans="1:218" s="541" customFormat="1" ht="15" thickBot="1" x14ac:dyDescent="0.2">
      <c r="A76" s="550"/>
      <c r="B76" s="619"/>
      <c r="C76" s="588"/>
      <c r="D76" s="588" t="s">
        <v>998</v>
      </c>
      <c r="E76" s="588"/>
      <c r="F76" s="588"/>
      <c r="G76" s="588"/>
      <c r="H76" s="588"/>
      <c r="I76" s="588"/>
      <c r="J76" s="588"/>
      <c r="K76" s="588"/>
      <c r="L76" s="588"/>
      <c r="M76" s="588"/>
      <c r="N76" s="588"/>
      <c r="O76" s="588"/>
      <c r="P76" s="588"/>
      <c r="Q76" s="588"/>
      <c r="S76" s="936" t="str">
        <f>+IF(OR(R20="MFB NHP Fix Lízing Refinanszírozási Program",kamatozastipusa="fix"),"",IF(AND(devizanem="HUF",kamatfelartip="változó",BU10=4),"3 havi BUBOR",IF(AND(devizanem="HUF",kamatfelartip="változó"),"3 havi EURIBOR",IF(AND(devizanem="HUF",kamatfelartip="fix"),"3 havi BUBOR",IF(AND(devizanem="EUR",kamatfelartip="fix"),"3 havi EURIBOR","Válasszon devizanemet/felárat!")))))</f>
        <v>Válasszon devizanemet/felárat!</v>
      </c>
      <c r="U76" s="646"/>
      <c r="W76" s="646"/>
      <c r="X76" s="645"/>
      <c r="Y76" s="566" t="str">
        <f>IF(kamatozastipusa="fix","","=")</f>
        <v>=</v>
      </c>
      <c r="Z76" s="1391" t="str">
        <f>IF(S76="3 havi BUBOR","0,76%",IF(S76="3 havi EURIBOR",-0.494%,"0"))</f>
        <v>0</v>
      </c>
      <c r="AA76" s="1391"/>
      <c r="AB76" s="1391"/>
      <c r="AC76" s="1391"/>
      <c r="AD76" s="1391"/>
      <c r="AE76" s="1391"/>
      <c r="AF76" s="1391"/>
      <c r="AG76" s="1391"/>
      <c r="AH76" s="1391"/>
      <c r="AI76" s="1391"/>
      <c r="AJ76" s="1391"/>
      <c r="AK76" s="1391"/>
      <c r="AL76" s="1391"/>
      <c r="AM76" s="1391"/>
      <c r="AN76" s="1391"/>
      <c r="AO76" s="1391"/>
      <c r="AQ76" s="229" t="str">
        <f>IF(AND(devizanem="HUF",kamatozastipusa="változó"),"Link","")</f>
        <v/>
      </c>
      <c r="AR76" s="215" t="str">
        <f>IF(devizanem="EUR","Link","")</f>
        <v/>
      </c>
      <c r="AS76" s="215"/>
      <c r="AT76" s="215"/>
      <c r="AU76" s="215"/>
      <c r="AV76" s="215"/>
      <c r="AW76" s="215"/>
      <c r="AX76" s="215"/>
      <c r="AY76" s="215"/>
      <c r="AZ76" s="215"/>
      <c r="BA76" s="215"/>
      <c r="BB76" s="215"/>
      <c r="BG76" s="621"/>
      <c r="BM76" s="661"/>
      <c r="BN76" s="662"/>
      <c r="BO76" s="662"/>
      <c r="BP76" s="663"/>
      <c r="BQ76" s="664"/>
      <c r="BR76" s="664"/>
      <c r="BS76" s="664"/>
      <c r="BT76" s="664"/>
      <c r="BU76" s="664"/>
      <c r="BV76" s="665"/>
      <c r="BW76" s="665"/>
      <c r="BX76" s="665"/>
      <c r="BY76" s="665"/>
      <c r="BZ76" s="665"/>
      <c r="CA76" s="665"/>
      <c r="CB76" s="665"/>
      <c r="CC76" s="666"/>
      <c r="CD76" s="625" t="str">
        <f>+IF(AQ68="legördülő cella","",IF(AQ68="EUR",Z70,IF(AQ68="HUF",RefinKolcsonOsszege,"")))</f>
        <v/>
      </c>
      <c r="CW76" s="554"/>
      <c r="DV76" s="581"/>
      <c r="DW76" s="556"/>
      <c r="DX76" s="556"/>
      <c r="DY76" s="556"/>
      <c r="DZ76" s="556"/>
      <c r="EA76" s="556"/>
      <c r="EB76" s="556"/>
      <c r="EC76" s="581"/>
      <c r="ED76" s="610"/>
      <c r="EE76" s="610"/>
      <c r="EF76" s="610"/>
      <c r="EG76" s="610"/>
      <c r="EH76" s="610"/>
      <c r="EI76" s="610"/>
      <c r="EJ76" s="611"/>
      <c r="EK76" s="617"/>
      <c r="EL76" s="546"/>
      <c r="EM76" s="546"/>
      <c r="EN76" s="546"/>
      <c r="EO76" s="546"/>
      <c r="EP76" s="546"/>
      <c r="EQ76" s="546"/>
      <c r="ER76" s="546"/>
      <c r="ES76" s="546"/>
      <c r="ET76" s="546"/>
      <c r="EU76" s="546"/>
      <c r="EV76" s="546"/>
      <c r="EW76" s="546"/>
      <c r="EX76" s="546"/>
      <c r="EY76" s="546"/>
      <c r="EZ76" s="546"/>
      <c r="FA76" s="546"/>
      <c r="FB76" s="546"/>
      <c r="FC76" s="546"/>
      <c r="FD76" s="546"/>
      <c r="FE76" s="546"/>
      <c r="FF76" s="546"/>
      <c r="FG76" s="546"/>
      <c r="FH76" s="546"/>
      <c r="FI76" s="546"/>
      <c r="FJ76" s="546"/>
      <c r="FK76" s="546"/>
      <c r="FL76" s="546"/>
      <c r="FM76" s="546"/>
      <c r="FN76" s="546"/>
      <c r="FO76" s="546"/>
      <c r="FP76" s="546"/>
      <c r="FQ76" s="546"/>
      <c r="FR76" s="546"/>
      <c r="FS76" s="546"/>
      <c r="FT76" s="546"/>
      <c r="FU76" s="546"/>
      <c r="FV76" s="546"/>
      <c r="FW76" s="546"/>
      <c r="FX76" s="546"/>
      <c r="FY76" s="546"/>
      <c r="FZ76" s="546"/>
      <c r="GA76" s="546"/>
      <c r="GB76" s="546"/>
      <c r="GC76" s="546"/>
      <c r="GD76" s="546"/>
      <c r="GE76" s="546"/>
      <c r="GF76" s="546"/>
      <c r="GG76" s="546"/>
      <c r="GH76" s="546"/>
      <c r="GI76" s="546"/>
      <c r="GJ76" s="546"/>
      <c r="GK76" s="546"/>
      <c r="GL76" s="546"/>
      <c r="GM76" s="546"/>
      <c r="GN76" s="546"/>
      <c r="GO76" s="546"/>
      <c r="GP76" s="546"/>
      <c r="GQ76" s="546"/>
      <c r="GR76" s="546"/>
      <c r="GS76" s="546"/>
      <c r="GT76" s="546"/>
      <c r="GU76" s="546"/>
      <c r="GV76" s="546"/>
      <c r="GW76" s="546"/>
      <c r="GX76" s="546"/>
      <c r="GY76" s="546"/>
      <c r="GZ76" s="546"/>
      <c r="HA76" s="546"/>
      <c r="HB76" s="546"/>
      <c r="HC76" s="546"/>
      <c r="HD76" s="546"/>
      <c r="HE76" s="546"/>
      <c r="HF76" s="546"/>
      <c r="HG76" s="546"/>
      <c r="HH76" s="546"/>
      <c r="HI76" s="546"/>
      <c r="HJ76" s="546"/>
    </row>
    <row r="77" spans="1:218" s="541" customFormat="1" ht="14.25" customHeight="1" thickBot="1" x14ac:dyDescent="0.2">
      <c r="A77" s="550"/>
      <c r="B77" s="619"/>
      <c r="C77" s="588"/>
      <c r="D77" s="588"/>
      <c r="E77" s="588"/>
      <c r="F77" s="588"/>
      <c r="G77" s="588"/>
      <c r="H77" s="588"/>
      <c r="I77" s="588"/>
      <c r="J77" s="588"/>
      <c r="K77" s="588"/>
      <c r="L77" s="588"/>
      <c r="M77" s="588"/>
      <c r="N77" s="588"/>
      <c r="O77" s="588"/>
      <c r="P77" s="588"/>
      <c r="Q77" s="588"/>
      <c r="R77" s="588"/>
      <c r="S77" s="650"/>
      <c r="T77" s="650"/>
      <c r="U77" s="650"/>
      <c r="V77" s="650"/>
      <c r="W77" s="650"/>
      <c r="X77" s="650"/>
      <c r="Y77" s="650"/>
      <c r="Z77" s="650"/>
      <c r="AA77" s="650"/>
      <c r="AB77" s="650"/>
      <c r="AC77" s="650"/>
      <c r="AD77" s="650"/>
      <c r="AE77" s="650"/>
      <c r="AF77" s="650"/>
      <c r="AG77" s="650"/>
      <c r="AH77" s="588"/>
      <c r="AI77" s="588"/>
      <c r="AJ77" s="588"/>
      <c r="AK77" s="588"/>
      <c r="AL77" s="588"/>
      <c r="AM77" s="588"/>
      <c r="AN77" s="588"/>
      <c r="AO77" s="588"/>
      <c r="AP77" s="588"/>
      <c r="AQ77" s="588"/>
      <c r="AR77" s="588"/>
      <c r="AS77" s="588"/>
      <c r="AT77" s="588"/>
      <c r="AU77" s="588"/>
      <c r="AV77" s="588"/>
      <c r="AW77" s="588"/>
      <c r="AX77" s="588"/>
      <c r="AY77" s="588"/>
      <c r="AZ77" s="588"/>
      <c r="BA77" s="588"/>
      <c r="BB77" s="588"/>
      <c r="BC77" s="588"/>
      <c r="BD77" s="588"/>
      <c r="BE77" s="588"/>
      <c r="BF77" s="588"/>
      <c r="BG77" s="621"/>
      <c r="BM77" s="1417" t="s">
        <v>490</v>
      </c>
      <c r="BN77" s="1418"/>
      <c r="BO77" s="1418"/>
      <c r="BP77" s="1418"/>
      <c r="BQ77" s="1418"/>
      <c r="BR77" s="1418"/>
      <c r="BS77" s="1418"/>
      <c r="BT77" s="1418"/>
      <c r="BU77" s="1418"/>
      <c r="BV77" s="1418"/>
      <c r="BW77" s="1418"/>
      <c r="BX77" s="1418"/>
      <c r="BY77" s="1418"/>
      <c r="BZ77" s="1418"/>
      <c r="CA77" s="1418"/>
      <c r="CB77" s="1418"/>
      <c r="CC77" s="1418"/>
      <c r="CD77" s="1418"/>
      <c r="CE77" s="1418"/>
      <c r="CF77" s="1418"/>
      <c r="CG77" s="1418"/>
      <c r="CH77" s="1418"/>
      <c r="CI77" s="1418"/>
      <c r="CJ77" s="1418"/>
      <c r="CK77" s="1418"/>
      <c r="CL77" s="1418"/>
      <c r="CM77" s="1418"/>
      <c r="CN77" s="1418"/>
      <c r="CO77" s="1418"/>
      <c r="CP77" s="1418"/>
      <c r="CQ77" s="1418"/>
      <c r="CR77" s="1418"/>
      <c r="CS77" s="1418"/>
      <c r="CT77" s="1418"/>
      <c r="CU77" s="1418"/>
      <c r="CV77" s="1418"/>
      <c r="CW77" s="1419"/>
      <c r="DV77" s="647"/>
      <c r="DW77" s="647"/>
      <c r="DX77" s="647"/>
      <c r="DY77" s="647"/>
      <c r="DZ77" s="668"/>
      <c r="EA77" s="647"/>
      <c r="EB77" s="647"/>
      <c r="EC77" s="647"/>
      <c r="ED77" s="647"/>
      <c r="EE77" s="647"/>
      <c r="EF77" s="647"/>
      <c r="EG77" s="647"/>
      <c r="EH77" s="647"/>
      <c r="EI77" s="647"/>
      <c r="EJ77" s="648"/>
      <c r="EK77" s="648"/>
      <c r="EL77" s="648"/>
      <c r="EM77" s="648"/>
      <c r="EN77" s="546"/>
      <c r="EO77" s="546"/>
      <c r="EP77" s="546"/>
      <c r="EQ77" s="546"/>
      <c r="ER77" s="546"/>
      <c r="ES77" s="546"/>
      <c r="ET77" s="546"/>
      <c r="EU77" s="546"/>
      <c r="EV77" s="546"/>
      <c r="EW77" s="546"/>
      <c r="EX77" s="546"/>
      <c r="EY77" s="546"/>
      <c r="EZ77" s="546"/>
      <c r="FA77" s="546"/>
      <c r="FB77" s="546"/>
      <c r="FC77" s="546"/>
      <c r="FD77" s="546"/>
      <c r="FE77" s="546"/>
      <c r="FF77" s="546"/>
      <c r="FG77" s="546"/>
      <c r="FH77" s="546"/>
      <c r="FI77" s="546"/>
      <c r="FJ77" s="546"/>
      <c r="FK77" s="546"/>
      <c r="FL77" s="546"/>
      <c r="FM77" s="546"/>
      <c r="FN77" s="546"/>
      <c r="FO77" s="546"/>
      <c r="FP77" s="546"/>
      <c r="FQ77" s="546"/>
      <c r="FR77" s="546"/>
      <c r="FS77" s="546"/>
      <c r="FT77" s="546"/>
      <c r="FU77" s="546"/>
      <c r="FV77" s="546"/>
      <c r="FW77" s="546"/>
      <c r="FX77" s="546"/>
      <c r="FY77" s="546"/>
      <c r="FZ77" s="546"/>
      <c r="GA77" s="546"/>
      <c r="GB77" s="546"/>
      <c r="GC77" s="546"/>
      <c r="GD77" s="546"/>
      <c r="GE77" s="546"/>
      <c r="GF77" s="546"/>
      <c r="GG77" s="546"/>
      <c r="GH77" s="546"/>
      <c r="GI77" s="546"/>
      <c r="GJ77" s="546"/>
      <c r="GK77" s="546"/>
      <c r="GL77" s="546"/>
      <c r="GM77" s="546"/>
      <c r="GN77" s="546"/>
      <c r="GO77" s="546"/>
      <c r="GP77" s="546"/>
      <c r="GQ77" s="546"/>
      <c r="GR77" s="546"/>
      <c r="GS77" s="546"/>
      <c r="GT77" s="546"/>
      <c r="GU77" s="546"/>
      <c r="GV77" s="546"/>
      <c r="GW77" s="546"/>
      <c r="GX77" s="546"/>
      <c r="GY77" s="546"/>
      <c r="GZ77" s="546"/>
      <c r="HA77" s="546"/>
      <c r="HB77" s="546"/>
      <c r="HC77" s="546"/>
      <c r="HD77" s="546"/>
      <c r="HE77" s="546"/>
      <c r="HF77" s="546"/>
      <c r="HG77" s="546"/>
      <c r="HH77" s="546"/>
      <c r="HI77" s="546"/>
      <c r="HJ77" s="546"/>
    </row>
    <row r="78" spans="1:218" s="541" customFormat="1" ht="14" x14ac:dyDescent="0.15">
      <c r="A78" s="550"/>
      <c r="B78" s="619"/>
      <c r="C78" s="588"/>
      <c r="D78" s="657" t="s">
        <v>1084</v>
      </c>
      <c r="E78" s="658"/>
      <c r="F78" s="658"/>
      <c r="G78" s="658"/>
      <c r="H78" s="658"/>
      <c r="I78" s="658"/>
      <c r="J78" s="658"/>
      <c r="K78" s="658"/>
      <c r="L78" s="658"/>
      <c r="M78" s="658"/>
      <c r="N78" s="658"/>
      <c r="O78" s="658"/>
      <c r="P78" s="658"/>
      <c r="Q78" s="658"/>
      <c r="S78" s="659" t="str">
        <f>+S76</f>
        <v>Válasszon devizanemet/felárat!</v>
      </c>
      <c r="T78" s="658"/>
      <c r="U78" s="658"/>
      <c r="W78" s="658"/>
      <c r="X78" s="658"/>
      <c r="Y78" s="658" t="str">
        <f>IF(OR(S78="Válasszon devizanemet/felárat!",kamatozastipusa="fix"),"","+")</f>
        <v/>
      </c>
      <c r="Z78" s="1313" t="str">
        <f>IF(Z82="","",Z82+Z84)</f>
        <v/>
      </c>
      <c r="AA78" s="1313"/>
      <c r="AB78" s="1313"/>
      <c r="AC78" s="1313"/>
      <c r="AD78" s="1313"/>
      <c r="AE78" s="1313"/>
      <c r="AF78" s="1313"/>
      <c r="AG78" s="1313"/>
      <c r="AH78" s="1313"/>
      <c r="AI78" s="1313"/>
      <c r="AJ78" s="1313"/>
      <c r="AK78" s="1313"/>
      <c r="AL78" s="1313"/>
      <c r="AM78" s="1313"/>
      <c r="AN78" s="1313"/>
      <c r="AO78" s="1313"/>
      <c r="AQ78" s="541" t="s">
        <v>196</v>
      </c>
      <c r="AR78" s="1369" t="str">
        <f>IF(OR(Z78="",Z76=""),"",Z78+Z76)</f>
        <v/>
      </c>
      <c r="AS78" s="1369"/>
      <c r="AT78" s="1369"/>
      <c r="AU78" s="1369"/>
      <c r="AV78" s="1369"/>
      <c r="AW78" s="1369"/>
      <c r="AX78" s="1369"/>
      <c r="AY78" s="1369"/>
      <c r="AZ78" s="1369"/>
      <c r="BA78" s="1369"/>
      <c r="BB78" s="1369"/>
      <c r="BC78" s="660"/>
      <c r="BD78" s="660"/>
      <c r="BE78" s="660"/>
      <c r="BF78" s="588"/>
      <c r="BG78" s="621"/>
      <c r="BM78" s="599"/>
      <c r="BN78" s="626"/>
      <c r="BP78" s="546"/>
      <c r="BQ78" s="626"/>
      <c r="BR78" s="626"/>
      <c r="BS78" s="626"/>
      <c r="BV78" s="670" t="s">
        <v>206</v>
      </c>
      <c r="CB78" s="781" t="s">
        <v>1062</v>
      </c>
      <c r="CC78" s="559"/>
      <c r="CD78" s="559"/>
      <c r="CE78" s="625"/>
      <c r="CF78" s="625"/>
      <c r="CG78" s="625"/>
      <c r="CH78" s="625"/>
      <c r="CI78" s="566"/>
      <c r="CW78" s="554"/>
      <c r="DV78" s="550"/>
      <c r="DW78" s="550"/>
      <c r="DX78" s="671"/>
      <c r="DY78" s="550"/>
      <c r="DZ78" s="556"/>
      <c r="EA78" s="556"/>
      <c r="EB78" s="581"/>
      <c r="EC78" s="609"/>
      <c r="ED78" s="610"/>
      <c r="EE78" s="609"/>
      <c r="EF78" s="610"/>
      <c r="EG78" s="609"/>
      <c r="EH78" s="556"/>
      <c r="EI78" s="610"/>
      <c r="EJ78" s="612"/>
      <c r="EK78" s="612"/>
      <c r="EL78" s="612"/>
      <c r="EM78" s="571"/>
      <c r="EN78" s="571"/>
      <c r="EO78" s="571"/>
      <c r="EP78" s="546"/>
      <c r="EQ78" s="546"/>
      <c r="ER78" s="546"/>
      <c r="ES78" s="546"/>
      <c r="ET78" s="546"/>
      <c r="EU78" s="546"/>
      <c r="EV78" s="546"/>
      <c r="EW78" s="546"/>
      <c r="EX78" s="546"/>
      <c r="EY78" s="546"/>
      <c r="EZ78" s="546"/>
      <c r="FA78" s="546"/>
      <c r="FB78" s="546"/>
      <c r="FC78" s="546"/>
      <c r="FD78" s="546"/>
      <c r="FE78" s="546"/>
      <c r="FF78" s="546"/>
      <c r="FG78" s="546"/>
      <c r="FH78" s="546"/>
      <c r="FI78" s="546"/>
      <c r="FJ78" s="546"/>
      <c r="FK78" s="546"/>
      <c r="FL78" s="546"/>
      <c r="FM78" s="546"/>
      <c r="FN78" s="546"/>
      <c r="FO78" s="546"/>
      <c r="FP78" s="546"/>
      <c r="FQ78" s="546"/>
      <c r="FR78" s="546"/>
      <c r="FS78" s="546"/>
      <c r="FT78" s="546"/>
      <c r="FU78" s="546"/>
      <c r="FV78" s="546"/>
      <c r="FW78" s="546"/>
      <c r="FX78" s="546"/>
      <c r="FY78" s="546"/>
      <c r="FZ78" s="546"/>
      <c r="GA78" s="546"/>
      <c r="GB78" s="546"/>
      <c r="GC78" s="546"/>
      <c r="GD78" s="546"/>
      <c r="GE78" s="546"/>
      <c r="GF78" s="546"/>
      <c r="GG78" s="546"/>
      <c r="GH78" s="546"/>
      <c r="GI78" s="546"/>
      <c r="GJ78" s="546"/>
      <c r="GK78" s="546"/>
      <c r="GL78" s="546"/>
      <c r="GM78" s="546"/>
      <c r="GN78" s="546"/>
      <c r="GO78" s="546"/>
      <c r="GP78" s="546"/>
      <c r="GQ78" s="546"/>
      <c r="GR78" s="546"/>
      <c r="GS78" s="546"/>
      <c r="GT78" s="546"/>
      <c r="GU78" s="546"/>
      <c r="GV78" s="546"/>
      <c r="GW78" s="546"/>
      <c r="GX78" s="546"/>
      <c r="GY78" s="546"/>
      <c r="GZ78" s="546"/>
      <c r="HA78" s="546"/>
      <c r="HB78" s="546"/>
      <c r="HC78" s="546"/>
      <c r="HD78" s="546"/>
      <c r="HE78" s="546"/>
      <c r="HF78" s="546"/>
      <c r="HG78" s="546"/>
      <c r="HH78" s="546"/>
      <c r="HI78" s="546"/>
      <c r="HJ78" s="546"/>
    </row>
    <row r="79" spans="1:218" s="541" customFormat="1" ht="14" x14ac:dyDescent="0.15">
      <c r="A79" s="550"/>
      <c r="B79" s="619"/>
      <c r="C79" s="588"/>
      <c r="D79" s="658"/>
      <c r="E79" s="658"/>
      <c r="F79" s="658"/>
      <c r="G79" s="658"/>
      <c r="H79" s="658"/>
      <c r="I79" s="658"/>
      <c r="J79" s="658"/>
      <c r="K79" s="658"/>
      <c r="L79" s="658"/>
      <c r="M79" s="658"/>
      <c r="N79" s="658"/>
      <c r="O79" s="658"/>
      <c r="P79" s="658"/>
      <c r="Q79" s="658"/>
      <c r="R79" s="658"/>
      <c r="S79" s="658"/>
      <c r="T79" s="658"/>
      <c r="U79" s="658"/>
      <c r="V79" s="658"/>
      <c r="W79" s="658"/>
      <c r="X79" s="658"/>
      <c r="Y79" s="658"/>
      <c r="Z79" s="667"/>
      <c r="AA79" s="667"/>
      <c r="AB79" s="667"/>
      <c r="AC79" s="667"/>
      <c r="AD79" s="667"/>
      <c r="AE79" s="667"/>
      <c r="AF79" s="667"/>
      <c r="AG79" s="667"/>
      <c r="AH79" s="667"/>
      <c r="AI79" s="667"/>
      <c r="AJ79" s="667"/>
      <c r="AK79" s="667"/>
      <c r="AL79" s="667"/>
      <c r="AM79" s="667"/>
      <c r="AN79" s="667"/>
      <c r="AO79" s="667"/>
      <c r="AX79" s="660"/>
      <c r="AY79" s="660"/>
      <c r="AZ79" s="660"/>
      <c r="BA79" s="660"/>
      <c r="BB79" s="660"/>
      <c r="BC79" s="660"/>
      <c r="BD79" s="660"/>
      <c r="BE79" s="660"/>
      <c r="BF79" s="588"/>
      <c r="BG79" s="621"/>
      <c r="BM79" s="599"/>
      <c r="BN79" s="626"/>
      <c r="BP79" s="546"/>
      <c r="BQ79" s="626"/>
      <c r="BR79" s="626"/>
      <c r="BS79" s="626"/>
      <c r="BT79" s="626"/>
      <c r="BU79" s="626"/>
      <c r="BV79" s="546" t="s">
        <v>380</v>
      </c>
      <c r="CB79" s="1030"/>
      <c r="CC79" s="1031" t="s">
        <v>1063</v>
      </c>
      <c r="CD79" s="1031" t="s">
        <v>1061</v>
      </c>
      <c r="CE79" s="1031" t="s">
        <v>544</v>
      </c>
      <c r="CF79" s="1222" t="s">
        <v>1064</v>
      </c>
      <c r="CG79" s="1222"/>
      <c r="CH79" s="1222"/>
      <c r="CI79" s="566"/>
      <c r="CW79" s="554"/>
      <c r="EJ79" s="546"/>
      <c r="EK79" s="546"/>
      <c r="EL79" s="546"/>
      <c r="EM79" s="546"/>
      <c r="EN79" s="546"/>
      <c r="EO79" s="546"/>
      <c r="EP79" s="546"/>
      <c r="EQ79" s="546"/>
      <c r="ER79" s="546"/>
      <c r="ES79" s="546"/>
      <c r="ET79" s="546"/>
      <c r="EU79" s="546"/>
      <c r="EV79" s="546"/>
      <c r="EW79" s="546"/>
      <c r="EX79" s="546"/>
      <c r="EY79" s="546"/>
      <c r="EZ79" s="546"/>
      <c r="FA79" s="546"/>
      <c r="FB79" s="546"/>
      <c r="FC79" s="546"/>
      <c r="FD79" s="546"/>
      <c r="FE79" s="546"/>
      <c r="FF79" s="546"/>
      <c r="FG79" s="546"/>
      <c r="FH79" s="546"/>
      <c r="FI79" s="546"/>
      <c r="FJ79" s="546"/>
      <c r="FK79" s="546"/>
      <c r="FL79" s="546"/>
      <c r="FM79" s="546"/>
      <c r="FN79" s="546"/>
      <c r="FO79" s="546"/>
      <c r="FP79" s="546"/>
      <c r="FQ79" s="546"/>
      <c r="FR79" s="546"/>
      <c r="FS79" s="546"/>
      <c r="FT79" s="546"/>
      <c r="FU79" s="546"/>
      <c r="FV79" s="546"/>
      <c r="FW79" s="546"/>
      <c r="FX79" s="546"/>
      <c r="FY79" s="546"/>
      <c r="FZ79" s="546"/>
      <c r="GA79" s="546"/>
      <c r="GB79" s="546"/>
      <c r="GC79" s="546"/>
      <c r="GD79" s="546"/>
      <c r="GE79" s="546"/>
      <c r="GF79" s="546"/>
      <c r="GG79" s="546"/>
      <c r="GH79" s="546"/>
      <c r="GI79" s="546"/>
      <c r="GJ79" s="546"/>
      <c r="GK79" s="546"/>
      <c r="GL79" s="546"/>
      <c r="GM79" s="546"/>
      <c r="GN79" s="546"/>
      <c r="GO79" s="546"/>
      <c r="GP79" s="546"/>
      <c r="GQ79" s="546"/>
      <c r="GR79" s="546"/>
      <c r="GS79" s="546"/>
      <c r="GT79" s="546"/>
      <c r="GU79" s="546"/>
      <c r="GV79" s="546"/>
      <c r="GW79" s="546"/>
      <c r="GX79" s="546"/>
      <c r="GY79" s="546"/>
      <c r="GZ79" s="546"/>
      <c r="HA79" s="546"/>
      <c r="HB79" s="546"/>
      <c r="HC79" s="546"/>
      <c r="HD79" s="546"/>
      <c r="HE79" s="546"/>
      <c r="HF79" s="546"/>
      <c r="HG79" s="546"/>
      <c r="HH79" s="546"/>
      <c r="HI79" s="546"/>
      <c r="HJ79" s="546"/>
    </row>
    <row r="80" spans="1:218" s="541" customFormat="1" ht="14" x14ac:dyDescent="0.15">
      <c r="A80" s="588"/>
      <c r="B80" s="619"/>
      <c r="C80" s="588"/>
      <c r="D80" s="669" t="s">
        <v>462</v>
      </c>
      <c r="E80" s="658"/>
      <c r="F80" s="658"/>
      <c r="G80" s="658"/>
      <c r="H80" s="658"/>
      <c r="I80" s="658"/>
      <c r="J80" s="658"/>
      <c r="K80" s="658"/>
      <c r="L80" s="658"/>
      <c r="M80" s="658"/>
      <c r="N80" s="658"/>
      <c r="O80" s="658"/>
      <c r="P80" s="658"/>
      <c r="Q80" s="658"/>
      <c r="R80" s="658"/>
      <c r="S80" s="658"/>
      <c r="T80" s="658"/>
      <c r="U80" s="658"/>
      <c r="V80" s="658"/>
      <c r="W80" s="658"/>
      <c r="X80" s="658"/>
      <c r="Y80" s="658"/>
      <c r="Z80" s="1387" t="s">
        <v>463</v>
      </c>
      <c r="AA80" s="1387"/>
      <c r="AB80" s="1387"/>
      <c r="AC80" s="1387"/>
      <c r="AD80" s="1387"/>
      <c r="AE80" s="1387"/>
      <c r="AF80" s="1387"/>
      <c r="AG80" s="1387"/>
      <c r="AH80" s="1387"/>
      <c r="AI80" s="1387"/>
      <c r="AJ80" s="1387"/>
      <c r="AK80" s="1387"/>
      <c r="AL80" s="1387"/>
      <c r="AM80" s="1387"/>
      <c r="AN80" s="1387"/>
      <c r="AO80" s="1387"/>
      <c r="AX80" s="660"/>
      <c r="AY80" s="660"/>
      <c r="AZ80" s="660"/>
      <c r="BA80" s="660"/>
      <c r="BB80" s="660"/>
      <c r="BC80" s="660"/>
      <c r="BD80" s="660"/>
      <c r="BE80" s="660"/>
      <c r="BF80" s="588"/>
      <c r="BG80" s="621"/>
      <c r="BM80" s="599"/>
      <c r="BN80" s="626"/>
      <c r="BP80" s="546"/>
      <c r="BQ80" s="626"/>
      <c r="BR80" s="626"/>
      <c r="BS80" s="626"/>
      <c r="BT80" s="626"/>
      <c r="BU80" s="626"/>
      <c r="BV80" s="546" t="s">
        <v>162</v>
      </c>
      <c r="CA80" s="541" t="s">
        <v>1065</v>
      </c>
      <c r="CB80" s="1028" t="str">
        <f>+IF(CB7="a","a","")</f>
        <v/>
      </c>
      <c r="CC80" s="1033">
        <v>2.5000000000000001E-2</v>
      </c>
      <c r="CD80" s="1033">
        <v>0.02</v>
      </c>
      <c r="CE80" s="1033">
        <v>0.02</v>
      </c>
      <c r="CF80" s="1223">
        <v>0.02</v>
      </c>
      <c r="CG80" s="1223"/>
      <c r="CH80" s="1223"/>
      <c r="CI80" s="566"/>
      <c r="CW80" s="554"/>
      <c r="EJ80" s="546"/>
      <c r="EK80" s="546"/>
      <c r="EL80" s="546"/>
      <c r="EM80" s="546"/>
      <c r="EN80" s="546"/>
      <c r="EO80" s="546"/>
      <c r="EP80" s="546"/>
      <c r="EQ80" s="546"/>
      <c r="ER80" s="546"/>
      <c r="ES80" s="546"/>
      <c r="ET80" s="546"/>
      <c r="EU80" s="546"/>
      <c r="EV80" s="546"/>
      <c r="EW80" s="546"/>
      <c r="EX80" s="546"/>
      <c r="EY80" s="546"/>
      <c r="EZ80" s="546"/>
      <c r="FA80" s="546"/>
      <c r="FB80" s="546"/>
      <c r="FC80" s="546"/>
      <c r="FD80" s="546"/>
      <c r="FE80" s="546"/>
      <c r="FF80" s="546"/>
      <c r="FG80" s="546"/>
      <c r="FH80" s="546"/>
      <c r="FI80" s="546"/>
      <c r="FJ80" s="546"/>
      <c r="FK80" s="546"/>
      <c r="FL80" s="546"/>
      <c r="FM80" s="546"/>
      <c r="FN80" s="546"/>
      <c r="FO80" s="546"/>
      <c r="FP80" s="546"/>
      <c r="FQ80" s="546"/>
      <c r="FR80" s="546"/>
      <c r="FS80" s="546"/>
      <c r="FT80" s="546"/>
      <c r="FU80" s="546"/>
      <c r="FV80" s="546"/>
      <c r="FW80" s="546"/>
      <c r="FX80" s="546"/>
      <c r="FY80" s="546"/>
      <c r="FZ80" s="546"/>
      <c r="GA80" s="546"/>
      <c r="GB80" s="546"/>
      <c r="GC80" s="546"/>
      <c r="GD80" s="546"/>
      <c r="GE80" s="546"/>
      <c r="GF80" s="546"/>
      <c r="GG80" s="546"/>
      <c r="GH80" s="546"/>
      <c r="GI80" s="546"/>
      <c r="GJ80" s="546"/>
      <c r="GK80" s="546"/>
      <c r="GL80" s="546"/>
      <c r="GM80" s="546"/>
      <c r="GN80" s="546"/>
      <c r="GO80" s="546"/>
      <c r="GP80" s="546"/>
      <c r="GQ80" s="546"/>
      <c r="GR80" s="546"/>
      <c r="GS80" s="546"/>
      <c r="GT80" s="546"/>
      <c r="GU80" s="546"/>
      <c r="GV80" s="546"/>
      <c r="GW80" s="546"/>
      <c r="GX80" s="546"/>
      <c r="GY80" s="546"/>
      <c r="GZ80" s="546"/>
      <c r="HA80" s="546"/>
      <c r="HB80" s="546"/>
      <c r="HC80" s="546"/>
      <c r="HD80" s="546"/>
      <c r="HE80" s="546"/>
      <c r="HF80" s="546"/>
      <c r="HG80" s="546"/>
      <c r="HH80" s="546"/>
      <c r="HI80" s="546"/>
      <c r="HJ80" s="546"/>
    </row>
    <row r="81" spans="1:218" s="541" customFormat="1" ht="14" x14ac:dyDescent="0.15">
      <c r="A81" s="588"/>
      <c r="B81" s="619"/>
      <c r="C81" s="588"/>
      <c r="D81" s="658"/>
      <c r="E81" s="658"/>
      <c r="F81" s="658"/>
      <c r="G81" s="658"/>
      <c r="H81" s="658"/>
      <c r="I81" s="658"/>
      <c r="J81" s="658"/>
      <c r="K81" s="658"/>
      <c r="L81" s="658"/>
      <c r="M81" s="658"/>
      <c r="N81" s="658"/>
      <c r="O81" s="658"/>
      <c r="P81" s="658"/>
      <c r="Q81" s="658"/>
      <c r="R81" s="658"/>
      <c r="S81" s="658"/>
      <c r="T81" s="658"/>
      <c r="U81" s="658"/>
      <c r="V81" s="658"/>
      <c r="W81" s="658"/>
      <c r="X81" s="658"/>
      <c r="Y81" s="658"/>
      <c r="Z81" s="667"/>
      <c r="AA81" s="667"/>
      <c r="AB81" s="667"/>
      <c r="AC81" s="667"/>
      <c r="AD81" s="667"/>
      <c r="AE81" s="667"/>
      <c r="AF81" s="667"/>
      <c r="AG81" s="667"/>
      <c r="AH81" s="667"/>
      <c r="AI81" s="667"/>
      <c r="AJ81" s="667"/>
      <c r="AK81" s="667"/>
      <c r="AL81" s="667"/>
      <c r="AM81" s="667"/>
      <c r="AN81" s="667"/>
      <c r="AO81" s="667"/>
      <c r="AX81" s="660"/>
      <c r="AY81" s="660"/>
      <c r="AZ81" s="660"/>
      <c r="BA81" s="660"/>
      <c r="BB81" s="660"/>
      <c r="BC81" s="660"/>
      <c r="BD81" s="660"/>
      <c r="BE81" s="660"/>
      <c r="BF81" s="588"/>
      <c r="BG81" s="621"/>
      <c r="BM81" s="599"/>
      <c r="BN81" s="626"/>
      <c r="BO81" s="626"/>
      <c r="BP81" s="672"/>
      <c r="BQ81" s="626"/>
      <c r="BR81" s="626"/>
      <c r="BS81" s="626"/>
      <c r="BT81" s="626"/>
      <c r="BU81" s="626"/>
      <c r="BV81" s="626" t="str">
        <f>+IF(OR(BU10=4,BU9=3,CB9="c"),"","EUR")</f>
        <v>EUR</v>
      </c>
      <c r="CA81" s="541" t="s">
        <v>1066</v>
      </c>
      <c r="CB81" s="1029" t="str">
        <f>+IF(CB8="b","b","")</f>
        <v/>
      </c>
      <c r="CC81" s="1033">
        <v>2.5000000000000001E-2</v>
      </c>
      <c r="CD81" s="1033">
        <v>0.02</v>
      </c>
      <c r="CE81" s="1033">
        <v>0.02</v>
      </c>
      <c r="CF81" s="1223">
        <v>0.02</v>
      </c>
      <c r="CG81" s="1223"/>
      <c r="CH81" s="1223"/>
      <c r="CI81" s="566"/>
      <c r="CW81" s="554"/>
      <c r="EJ81" s="546"/>
      <c r="EK81" s="546"/>
      <c r="EL81" s="546"/>
      <c r="EM81" s="546"/>
      <c r="EN81" s="546"/>
      <c r="EO81" s="546"/>
      <c r="EP81" s="546"/>
      <c r="EQ81" s="546"/>
      <c r="ER81" s="546"/>
      <c r="ES81" s="546"/>
      <c r="ET81" s="546"/>
      <c r="EU81" s="546"/>
      <c r="EV81" s="546"/>
      <c r="EW81" s="546"/>
      <c r="EX81" s="546"/>
      <c r="EY81" s="546"/>
      <c r="EZ81" s="546"/>
      <c r="FA81" s="546"/>
      <c r="FB81" s="546"/>
      <c r="FC81" s="546"/>
      <c r="FD81" s="546"/>
      <c r="FE81" s="546"/>
      <c r="FF81" s="546"/>
      <c r="FG81" s="546"/>
      <c r="FH81" s="546"/>
      <c r="FI81" s="546"/>
      <c r="FJ81" s="546"/>
      <c r="FK81" s="546"/>
      <c r="FL81" s="546"/>
      <c r="FM81" s="546"/>
      <c r="FN81" s="546"/>
      <c r="FO81" s="546"/>
      <c r="FP81" s="546"/>
      <c r="FQ81" s="546"/>
      <c r="FR81" s="546"/>
      <c r="FS81" s="546"/>
      <c r="FT81" s="546"/>
      <c r="FU81" s="546"/>
      <c r="FV81" s="546"/>
      <c r="FW81" s="546"/>
      <c r="FX81" s="546"/>
      <c r="FY81" s="546"/>
      <c r="FZ81" s="546"/>
      <c r="GA81" s="546"/>
      <c r="GB81" s="546"/>
      <c r="GC81" s="546"/>
      <c r="GD81" s="546"/>
      <c r="GE81" s="546"/>
      <c r="GF81" s="546"/>
      <c r="GG81" s="546"/>
      <c r="GH81" s="546"/>
      <c r="GI81" s="546"/>
      <c r="GJ81" s="546"/>
      <c r="GK81" s="546"/>
      <c r="GL81" s="546"/>
      <c r="GM81" s="546"/>
      <c r="GN81" s="546"/>
      <c r="GO81" s="546"/>
      <c r="GP81" s="546"/>
      <c r="GQ81" s="546"/>
      <c r="GR81" s="546"/>
      <c r="GS81" s="546"/>
      <c r="GT81" s="546"/>
      <c r="GU81" s="546"/>
      <c r="GV81" s="546"/>
      <c r="GW81" s="546"/>
      <c r="GX81" s="546"/>
      <c r="GY81" s="546"/>
      <c r="GZ81" s="546"/>
      <c r="HA81" s="546"/>
      <c r="HB81" s="546"/>
      <c r="HC81" s="546"/>
      <c r="HD81" s="546"/>
      <c r="HE81" s="546"/>
      <c r="HF81" s="546"/>
      <c r="HG81" s="546"/>
      <c r="HH81" s="546"/>
      <c r="HI81" s="546"/>
      <c r="HJ81" s="546"/>
    </row>
    <row r="82" spans="1:218" s="541" customFormat="1" ht="14" x14ac:dyDescent="0.15">
      <c r="A82" s="588"/>
      <c r="B82" s="619"/>
      <c r="C82" s="588"/>
      <c r="D82" s="658" t="s">
        <v>1077</v>
      </c>
      <c r="E82" s="658"/>
      <c r="F82" s="658"/>
      <c r="G82" s="658"/>
      <c r="H82" s="658"/>
      <c r="I82" s="658"/>
      <c r="J82" s="658"/>
      <c r="K82" s="658"/>
      <c r="L82" s="658"/>
      <c r="M82" s="658"/>
      <c r="N82" s="658"/>
      <c r="O82" s="658"/>
      <c r="P82" s="658"/>
      <c r="Q82" s="658"/>
      <c r="R82" s="658"/>
      <c r="S82" s="659"/>
      <c r="U82" s="658"/>
      <c r="W82" s="658"/>
      <c r="X82" s="658"/>
      <c r="Y82" s="658"/>
      <c r="Z82" s="1313" t="str">
        <f>IF(CW96=1,CV96,IF(CW97=1,CV97,IF(CW98=1,CV98,IF(CW99=1,CV99,IF(CW100=1,CV100,IF(CW101=1,CV101,IF(CW102=1,CV102,IF(CW103=1,CV103,IF(CW105=1,CV105,IF(CW106=1,CV106,IF(CW107=1,CW107,IF(CW108=1,CV108,IF(CW109=1,CV109,IF(CW110=1,CV110,IF(CW111=1,CV111,IF(CW112=1,CV112,IF(CW113=1,CV113,IF(CW114=1,CV114,IF(CW115=1,CV115,IF(CW116=1,CV116,IF(CW117=1,CV117,IF(CW118=1,CV118,IF(CW119=1,CV119,IF(CW120=1,CV120,IF(CW121=1,CV121,IF(CW122=1,CV122,IF(CW123=1,CV123,IF(CW124=1,CV124,IF(CW125=1,CV125,"")))))))))))))))))))))))))))))</f>
        <v/>
      </c>
      <c r="AA82" s="1313"/>
      <c r="AB82" s="1313"/>
      <c r="AC82" s="1313"/>
      <c r="AD82" s="1313"/>
      <c r="AE82" s="1313"/>
      <c r="AF82" s="1313"/>
      <c r="AG82" s="1313"/>
      <c r="AH82" s="1313"/>
      <c r="AI82" s="1313"/>
      <c r="AJ82" s="1313"/>
      <c r="AK82" s="1313"/>
      <c r="AL82" s="1313"/>
      <c r="AM82" s="1313"/>
      <c r="AN82" s="1313"/>
      <c r="AO82" s="1313"/>
      <c r="AX82" s="660"/>
      <c r="AY82" s="660"/>
      <c r="AZ82" s="660"/>
      <c r="BA82" s="660"/>
      <c r="BB82" s="660"/>
      <c r="BC82" s="660"/>
      <c r="BD82" s="660"/>
      <c r="BE82" s="660"/>
      <c r="BF82" s="588"/>
      <c r="BG82" s="621"/>
      <c r="BM82" s="599"/>
      <c r="BN82" s="626"/>
      <c r="BP82" s="672"/>
      <c r="BQ82" s="626"/>
      <c r="BR82" s="626"/>
      <c r="BS82" s="626"/>
      <c r="BT82" s="626"/>
      <c r="BU82" s="626"/>
      <c r="BV82" s="672" t="s">
        <v>491</v>
      </c>
      <c r="CA82" s="541" t="s">
        <v>1067</v>
      </c>
      <c r="CB82" s="1029" t="str">
        <f>+IF(CB9="c","c","")</f>
        <v/>
      </c>
      <c r="CC82" s="1033">
        <v>0.03</v>
      </c>
      <c r="CD82" s="1033">
        <v>0.03</v>
      </c>
      <c r="CE82" s="1033">
        <v>0.03</v>
      </c>
      <c r="CF82" s="1223">
        <v>0.03</v>
      </c>
      <c r="CG82" s="1223"/>
      <c r="CH82" s="1223"/>
      <c r="CI82" s="566"/>
      <c r="CW82" s="554"/>
      <c r="EJ82" s="546"/>
      <c r="EK82" s="546"/>
      <c r="EL82" s="546"/>
      <c r="EM82" s="546"/>
      <c r="EN82" s="546"/>
      <c r="EO82" s="546"/>
      <c r="EP82" s="546"/>
      <c r="EQ82" s="546"/>
      <c r="ER82" s="546"/>
      <c r="ES82" s="546"/>
      <c r="ET82" s="546"/>
      <c r="EU82" s="546"/>
      <c r="EV82" s="546"/>
      <c r="EW82" s="546"/>
      <c r="EX82" s="546"/>
      <c r="EY82" s="546"/>
      <c r="EZ82" s="546"/>
      <c r="FA82" s="546"/>
      <c r="FB82" s="546"/>
      <c r="FC82" s="546"/>
      <c r="FD82" s="546"/>
      <c r="FE82" s="546"/>
      <c r="FF82" s="546"/>
      <c r="FG82" s="546"/>
      <c r="FH82" s="546"/>
      <c r="FI82" s="546"/>
      <c r="FJ82" s="546"/>
      <c r="FK82" s="546"/>
      <c r="FL82" s="546"/>
      <c r="FM82" s="546"/>
      <c r="FN82" s="546"/>
      <c r="FO82" s="546"/>
      <c r="FP82" s="546"/>
      <c r="FQ82" s="546"/>
      <c r="FR82" s="546"/>
      <c r="FS82" s="546"/>
      <c r="FT82" s="546"/>
      <c r="FU82" s="546"/>
      <c r="FV82" s="546"/>
      <c r="FW82" s="546"/>
      <c r="FX82" s="546"/>
      <c r="FY82" s="546"/>
      <c r="FZ82" s="546"/>
      <c r="GA82" s="546"/>
      <c r="GB82" s="546"/>
      <c r="GC82" s="546"/>
      <c r="GD82" s="546"/>
      <c r="GE82" s="546"/>
      <c r="GF82" s="546"/>
      <c r="GG82" s="546"/>
      <c r="GH82" s="546"/>
      <c r="GI82" s="546"/>
      <c r="GJ82" s="546"/>
      <c r="GK82" s="546"/>
      <c r="GL82" s="546"/>
      <c r="GM82" s="546"/>
      <c r="GN82" s="546"/>
      <c r="GO82" s="546"/>
      <c r="GP82" s="546"/>
      <c r="GQ82" s="546"/>
      <c r="GR82" s="546"/>
      <c r="GS82" s="546"/>
      <c r="GT82" s="546"/>
      <c r="GU82" s="546"/>
      <c r="GV82" s="546"/>
      <c r="GW82" s="546"/>
      <c r="GX82" s="546"/>
      <c r="GY82" s="546"/>
      <c r="GZ82" s="546"/>
      <c r="HA82" s="546"/>
      <c r="HB82" s="546"/>
      <c r="HC82" s="546"/>
      <c r="HD82" s="546"/>
      <c r="HE82" s="546"/>
      <c r="HF82" s="546"/>
      <c r="HG82" s="546"/>
      <c r="HH82" s="546"/>
      <c r="HI82" s="546"/>
      <c r="HJ82" s="546"/>
    </row>
    <row r="83" spans="1:218" s="541" customFormat="1" ht="14" x14ac:dyDescent="0.15">
      <c r="A83" s="588"/>
      <c r="B83" s="619"/>
      <c r="C83" s="588"/>
      <c r="D83" s="658"/>
      <c r="E83" s="658"/>
      <c r="F83" s="658"/>
      <c r="G83" s="658"/>
      <c r="H83" s="658"/>
      <c r="I83" s="658"/>
      <c r="J83" s="658"/>
      <c r="K83" s="658"/>
      <c r="L83" s="658"/>
      <c r="M83" s="658"/>
      <c r="N83" s="658"/>
      <c r="O83" s="658"/>
      <c r="P83" s="658"/>
      <c r="Q83" s="658"/>
      <c r="R83" s="658"/>
      <c r="S83" s="658"/>
      <c r="T83" s="658"/>
      <c r="U83" s="658"/>
      <c r="V83" s="658"/>
      <c r="W83" s="658"/>
      <c r="X83" s="658"/>
      <c r="Y83" s="658"/>
      <c r="Z83" s="667"/>
      <c r="AA83" s="667"/>
      <c r="AB83" s="667"/>
      <c r="AC83" s="667"/>
      <c r="AD83" s="667"/>
      <c r="AE83" s="667"/>
      <c r="AF83" s="667"/>
      <c r="AG83" s="667"/>
      <c r="AH83" s="667"/>
      <c r="AI83" s="667"/>
      <c r="AJ83" s="667"/>
      <c r="AK83" s="667"/>
      <c r="AL83" s="667"/>
      <c r="AM83" s="667"/>
      <c r="AN83" s="667"/>
      <c r="AO83" s="667"/>
      <c r="AX83" s="660"/>
      <c r="AY83" s="660"/>
      <c r="AZ83" s="660"/>
      <c r="BA83" s="660"/>
      <c r="BB83" s="660"/>
      <c r="BC83" s="660"/>
      <c r="BD83" s="660"/>
      <c r="BE83" s="660"/>
      <c r="BF83" s="588"/>
      <c r="BG83" s="621"/>
      <c r="BM83" s="599"/>
      <c r="BN83" s="626"/>
      <c r="BP83" s="672"/>
      <c r="BQ83" s="626"/>
      <c r="BR83" s="626"/>
      <c r="BS83" s="626"/>
      <c r="BT83" s="626"/>
      <c r="BU83" s="626"/>
      <c r="BV83" s="229" t="s">
        <v>111</v>
      </c>
      <c r="BW83" s="541" t="s">
        <v>492</v>
      </c>
      <c r="CA83" s="541" t="s">
        <v>1068</v>
      </c>
      <c r="CB83" s="1029" t="str">
        <f>+IF(BU8=2,2,"")</f>
        <v/>
      </c>
      <c r="CC83" s="1033">
        <v>0.04</v>
      </c>
      <c r="CD83" s="1033"/>
      <c r="CE83" s="1033"/>
      <c r="CF83" s="1223"/>
      <c r="CG83" s="1223"/>
      <c r="CH83" s="1223"/>
      <c r="CI83" s="566"/>
      <c r="CW83" s="554"/>
      <c r="EJ83" s="546"/>
      <c r="EK83" s="546"/>
      <c r="EL83" s="546"/>
      <c r="EM83" s="546"/>
      <c r="EN83" s="546"/>
      <c r="EO83" s="546"/>
      <c r="EP83" s="546"/>
      <c r="EQ83" s="546"/>
      <c r="ER83" s="546"/>
      <c r="ES83" s="546"/>
      <c r="ET83" s="546"/>
      <c r="EU83" s="546"/>
      <c r="EV83" s="546"/>
      <c r="EW83" s="546"/>
      <c r="EX83" s="546"/>
      <c r="EY83" s="546"/>
      <c r="EZ83" s="546"/>
      <c r="FA83" s="546"/>
      <c r="FB83" s="546"/>
      <c r="FC83" s="546"/>
      <c r="FD83" s="546"/>
      <c r="FE83" s="546"/>
      <c r="FF83" s="546"/>
      <c r="FG83" s="546"/>
      <c r="FH83" s="546"/>
      <c r="FI83" s="546"/>
      <c r="FJ83" s="546"/>
      <c r="FK83" s="546"/>
      <c r="FL83" s="546"/>
      <c r="FM83" s="546"/>
      <c r="FN83" s="546"/>
      <c r="FO83" s="546"/>
      <c r="FP83" s="546"/>
      <c r="FQ83" s="546"/>
      <c r="FR83" s="546"/>
      <c r="FS83" s="546"/>
      <c r="FT83" s="546"/>
      <c r="FU83" s="546"/>
      <c r="FV83" s="546"/>
      <c r="FW83" s="546"/>
      <c r="FX83" s="546"/>
      <c r="FY83" s="546"/>
      <c r="FZ83" s="546"/>
      <c r="GA83" s="546"/>
      <c r="GB83" s="546"/>
      <c r="GC83" s="546"/>
      <c r="GD83" s="546"/>
      <c r="GE83" s="546"/>
      <c r="GF83" s="546"/>
      <c r="GG83" s="546"/>
      <c r="GH83" s="546"/>
      <c r="GI83" s="546"/>
      <c r="GJ83" s="546"/>
      <c r="GK83" s="546"/>
      <c r="GL83" s="546"/>
      <c r="GM83" s="546"/>
      <c r="GN83" s="546"/>
      <c r="GO83" s="546"/>
      <c r="GP83" s="546"/>
      <c r="GQ83" s="546"/>
      <c r="GR83" s="546"/>
      <c r="GS83" s="546"/>
      <c r="GT83" s="546"/>
      <c r="GU83" s="546"/>
      <c r="GV83" s="546"/>
      <c r="GW83" s="546"/>
      <c r="GX83" s="546"/>
      <c r="GY83" s="546"/>
      <c r="GZ83" s="546"/>
      <c r="HA83" s="546"/>
      <c r="HB83" s="546"/>
      <c r="HC83" s="546"/>
      <c r="HD83" s="546"/>
      <c r="HE83" s="546"/>
      <c r="HF83" s="546"/>
      <c r="HG83" s="546"/>
      <c r="HH83" s="546"/>
      <c r="HI83" s="546"/>
      <c r="HJ83" s="546"/>
    </row>
    <row r="84" spans="1:218" s="541" customFormat="1" ht="14" x14ac:dyDescent="0.15">
      <c r="A84" s="588"/>
      <c r="B84" s="619"/>
      <c r="C84" s="588"/>
      <c r="D84" s="658" t="s">
        <v>1072</v>
      </c>
      <c r="E84" s="658"/>
      <c r="F84" s="658"/>
      <c r="G84" s="658"/>
      <c r="H84" s="658"/>
      <c r="I84" s="658"/>
      <c r="J84" s="658"/>
      <c r="K84" s="658"/>
      <c r="L84" s="673"/>
      <c r="M84" s="658"/>
      <c r="N84" s="658"/>
      <c r="O84" s="658"/>
      <c r="P84" s="658"/>
      <c r="Q84" s="658"/>
      <c r="R84" s="658"/>
      <c r="S84" s="658"/>
      <c r="T84" s="658"/>
      <c r="U84" s="658"/>
      <c r="V84" s="658"/>
      <c r="W84" s="658"/>
      <c r="X84" s="658"/>
      <c r="Y84" s="658"/>
      <c r="Z84" s="1387"/>
      <c r="AA84" s="1387"/>
      <c r="AB84" s="1387"/>
      <c r="AC84" s="1387"/>
      <c r="AD84" s="1387"/>
      <c r="AE84" s="1387"/>
      <c r="AF84" s="1387"/>
      <c r="AG84" s="1387"/>
      <c r="AH84" s="1387"/>
      <c r="AI84" s="1387"/>
      <c r="AJ84" s="1387"/>
      <c r="AK84" s="1387"/>
      <c r="AL84" s="1387"/>
      <c r="AM84" s="1387"/>
      <c r="AN84" s="1387"/>
      <c r="AO84" s="1387"/>
      <c r="AQ84" s="674" t="str">
        <f>+IF(Z84&gt;CC88,"A felszámított kamatfelár nem lehet több, mint a Programban megengedett!","")</f>
        <v/>
      </c>
      <c r="AX84" s="660"/>
      <c r="AY84" s="660"/>
      <c r="AZ84" s="660"/>
      <c r="BA84" s="660"/>
      <c r="BB84" s="660"/>
      <c r="BC84" s="660"/>
      <c r="BD84" s="660"/>
      <c r="BE84" s="660"/>
      <c r="BF84" s="588"/>
      <c r="BG84" s="621"/>
      <c r="BM84" s="599"/>
      <c r="BN84" s="626"/>
      <c r="BP84" s="672"/>
      <c r="BQ84" s="626"/>
      <c r="BR84" s="626"/>
      <c r="BS84" s="626"/>
      <c r="BT84" s="626"/>
      <c r="BU84" s="626"/>
      <c r="BV84" s="229" t="s">
        <v>111</v>
      </c>
      <c r="BW84" s="626" t="s">
        <v>493</v>
      </c>
      <c r="BX84" s="626"/>
      <c r="BY84" s="626"/>
      <c r="CA84" s="541" t="s">
        <v>1069</v>
      </c>
      <c r="CB84" s="1029" t="str">
        <f>+IF(BU9=3,3,"")</f>
        <v/>
      </c>
      <c r="CC84" s="1033">
        <v>0.02</v>
      </c>
      <c r="CD84" s="1033"/>
      <c r="CE84" s="1033"/>
      <c r="CF84" s="1223"/>
      <c r="CG84" s="1223"/>
      <c r="CH84" s="1223"/>
      <c r="CI84" s="566"/>
      <c r="CW84" s="554"/>
      <c r="EJ84" s="546"/>
      <c r="EK84" s="546"/>
      <c r="EL84" s="546"/>
      <c r="EM84" s="546"/>
      <c r="EN84" s="546"/>
      <c r="EO84" s="546"/>
      <c r="EP84" s="546"/>
      <c r="EQ84" s="546"/>
      <c r="ER84" s="546"/>
      <c r="ES84" s="546"/>
      <c r="ET84" s="546"/>
      <c r="EU84" s="546"/>
      <c r="EV84" s="546"/>
      <c r="EW84" s="546"/>
      <c r="EX84" s="546"/>
      <c r="EY84" s="546"/>
      <c r="EZ84" s="546"/>
      <c r="FA84" s="546"/>
      <c r="FB84" s="546"/>
      <c r="FC84" s="546"/>
      <c r="FD84" s="546"/>
      <c r="FE84" s="546"/>
      <c r="FF84" s="546"/>
      <c r="FG84" s="546"/>
      <c r="FH84" s="546"/>
      <c r="FI84" s="546"/>
      <c r="FJ84" s="546"/>
      <c r="FK84" s="546"/>
      <c r="FL84" s="546"/>
      <c r="FM84" s="546"/>
      <c r="FN84" s="546"/>
      <c r="FO84" s="546"/>
      <c r="FP84" s="546"/>
      <c r="FQ84" s="546"/>
      <c r="FR84" s="546"/>
      <c r="FS84" s="546"/>
      <c r="FT84" s="546"/>
      <c r="FU84" s="546"/>
      <c r="FV84" s="546"/>
      <c r="FW84" s="546"/>
      <c r="FX84" s="546"/>
      <c r="FY84" s="546"/>
      <c r="FZ84" s="546"/>
      <c r="GA84" s="546"/>
      <c r="GB84" s="546"/>
      <c r="GC84" s="546"/>
      <c r="GD84" s="546"/>
      <c r="GE84" s="546"/>
      <c r="GF84" s="546"/>
      <c r="GG84" s="546"/>
      <c r="GH84" s="546"/>
      <c r="GI84" s="546"/>
      <c r="GJ84" s="546"/>
      <c r="GK84" s="546"/>
      <c r="GL84" s="546"/>
      <c r="GM84" s="546"/>
      <c r="GN84" s="546"/>
      <c r="GO84" s="546"/>
      <c r="GP84" s="546"/>
      <c r="GQ84" s="546"/>
      <c r="GR84" s="546"/>
      <c r="GS84" s="546"/>
      <c r="GT84" s="546"/>
      <c r="GU84" s="546"/>
      <c r="GV84" s="546"/>
      <c r="GW84" s="546"/>
      <c r="GX84" s="546"/>
      <c r="GY84" s="546"/>
      <c r="GZ84" s="546"/>
      <c r="HA84" s="546"/>
      <c r="HB84" s="546"/>
      <c r="HC84" s="546"/>
      <c r="HD84" s="546"/>
      <c r="HE84" s="546"/>
      <c r="HF84" s="546"/>
      <c r="HG84" s="546"/>
      <c r="HH84" s="546"/>
      <c r="HI84" s="546"/>
      <c r="HJ84" s="546"/>
    </row>
    <row r="85" spans="1:218" s="541" customFormat="1" ht="14" x14ac:dyDescent="0.15">
      <c r="A85" s="588"/>
      <c r="B85" s="619"/>
      <c r="C85" s="588"/>
      <c r="D85" s="658"/>
      <c r="E85" s="658"/>
      <c r="F85" s="658"/>
      <c r="G85" s="658"/>
      <c r="H85" s="658"/>
      <c r="I85" s="658"/>
      <c r="J85" s="658"/>
      <c r="K85" s="658"/>
      <c r="L85" s="673"/>
      <c r="M85" s="658"/>
      <c r="N85" s="658"/>
      <c r="O85" s="658"/>
      <c r="P85" s="658"/>
      <c r="Q85" s="658"/>
      <c r="R85" s="658"/>
      <c r="S85" s="658"/>
      <c r="T85" s="658"/>
      <c r="U85" s="658"/>
      <c r="V85" s="658"/>
      <c r="W85" s="658"/>
      <c r="X85" s="658"/>
      <c r="Y85" s="658"/>
      <c r="Z85" s="667"/>
      <c r="AA85" s="667"/>
      <c r="AB85" s="667"/>
      <c r="AC85" s="667"/>
      <c r="AD85" s="667"/>
      <c r="AE85" s="667"/>
      <c r="AF85" s="667"/>
      <c r="AG85" s="667"/>
      <c r="AH85" s="667"/>
      <c r="AI85" s="667"/>
      <c r="AJ85" s="667"/>
      <c r="AK85" s="667"/>
      <c r="AL85" s="667"/>
      <c r="AM85" s="667"/>
      <c r="AN85" s="667"/>
      <c r="AO85" s="667"/>
      <c r="AX85" s="660"/>
      <c r="AY85" s="660"/>
      <c r="AZ85" s="660"/>
      <c r="BA85" s="660"/>
      <c r="BB85" s="660"/>
      <c r="BC85" s="660"/>
      <c r="BD85" s="660"/>
      <c r="BE85" s="660"/>
      <c r="BF85" s="588"/>
      <c r="BG85" s="621"/>
      <c r="BM85" s="599"/>
      <c r="BN85" s="626"/>
      <c r="BO85" s="672" t="s">
        <v>1088</v>
      </c>
      <c r="BP85" s="672"/>
      <c r="BQ85" s="626"/>
      <c r="BR85" s="626"/>
      <c r="BS85" s="626"/>
      <c r="BT85" s="626"/>
      <c r="BU85" s="626"/>
      <c r="BV85" s="672" t="s">
        <v>494</v>
      </c>
      <c r="BW85" s="626"/>
      <c r="BX85" s="626"/>
      <c r="BY85" s="626"/>
      <c r="BZ85" s="626"/>
      <c r="CA85" s="626" t="s">
        <v>1070</v>
      </c>
      <c r="CB85" s="1029" t="str">
        <f>+IF(PVRKII=4,4,"")</f>
        <v/>
      </c>
      <c r="CC85" s="1033">
        <v>0.04</v>
      </c>
      <c r="CD85" s="1033"/>
      <c r="CE85" s="1033"/>
      <c r="CF85" s="1223"/>
      <c r="CG85" s="1223"/>
      <c r="CH85" s="1223"/>
      <c r="CI85" s="566"/>
      <c r="CW85" s="554"/>
      <c r="EJ85" s="546"/>
      <c r="EK85" s="546"/>
      <c r="EL85" s="546"/>
      <c r="EM85" s="546"/>
      <c r="EN85" s="546"/>
      <c r="EO85" s="546"/>
      <c r="EP85" s="546"/>
      <c r="EQ85" s="546"/>
      <c r="ER85" s="546"/>
      <c r="ES85" s="546"/>
      <c r="ET85" s="546"/>
      <c r="EU85" s="546"/>
      <c r="EV85" s="546"/>
      <c r="EW85" s="546"/>
      <c r="EX85" s="546"/>
      <c r="EY85" s="546"/>
      <c r="EZ85" s="546"/>
      <c r="FA85" s="546"/>
      <c r="FB85" s="546"/>
      <c r="FC85" s="546"/>
      <c r="FD85" s="546"/>
      <c r="FE85" s="546"/>
      <c r="FF85" s="546"/>
      <c r="FG85" s="546"/>
      <c r="FH85" s="546"/>
      <c r="FI85" s="546"/>
      <c r="FJ85" s="546"/>
      <c r="FK85" s="546"/>
      <c r="FL85" s="546"/>
      <c r="FM85" s="546"/>
      <c r="FN85" s="546"/>
      <c r="FO85" s="546"/>
      <c r="FP85" s="546"/>
      <c r="FQ85" s="546"/>
      <c r="FR85" s="546"/>
      <c r="FS85" s="546"/>
      <c r="FT85" s="546"/>
      <c r="FU85" s="546"/>
      <c r="FV85" s="546"/>
      <c r="FW85" s="546"/>
      <c r="FX85" s="546"/>
      <c r="FY85" s="546"/>
      <c r="FZ85" s="546"/>
      <c r="GA85" s="546"/>
      <c r="GB85" s="546"/>
      <c r="GC85" s="546"/>
      <c r="GD85" s="546"/>
      <c r="GE85" s="546"/>
      <c r="GF85" s="546"/>
      <c r="GG85" s="546"/>
      <c r="GH85" s="546"/>
      <c r="GI85" s="546"/>
      <c r="GJ85" s="546"/>
      <c r="GK85" s="546"/>
      <c r="GL85" s="546"/>
      <c r="GM85" s="546"/>
      <c r="GN85" s="546"/>
      <c r="GO85" s="546"/>
      <c r="GP85" s="546"/>
      <c r="GQ85" s="546"/>
      <c r="GR85" s="546"/>
      <c r="GS85" s="546"/>
      <c r="GT85" s="546"/>
      <c r="GU85" s="546"/>
      <c r="GV85" s="546"/>
      <c r="GW85" s="546"/>
      <c r="GX85" s="546"/>
      <c r="GY85" s="546"/>
      <c r="GZ85" s="546"/>
      <c r="HA85" s="546"/>
      <c r="HB85" s="546"/>
      <c r="HC85" s="546"/>
      <c r="HD85" s="546"/>
      <c r="HE85" s="546"/>
      <c r="HF85" s="546"/>
      <c r="HG85" s="546"/>
      <c r="HH85" s="546"/>
      <c r="HI85" s="546"/>
      <c r="HJ85" s="546"/>
    </row>
    <row r="86" spans="1:218" s="541" customFormat="1" ht="15" x14ac:dyDescent="0.15">
      <c r="A86" s="588"/>
      <c r="B86" s="619"/>
      <c r="C86" s="588"/>
      <c r="D86" s="588" t="s">
        <v>1004</v>
      </c>
      <c r="E86" s="588"/>
      <c r="F86" s="588"/>
      <c r="G86" s="588"/>
      <c r="H86" s="588"/>
      <c r="I86" s="588"/>
      <c r="J86" s="588"/>
      <c r="K86" s="588"/>
      <c r="L86" s="588"/>
      <c r="M86" s="588"/>
      <c r="N86" s="588"/>
      <c r="O86" s="588"/>
      <c r="P86" s="588"/>
      <c r="Q86" s="588"/>
      <c r="R86" s="588"/>
      <c r="S86" s="588"/>
      <c r="T86" s="588"/>
      <c r="U86" s="588"/>
      <c r="V86" s="588"/>
      <c r="W86" s="588"/>
      <c r="X86" s="588"/>
      <c r="Y86" s="588"/>
      <c r="Z86" s="1445">
        <f>IF(CB80&lt;=3.7%,CB80,3.7%)</f>
        <v>3.7000000000000005E-2</v>
      </c>
      <c r="AA86" s="1446"/>
      <c r="AB86" s="1446"/>
      <c r="AC86" s="1446"/>
      <c r="AD86" s="1446"/>
      <c r="AE86" s="1446"/>
      <c r="AF86" s="1446"/>
      <c r="AG86" s="1446"/>
      <c r="AH86" s="1446"/>
      <c r="AI86" s="1446"/>
      <c r="AJ86" s="1446"/>
      <c r="AK86" s="1446"/>
      <c r="AL86" s="1446"/>
      <c r="AM86" s="1446"/>
      <c r="AN86" s="1446"/>
      <c r="AO86" s="1446"/>
      <c r="AP86" s="1438" t="s">
        <v>902</v>
      </c>
      <c r="AQ86" s="1438"/>
      <c r="AR86" s="1438"/>
      <c r="AS86" s="1438"/>
      <c r="AT86" s="1438"/>
      <c r="AU86" s="1438"/>
      <c r="AV86" s="1438"/>
      <c r="AW86" s="1438"/>
      <c r="AX86" s="1438"/>
      <c r="AY86" s="1438"/>
      <c r="AZ86" s="1438"/>
      <c r="BA86" s="1438"/>
      <c r="BB86" s="1438"/>
      <c r="BC86" s="1438"/>
      <c r="BD86" s="588"/>
      <c r="BE86" s="588"/>
      <c r="BF86" s="588"/>
      <c r="BG86" s="621"/>
      <c r="BM86" s="599"/>
      <c r="BN86" s="626"/>
      <c r="BO86" s="675" t="s">
        <v>463</v>
      </c>
      <c r="BP86" s="672"/>
      <c r="BQ86" s="626"/>
      <c r="BR86" s="626"/>
      <c r="BT86" s="626"/>
      <c r="BV86" s="675" t="s">
        <v>463</v>
      </c>
      <c r="BX86" s="626"/>
      <c r="BY86" s="626"/>
      <c r="BZ86" s="626"/>
      <c r="CA86" s="1114" t="s">
        <v>295</v>
      </c>
      <c r="CB86" s="626"/>
      <c r="CC86" s="1115">
        <v>0.04</v>
      </c>
      <c r="CE86" s="566"/>
      <c r="CG86" s="566"/>
      <c r="CH86" s="566"/>
      <c r="CI86" s="566"/>
      <c r="CW86" s="554"/>
      <c r="EJ86" s="546"/>
      <c r="EK86" s="546"/>
      <c r="EL86" s="546"/>
      <c r="EM86" s="546"/>
      <c r="EN86" s="546"/>
      <c r="EO86" s="546"/>
      <c r="EP86" s="546"/>
      <c r="EQ86" s="546"/>
      <c r="ER86" s="546"/>
      <c r="ES86" s="546"/>
      <c r="ET86" s="546"/>
      <c r="EU86" s="546"/>
      <c r="EV86" s="546"/>
      <c r="EW86" s="546"/>
      <c r="EX86" s="546"/>
      <c r="EY86" s="546"/>
      <c r="EZ86" s="546"/>
      <c r="FA86" s="546"/>
      <c r="FB86" s="546"/>
      <c r="FC86" s="546"/>
      <c r="FD86" s="546"/>
      <c r="FE86" s="546"/>
      <c r="FF86" s="546"/>
      <c r="FG86" s="546"/>
      <c r="FH86" s="546"/>
      <c r="FI86" s="546"/>
      <c r="FJ86" s="546"/>
      <c r="FK86" s="546"/>
      <c r="FL86" s="546"/>
      <c r="FM86" s="546"/>
      <c r="FN86" s="546"/>
      <c r="FO86" s="546"/>
      <c r="FP86" s="546"/>
      <c r="FQ86" s="546"/>
      <c r="FR86" s="546"/>
      <c r="FS86" s="546"/>
      <c r="FT86" s="546"/>
      <c r="FU86" s="546"/>
      <c r="FV86" s="546"/>
      <c r="FW86" s="546"/>
      <c r="FX86" s="546"/>
      <c r="FY86" s="546"/>
      <c r="FZ86" s="546"/>
      <c r="GA86" s="546"/>
      <c r="GB86" s="546"/>
      <c r="GC86" s="546"/>
      <c r="GD86" s="546"/>
      <c r="GE86" s="546"/>
      <c r="GF86" s="546"/>
      <c r="GG86" s="546"/>
      <c r="GH86" s="546"/>
      <c r="GI86" s="546"/>
      <c r="GJ86" s="546"/>
      <c r="GK86" s="546"/>
      <c r="GL86" s="546"/>
      <c r="GM86" s="546"/>
      <c r="GN86" s="546"/>
      <c r="GO86" s="546"/>
      <c r="GP86" s="546"/>
      <c r="GQ86" s="546"/>
      <c r="GR86" s="546"/>
      <c r="GS86" s="546"/>
      <c r="GT86" s="546"/>
      <c r="GU86" s="546"/>
      <c r="GV86" s="546"/>
      <c r="GW86" s="546"/>
      <c r="GX86" s="546"/>
      <c r="GY86" s="546"/>
      <c r="GZ86" s="546"/>
      <c r="HA86" s="546"/>
      <c r="HB86" s="546"/>
      <c r="HC86" s="546"/>
      <c r="HD86" s="546"/>
      <c r="HE86" s="546"/>
      <c r="HF86" s="546"/>
      <c r="HG86" s="546"/>
      <c r="HH86" s="546"/>
      <c r="HJ86" s="546"/>
    </row>
    <row r="87" spans="1:218" s="541" customFormat="1" ht="14" x14ac:dyDescent="0.15">
      <c r="A87" s="588"/>
      <c r="B87" s="619"/>
      <c r="C87" s="588"/>
      <c r="D87" s="588"/>
      <c r="E87" s="588"/>
      <c r="F87" s="588"/>
      <c r="G87" s="588"/>
      <c r="H87" s="588"/>
      <c r="I87" s="588"/>
      <c r="J87" s="588"/>
      <c r="K87" s="588"/>
      <c r="L87" s="588"/>
      <c r="M87" s="588"/>
      <c r="N87" s="588"/>
      <c r="O87" s="588"/>
      <c r="P87" s="588"/>
      <c r="Q87" s="588"/>
      <c r="BG87" s="621"/>
      <c r="BM87" s="599"/>
      <c r="BN87" s="626"/>
      <c r="BO87" s="625" t="s">
        <v>505</v>
      </c>
      <c r="BP87" s="672"/>
      <c r="BQ87" s="626"/>
      <c r="BR87" s="626"/>
      <c r="BT87" s="626"/>
      <c r="BU87" s="626"/>
      <c r="BV87" s="625" t="str">
        <f>+IF(CB9="c","","fix")</f>
        <v>fix</v>
      </c>
      <c r="BX87" s="626"/>
      <c r="BY87" s="626"/>
      <c r="BZ87" s="626"/>
      <c r="CA87" s="1032" t="s">
        <v>1071</v>
      </c>
      <c r="CB87" s="625" t="str">
        <f>+forma</f>
        <v>legördülő cella</v>
      </c>
      <c r="CC87" s="626"/>
      <c r="CE87" s="566"/>
      <c r="CG87" s="566"/>
      <c r="CH87" s="566"/>
      <c r="CI87" s="566"/>
      <c r="CW87" s="554"/>
      <c r="EJ87" s="546"/>
      <c r="EK87" s="546"/>
      <c r="EL87" s="546"/>
      <c r="EM87" s="546"/>
      <c r="EN87" s="546"/>
      <c r="EO87" s="546"/>
      <c r="EP87" s="546"/>
      <c r="EQ87" s="546"/>
      <c r="ER87" s="546"/>
      <c r="ES87" s="546"/>
      <c r="ET87" s="546"/>
      <c r="EU87" s="546"/>
      <c r="EV87" s="546"/>
      <c r="EW87" s="546"/>
      <c r="EX87" s="546"/>
      <c r="EY87" s="546"/>
      <c r="EZ87" s="546"/>
      <c r="FA87" s="546"/>
      <c r="FB87" s="546"/>
      <c r="FC87" s="546"/>
      <c r="FD87" s="546"/>
      <c r="FE87" s="546"/>
      <c r="FF87" s="546"/>
      <c r="FG87" s="546"/>
      <c r="FH87" s="546"/>
      <c r="FI87" s="546"/>
      <c r="FJ87" s="546"/>
      <c r="FK87" s="546"/>
      <c r="FL87" s="546"/>
      <c r="FM87" s="546"/>
      <c r="FN87" s="546"/>
      <c r="FO87" s="546"/>
      <c r="FP87" s="546"/>
      <c r="FQ87" s="546"/>
      <c r="FR87" s="546"/>
      <c r="FS87" s="546"/>
      <c r="FT87" s="546"/>
      <c r="FU87" s="546"/>
      <c r="FV87" s="546"/>
      <c r="FW87" s="546"/>
      <c r="FX87" s="546"/>
      <c r="FY87" s="546"/>
      <c r="FZ87" s="546"/>
      <c r="GA87" s="546"/>
      <c r="GB87" s="546"/>
      <c r="GC87" s="546"/>
      <c r="GD87" s="546"/>
      <c r="GE87" s="546"/>
      <c r="GF87" s="546"/>
      <c r="GG87" s="546"/>
      <c r="GH87" s="546"/>
      <c r="GI87" s="546"/>
      <c r="GJ87" s="546"/>
      <c r="GK87" s="546"/>
      <c r="GL87" s="546"/>
      <c r="GM87" s="546"/>
      <c r="GN87" s="546"/>
      <c r="GO87" s="546"/>
      <c r="GP87" s="546"/>
      <c r="GQ87" s="546"/>
      <c r="GR87" s="546"/>
      <c r="GS87" s="546"/>
      <c r="GT87" s="546"/>
      <c r="GU87" s="546"/>
      <c r="GV87" s="546"/>
      <c r="GW87" s="546"/>
      <c r="GX87" s="546"/>
      <c r="GY87" s="546"/>
      <c r="GZ87" s="546"/>
      <c r="HA87" s="546"/>
      <c r="HB87" s="546"/>
      <c r="HC87" s="546"/>
      <c r="HD87" s="546"/>
      <c r="HE87" s="546"/>
      <c r="HF87" s="546"/>
      <c r="HG87" s="546"/>
      <c r="HH87" s="546"/>
      <c r="HJ87" s="546"/>
    </row>
    <row r="88" spans="1:218" s="541" customFormat="1" ht="27" customHeight="1" x14ac:dyDescent="0.15">
      <c r="A88" s="588"/>
      <c r="B88" s="619"/>
      <c r="C88" s="588"/>
      <c r="D88" s="588" t="s">
        <v>562</v>
      </c>
      <c r="E88" s="588"/>
      <c r="F88" s="588"/>
      <c r="G88" s="588"/>
      <c r="H88" s="588"/>
      <c r="I88" s="588"/>
      <c r="J88" s="588"/>
      <c r="K88" s="588"/>
      <c r="L88" s="588"/>
      <c r="M88" s="588"/>
      <c r="N88" s="588"/>
      <c r="O88" s="588"/>
      <c r="P88" s="588"/>
      <c r="Q88" s="588"/>
      <c r="AA88" s="1442" t="s">
        <v>999</v>
      </c>
      <c r="AB88" s="1442"/>
      <c r="AC88" s="1442"/>
      <c r="AD88" s="1281" t="s">
        <v>380</v>
      </c>
      <c r="AE88" s="1281"/>
      <c r="AF88" s="1281"/>
      <c r="AG88" s="1281"/>
      <c r="AH88" s="1281"/>
      <c r="AI88" s="1281"/>
      <c r="AJ88" s="1281"/>
      <c r="AK88" s="1281"/>
      <c r="AL88" s="1281"/>
      <c r="AM88" s="1281"/>
      <c r="AN88" s="1281"/>
      <c r="AO88" s="937" t="s">
        <v>1000</v>
      </c>
      <c r="AP88" s="1281" t="s">
        <v>380</v>
      </c>
      <c r="AQ88" s="1281"/>
      <c r="AR88" s="1281"/>
      <c r="AS88" s="1281"/>
      <c r="AT88" s="1281"/>
      <c r="AU88" s="1281"/>
      <c r="AV88" s="1281"/>
      <c r="AW88" s="1281"/>
      <c r="AX88" s="1281"/>
      <c r="AY88" s="1281"/>
      <c r="AZ88" s="1281"/>
      <c r="BA88" s="1281"/>
      <c r="BD88" s="552"/>
      <c r="BE88" s="552"/>
      <c r="BF88" s="552"/>
      <c r="BG88" s="621"/>
      <c r="BM88" s="599"/>
      <c r="BN88" s="626"/>
      <c r="BO88" s="625" t="str">
        <f>IF(BU10=4,"fix","")</f>
        <v/>
      </c>
      <c r="BP88" s="672"/>
      <c r="BQ88" s="626"/>
      <c r="BR88" s="626"/>
      <c r="BT88" s="626"/>
      <c r="BU88" s="626"/>
      <c r="BV88" s="625" t="str">
        <f>+IF(OR(AND(BU7=1,AQ68="HUF"),BU10=4,CB9="c"),"változó","")</f>
        <v/>
      </c>
      <c r="CB88" s="625" t="str">
        <f>+IF(CB87="legördülő cella","",IF(OR(CB87="mikrovállalkozás",CB87="kisvállalkozás",CB87="középvállalkozás"),1,2))</f>
        <v/>
      </c>
      <c r="CC88" s="1033" t="str">
        <f>++IF(AND(CB80="a",CB88=1),CC80,IF(AND(CB80="a",CB88=2),CD80,IF(AND(CB81="b",CB88=1),CC81,IF(AND(CB81="b",CB88=2),CD81,IF(AND(CB82="c",CB88=1),CC82,IF(AND(CB82="c",CB88=2),CD82,IF(AND(CB83=2,CB88=1),CC83,IF(AND(CB84=3,CB88=1),CC84,IF(AND(CB85=4,CB88=1),CC85,"")))))))))</f>
        <v/>
      </c>
      <c r="CG88" s="566"/>
      <c r="CH88" s="566"/>
      <c r="CI88" s="566"/>
      <c r="CW88" s="554"/>
      <c r="EJ88" s="546"/>
      <c r="EK88" s="546"/>
      <c r="EL88" s="546"/>
      <c r="EM88" s="546"/>
      <c r="EN88" s="546"/>
      <c r="EO88" s="546"/>
      <c r="EP88" s="546"/>
      <c r="EQ88" s="546"/>
      <c r="ER88" s="546"/>
      <c r="ES88" s="546"/>
      <c r="ET88" s="546"/>
      <c r="EU88" s="546"/>
      <c r="EV88" s="546"/>
      <c r="EW88" s="546"/>
      <c r="EX88" s="546"/>
      <c r="EY88" s="546"/>
      <c r="EZ88" s="546"/>
      <c r="FA88" s="546"/>
      <c r="FB88" s="546"/>
      <c r="FC88" s="546"/>
      <c r="FD88" s="546"/>
      <c r="FE88" s="546"/>
      <c r="FF88" s="546"/>
      <c r="FG88" s="546"/>
      <c r="FH88" s="546"/>
      <c r="FI88" s="546"/>
      <c r="FJ88" s="546"/>
      <c r="FK88" s="546"/>
      <c r="FL88" s="546"/>
      <c r="FM88" s="546"/>
      <c r="FN88" s="546"/>
      <c r="FO88" s="546"/>
      <c r="FP88" s="546"/>
      <c r="FQ88" s="546"/>
      <c r="FR88" s="546"/>
      <c r="FS88" s="546"/>
      <c r="FT88" s="546"/>
      <c r="FU88" s="546"/>
      <c r="FV88" s="546"/>
      <c r="FW88" s="546"/>
      <c r="FX88" s="546"/>
      <c r="FY88" s="546"/>
      <c r="FZ88" s="546"/>
      <c r="GA88" s="546"/>
      <c r="GB88" s="546"/>
      <c r="GC88" s="546"/>
      <c r="GD88" s="546"/>
      <c r="GE88" s="546"/>
      <c r="GF88" s="546"/>
      <c r="GG88" s="546"/>
      <c r="GH88" s="546"/>
      <c r="GI88" s="546"/>
      <c r="GJ88" s="546"/>
      <c r="GK88" s="546"/>
      <c r="GL88" s="546"/>
      <c r="GM88" s="546"/>
      <c r="GN88" s="546"/>
      <c r="GO88" s="546"/>
      <c r="GP88" s="546"/>
      <c r="GQ88" s="546"/>
      <c r="GR88" s="546"/>
      <c r="GS88" s="546"/>
      <c r="GT88" s="546"/>
      <c r="GU88" s="546"/>
      <c r="GV88" s="546"/>
      <c r="GW88" s="546"/>
      <c r="GX88" s="546"/>
      <c r="GY88" s="546"/>
      <c r="GZ88" s="546"/>
      <c r="HA88" s="546"/>
      <c r="HB88" s="546"/>
      <c r="HC88" s="546"/>
      <c r="HD88" s="546"/>
      <c r="HE88" s="546"/>
      <c r="HF88" s="546"/>
      <c r="HG88" s="546"/>
      <c r="HH88" s="546"/>
      <c r="HJ88" s="546"/>
    </row>
    <row r="89" spans="1:218" s="541" customFormat="1" ht="14" x14ac:dyDescent="0.15">
      <c r="A89" s="588"/>
      <c r="B89" s="619"/>
      <c r="C89" s="588"/>
      <c r="D89" s="588"/>
      <c r="E89" s="588"/>
      <c r="F89" s="588"/>
      <c r="G89" s="588"/>
      <c r="H89" s="588"/>
      <c r="I89" s="588"/>
      <c r="J89" s="588"/>
      <c r="K89" s="588"/>
      <c r="L89" s="588"/>
      <c r="M89" s="588"/>
      <c r="N89" s="588"/>
      <c r="O89" s="588"/>
      <c r="P89" s="588"/>
      <c r="Q89" s="588"/>
      <c r="BG89" s="621"/>
      <c r="BM89" s="599"/>
      <c r="BN89" s="626"/>
      <c r="BP89" s="672"/>
      <c r="BQ89" s="626"/>
      <c r="BR89" s="626"/>
      <c r="BT89" s="626"/>
      <c r="BU89" s="626"/>
      <c r="BV89" s="625"/>
      <c r="CG89" s="566"/>
      <c r="CH89" s="566"/>
      <c r="CI89" s="566"/>
      <c r="CW89" s="554"/>
      <c r="EJ89" s="546"/>
      <c r="EK89" s="546"/>
      <c r="EL89" s="546"/>
      <c r="EM89" s="546"/>
      <c r="EN89" s="546"/>
      <c r="EO89" s="546"/>
      <c r="EP89" s="546"/>
      <c r="EQ89" s="546"/>
      <c r="ER89" s="546"/>
      <c r="ES89" s="546"/>
      <c r="ET89" s="546"/>
      <c r="EU89" s="546"/>
      <c r="EV89" s="546"/>
      <c r="EW89" s="546"/>
      <c r="EX89" s="546"/>
      <c r="EY89" s="546"/>
      <c r="EZ89" s="546"/>
      <c r="FA89" s="546"/>
      <c r="FB89" s="546"/>
      <c r="FC89" s="546"/>
      <c r="FD89" s="546"/>
      <c r="FE89" s="546"/>
      <c r="FF89" s="546"/>
      <c r="FG89" s="546"/>
      <c r="FH89" s="546"/>
      <c r="FI89" s="546"/>
      <c r="FJ89" s="546"/>
      <c r="FK89" s="546"/>
      <c r="FL89" s="546"/>
      <c r="FM89" s="546"/>
      <c r="FN89" s="546"/>
      <c r="FO89" s="546"/>
      <c r="FP89" s="546"/>
      <c r="FQ89" s="546"/>
      <c r="FR89" s="546"/>
      <c r="FS89" s="546"/>
      <c r="FT89" s="546"/>
      <c r="FU89" s="546"/>
      <c r="FV89" s="546"/>
      <c r="FW89" s="546"/>
      <c r="FX89" s="546"/>
      <c r="FY89" s="546"/>
      <c r="FZ89" s="546"/>
      <c r="GA89" s="546"/>
      <c r="GB89" s="546"/>
      <c r="GC89" s="546"/>
      <c r="GD89" s="546"/>
      <c r="GE89" s="546"/>
      <c r="GF89" s="546"/>
      <c r="GG89" s="546"/>
      <c r="GH89" s="546"/>
      <c r="GI89" s="546"/>
      <c r="GJ89" s="546"/>
      <c r="GK89" s="546"/>
      <c r="GL89" s="546"/>
      <c r="GM89" s="546"/>
      <c r="GN89" s="546"/>
      <c r="GO89" s="546"/>
      <c r="GP89" s="546"/>
      <c r="GQ89" s="546"/>
      <c r="GR89" s="546"/>
      <c r="GS89" s="546"/>
      <c r="GT89" s="546"/>
      <c r="GU89" s="546"/>
      <c r="GV89" s="546"/>
      <c r="GW89" s="546"/>
      <c r="GX89" s="546"/>
      <c r="GY89" s="546"/>
      <c r="GZ89" s="546"/>
      <c r="HA89" s="546"/>
      <c r="HB89" s="546"/>
      <c r="HC89" s="546"/>
      <c r="HD89" s="546"/>
      <c r="HE89" s="546"/>
      <c r="HF89" s="546"/>
      <c r="HG89" s="546"/>
      <c r="HH89" s="546"/>
      <c r="HJ89" s="546"/>
    </row>
    <row r="90" spans="1:218" s="541" customFormat="1" ht="27" customHeight="1" x14ac:dyDescent="0.15">
      <c r="A90" s="588"/>
      <c r="B90" s="676"/>
      <c r="D90" s="1220" t="s">
        <v>405</v>
      </c>
      <c r="E90" s="1220"/>
      <c r="F90" s="1220"/>
      <c r="G90" s="1220"/>
      <c r="H90" s="1220"/>
      <c r="I90" s="1220"/>
      <c r="J90" s="1220"/>
      <c r="K90" s="1220"/>
      <c r="L90" s="1220"/>
      <c r="M90" s="1220"/>
      <c r="N90" s="1250" t="str">
        <f>+CJ172</f>
        <v/>
      </c>
      <c r="O90" s="1250"/>
      <c r="P90" s="1250"/>
      <c r="Q90" s="1250"/>
      <c r="R90" s="1250"/>
      <c r="S90" s="1250"/>
      <c r="T90" s="1250"/>
      <c r="U90" s="1250"/>
      <c r="V90" s="545" t="s">
        <v>164</v>
      </c>
      <c r="W90" s="545"/>
      <c r="X90" s="1213" t="s">
        <v>406</v>
      </c>
      <c r="Y90" s="1213"/>
      <c r="Z90" s="677"/>
      <c r="AA90" s="1244"/>
      <c r="AB90" s="1244"/>
      <c r="AC90" s="1244"/>
      <c r="AD90" s="1244"/>
      <c r="AE90" s="1244"/>
      <c r="AF90" s="1244"/>
      <c r="AG90" s="1244"/>
      <c r="AH90" s="1244"/>
      <c r="AI90" s="1244"/>
      <c r="AJ90" s="678"/>
      <c r="AK90" s="678"/>
      <c r="AL90" s="1213" t="s">
        <v>407</v>
      </c>
      <c r="AM90" s="1213"/>
      <c r="AN90" s="1244"/>
      <c r="AO90" s="1244"/>
      <c r="AP90" s="1244"/>
      <c r="AQ90" s="1244"/>
      <c r="AR90" s="1244"/>
      <c r="AS90" s="677"/>
      <c r="AT90" s="677"/>
      <c r="AU90" s="677"/>
      <c r="AV90" s="677"/>
      <c r="AW90" s="677"/>
      <c r="AX90" s="677"/>
      <c r="AY90" s="677"/>
      <c r="AZ90" s="677"/>
      <c r="BA90" s="1441"/>
      <c r="BB90" s="1441"/>
      <c r="BC90" s="1441"/>
      <c r="BD90" s="1441"/>
      <c r="BE90" s="1441"/>
      <c r="BF90" s="550"/>
      <c r="BG90" s="679"/>
      <c r="BM90" s="599"/>
      <c r="BN90" s="626"/>
      <c r="BP90" s="672"/>
      <c r="BQ90" s="626"/>
      <c r="BR90" s="626"/>
      <c r="BT90" s="626"/>
      <c r="BU90" s="626"/>
      <c r="BV90" s="625"/>
      <c r="CG90" s="566"/>
      <c r="CH90" s="566"/>
      <c r="CI90" s="566"/>
      <c r="CW90" s="554"/>
      <c r="EJ90" s="546"/>
      <c r="EK90" s="546"/>
      <c r="EL90" s="546"/>
      <c r="EM90" s="546"/>
      <c r="EN90" s="546"/>
      <c r="EO90" s="546"/>
      <c r="EP90" s="546"/>
      <c r="EQ90" s="546"/>
      <c r="ER90" s="546"/>
      <c r="ES90" s="546"/>
      <c r="ET90" s="546"/>
      <c r="EU90" s="546"/>
      <c r="EV90" s="546"/>
      <c r="EW90" s="546"/>
      <c r="EX90" s="546"/>
      <c r="EY90" s="546"/>
      <c r="EZ90" s="546"/>
      <c r="FA90" s="546"/>
      <c r="FB90" s="546"/>
      <c r="FC90" s="546"/>
      <c r="FD90" s="546"/>
      <c r="FE90" s="546"/>
      <c r="FF90" s="546"/>
      <c r="FG90" s="546"/>
      <c r="FH90" s="546"/>
      <c r="FI90" s="546"/>
      <c r="FJ90" s="546"/>
      <c r="FK90" s="546"/>
      <c r="FL90" s="546"/>
      <c r="FM90" s="546"/>
      <c r="FN90" s="546"/>
      <c r="FO90" s="546"/>
      <c r="FP90" s="546"/>
      <c r="FQ90" s="546"/>
      <c r="FR90" s="546"/>
      <c r="FS90" s="546"/>
      <c r="FT90" s="546"/>
      <c r="FU90" s="546"/>
      <c r="FV90" s="546"/>
      <c r="FW90" s="546"/>
      <c r="FX90" s="546"/>
      <c r="FY90" s="546"/>
      <c r="FZ90" s="546"/>
      <c r="GA90" s="546"/>
      <c r="GB90" s="546"/>
      <c r="GC90" s="546"/>
      <c r="GD90" s="546"/>
      <c r="GE90" s="546"/>
      <c r="GF90" s="546"/>
      <c r="GG90" s="546"/>
      <c r="GH90" s="546"/>
      <c r="GI90" s="546"/>
      <c r="GJ90" s="546"/>
      <c r="GK90" s="546"/>
      <c r="GL90" s="546"/>
      <c r="GM90" s="546"/>
      <c r="GN90" s="546"/>
      <c r="GO90" s="546"/>
      <c r="GP90" s="546"/>
      <c r="GQ90" s="546"/>
      <c r="GR90" s="546"/>
      <c r="GS90" s="546"/>
      <c r="GT90" s="546"/>
      <c r="GU90" s="546"/>
      <c r="GV90" s="546"/>
      <c r="GW90" s="546"/>
      <c r="GX90" s="546"/>
      <c r="GY90" s="546"/>
      <c r="GZ90" s="546"/>
      <c r="HA90" s="546"/>
      <c r="HB90" s="546"/>
      <c r="HC90" s="546"/>
      <c r="HD90" s="546"/>
      <c r="HE90" s="546"/>
      <c r="HF90" s="546"/>
      <c r="HG90" s="546"/>
      <c r="HH90" s="546"/>
      <c r="HJ90" s="546"/>
    </row>
    <row r="91" spans="1:218" s="541" customFormat="1" ht="28.5" customHeight="1" x14ac:dyDescent="0.15">
      <c r="A91" s="588"/>
      <c r="B91" s="676"/>
      <c r="D91" s="986"/>
      <c r="E91" s="986"/>
      <c r="F91" s="986"/>
      <c r="G91" s="986"/>
      <c r="H91" s="986"/>
      <c r="I91" s="986"/>
      <c r="J91" s="986"/>
      <c r="K91" s="986"/>
      <c r="L91" s="986"/>
      <c r="M91" s="986"/>
      <c r="N91" s="985"/>
      <c r="O91" s="985"/>
      <c r="P91" s="985"/>
      <c r="Q91" s="985"/>
      <c r="R91" s="985"/>
      <c r="S91" s="985"/>
      <c r="T91" s="985"/>
      <c r="U91" s="985"/>
      <c r="V91" s="545"/>
      <c r="W91" s="545"/>
      <c r="X91" s="983"/>
      <c r="Y91" s="983"/>
      <c r="Z91" s="677"/>
      <c r="AA91" s="996"/>
      <c r="AB91" s="996"/>
      <c r="AC91" s="996"/>
      <c r="AD91" s="996"/>
      <c r="AE91" s="996"/>
      <c r="AF91" s="996"/>
      <c r="AG91" s="996"/>
      <c r="AH91" s="996"/>
      <c r="AI91" s="996"/>
      <c r="AJ91" s="678"/>
      <c r="AK91" s="678"/>
      <c r="AL91" s="983"/>
      <c r="AM91" s="983"/>
      <c r="AN91" s="996"/>
      <c r="AO91" s="996"/>
      <c r="AP91" s="996"/>
      <c r="AQ91" s="996"/>
      <c r="AR91" s="996"/>
      <c r="AS91" s="677"/>
      <c r="AT91" s="677"/>
      <c r="AU91" s="677"/>
      <c r="AV91" s="677"/>
      <c r="AW91" s="677"/>
      <c r="AX91" s="677"/>
      <c r="AY91" s="677"/>
      <c r="AZ91" s="677"/>
      <c r="BA91" s="982"/>
      <c r="BB91" s="982"/>
      <c r="BC91" s="982"/>
      <c r="BD91" s="982"/>
      <c r="BE91" s="982"/>
      <c r="BF91" s="550"/>
      <c r="BG91" s="679"/>
      <c r="BM91" s="599"/>
      <c r="BN91" s="626"/>
      <c r="BP91" s="672"/>
      <c r="BQ91" s="626"/>
      <c r="BR91" s="626"/>
      <c r="BT91" s="626"/>
      <c r="BU91" s="626"/>
      <c r="BW91" s="626"/>
      <c r="BX91" s="626"/>
      <c r="BY91" s="626"/>
      <c r="BZ91" s="626"/>
      <c r="CA91" s="626"/>
      <c r="CB91" s="626"/>
      <c r="CC91" s="626"/>
      <c r="CE91" s="566"/>
      <c r="CF91" s="566"/>
      <c r="CG91" s="566"/>
      <c r="CH91" s="566"/>
      <c r="CI91" s="566"/>
      <c r="CW91" s="554"/>
      <c r="EJ91" s="546"/>
      <c r="EK91" s="546"/>
      <c r="EL91" s="546"/>
      <c r="EM91" s="546"/>
      <c r="EN91" s="546"/>
      <c r="EO91" s="546"/>
      <c r="EP91" s="546"/>
      <c r="EQ91" s="546"/>
      <c r="ER91" s="546"/>
      <c r="ES91" s="546"/>
      <c r="ET91" s="546"/>
      <c r="EU91" s="546"/>
      <c r="EV91" s="546"/>
      <c r="EW91" s="546"/>
      <c r="EX91" s="546"/>
      <c r="EY91" s="546"/>
      <c r="EZ91" s="546"/>
      <c r="FA91" s="546"/>
      <c r="FB91" s="546"/>
      <c r="FC91" s="546"/>
      <c r="FD91" s="546"/>
      <c r="FE91" s="546"/>
      <c r="FF91" s="546"/>
      <c r="FG91" s="546"/>
      <c r="FH91" s="546"/>
      <c r="FI91" s="546"/>
      <c r="FJ91" s="546"/>
      <c r="FK91" s="546"/>
      <c r="FL91" s="546"/>
      <c r="FM91" s="546"/>
      <c r="FN91" s="546"/>
      <c r="FO91" s="546"/>
      <c r="FP91" s="546"/>
      <c r="FQ91" s="546"/>
      <c r="FR91" s="546"/>
      <c r="FS91" s="546"/>
      <c r="FT91" s="546"/>
      <c r="FU91" s="546"/>
      <c r="FV91" s="546"/>
      <c r="FW91" s="546"/>
      <c r="FX91" s="546"/>
      <c r="FY91" s="546"/>
      <c r="FZ91" s="546"/>
      <c r="GA91" s="546"/>
      <c r="GB91" s="546"/>
      <c r="GC91" s="546"/>
      <c r="GD91" s="546"/>
      <c r="GE91" s="546"/>
      <c r="GF91" s="546"/>
      <c r="GG91" s="546"/>
      <c r="GH91" s="546"/>
      <c r="GI91" s="546"/>
      <c r="GJ91" s="546"/>
      <c r="GK91" s="546"/>
      <c r="GL91" s="546"/>
      <c r="GM91" s="546"/>
      <c r="GN91" s="546"/>
      <c r="GO91" s="546"/>
      <c r="GP91" s="546"/>
      <c r="GQ91" s="546"/>
      <c r="GR91" s="546"/>
      <c r="GS91" s="546"/>
      <c r="GT91" s="546"/>
      <c r="GU91" s="546"/>
      <c r="GV91" s="546"/>
      <c r="GW91" s="546"/>
      <c r="GX91" s="546"/>
      <c r="GY91" s="546"/>
      <c r="GZ91" s="546"/>
      <c r="HA91" s="546"/>
      <c r="HB91" s="546"/>
      <c r="HC91" s="546"/>
      <c r="HD91" s="546"/>
      <c r="HE91" s="546"/>
      <c r="HF91" s="546"/>
      <c r="HG91" s="546"/>
      <c r="HH91" s="546"/>
      <c r="HJ91" s="546"/>
    </row>
    <row r="92" spans="1:218" s="541" customFormat="1" ht="28.5" customHeight="1" x14ac:dyDescent="0.15">
      <c r="A92" s="588"/>
      <c r="B92" s="676"/>
      <c r="D92" s="1422" t="s">
        <v>1035</v>
      </c>
      <c r="E92" s="1422"/>
      <c r="F92" s="1422"/>
      <c r="G92" s="1422"/>
      <c r="H92" s="1422"/>
      <c r="I92" s="1422"/>
      <c r="J92" s="1422"/>
      <c r="K92" s="1422"/>
      <c r="L92" s="1422"/>
      <c r="M92" s="1422"/>
      <c r="N92" s="1422"/>
      <c r="O92" s="1422"/>
      <c r="P92" s="1422"/>
      <c r="Q92" s="1422"/>
      <c r="R92" s="1422"/>
      <c r="S92" s="1422"/>
      <c r="T92" s="1422"/>
      <c r="U92" s="1422"/>
      <c r="V92" s="1422"/>
      <c r="W92" s="1422"/>
      <c r="X92" s="983"/>
      <c r="Y92" s="991">
        <v>1</v>
      </c>
      <c r="Z92" s="990"/>
      <c r="AA92" s="1225"/>
      <c r="AB92" s="1225"/>
      <c r="AC92" s="1225"/>
      <c r="AD92" s="1225"/>
      <c r="AE92" s="1225"/>
      <c r="AF92" s="1225"/>
      <c r="AG92" s="1225"/>
      <c r="AH92" s="1225"/>
      <c r="AI92" s="1226"/>
      <c r="AJ92" s="678"/>
      <c r="AK92" s="678"/>
      <c r="AL92" s="983"/>
      <c r="AM92" s="991">
        <v>2</v>
      </c>
      <c r="AN92" s="1225"/>
      <c r="AO92" s="1225"/>
      <c r="AP92" s="1225"/>
      <c r="AQ92" s="1225"/>
      <c r="AR92" s="1226"/>
      <c r="AS92" s="677"/>
      <c r="AT92" s="1234">
        <v>3</v>
      </c>
      <c r="AU92" s="1235"/>
      <c r="AV92" s="1235"/>
      <c r="AW92" s="1235"/>
      <c r="AX92" s="1235"/>
      <c r="AY92" s="1235"/>
      <c r="AZ92" s="990"/>
      <c r="BA92" s="1231"/>
      <c r="BB92" s="1232"/>
      <c r="BC92" s="1232"/>
      <c r="BD92" s="1232"/>
      <c r="BE92" s="1233"/>
      <c r="BF92" s="550"/>
      <c r="BG92" s="679"/>
      <c r="BM92" s="599"/>
      <c r="BN92" s="626"/>
      <c r="BP92" s="672"/>
      <c r="BQ92" s="626"/>
      <c r="BR92" s="626"/>
      <c r="BT92" s="626"/>
      <c r="BU92" s="626"/>
      <c r="BW92" s="626"/>
      <c r="BX92" s="626"/>
      <c r="BY92" s="626"/>
      <c r="BZ92" s="626"/>
      <c r="CA92" s="626"/>
      <c r="CB92" s="626"/>
      <c r="CC92" s="626"/>
      <c r="CE92" s="566"/>
      <c r="CF92" s="566"/>
      <c r="CG92" s="566"/>
      <c r="CH92" s="566"/>
      <c r="CI92" s="566"/>
      <c r="CW92" s="554"/>
      <c r="EJ92" s="546"/>
      <c r="EK92" s="546"/>
      <c r="EL92" s="546"/>
      <c r="EM92" s="546"/>
      <c r="EN92" s="546"/>
      <c r="EO92" s="546"/>
      <c r="EP92" s="546"/>
      <c r="EQ92" s="546"/>
      <c r="ER92" s="546"/>
      <c r="ES92" s="546"/>
      <c r="ET92" s="546"/>
      <c r="EU92" s="546"/>
      <c r="EV92" s="546"/>
      <c r="EW92" s="546"/>
      <c r="EX92" s="546"/>
      <c r="EY92" s="546"/>
      <c r="EZ92" s="546"/>
      <c r="FA92" s="546"/>
      <c r="FB92" s="546"/>
      <c r="FC92" s="546"/>
      <c r="FD92" s="546"/>
      <c r="FE92" s="546"/>
      <c r="FF92" s="546"/>
      <c r="FG92" s="546"/>
      <c r="FH92" s="546"/>
      <c r="FI92" s="546"/>
      <c r="FJ92" s="546"/>
      <c r="FK92" s="546"/>
      <c r="FL92" s="546"/>
      <c r="FM92" s="546"/>
      <c r="FN92" s="546"/>
      <c r="FO92" s="546"/>
      <c r="FP92" s="546"/>
      <c r="FQ92" s="546"/>
      <c r="FR92" s="546"/>
      <c r="FS92" s="546"/>
      <c r="FT92" s="546"/>
      <c r="FU92" s="546"/>
      <c r="FV92" s="546"/>
      <c r="FW92" s="546"/>
      <c r="FX92" s="546"/>
      <c r="FY92" s="546"/>
      <c r="FZ92" s="546"/>
      <c r="GA92" s="546"/>
      <c r="GB92" s="546"/>
      <c r="GC92" s="546"/>
      <c r="GD92" s="546"/>
      <c r="GE92" s="546"/>
      <c r="GF92" s="546"/>
      <c r="GG92" s="546"/>
      <c r="GH92" s="546"/>
      <c r="GI92" s="546"/>
      <c r="GJ92" s="546"/>
      <c r="GK92" s="546"/>
      <c r="GL92" s="546"/>
      <c r="GM92" s="546"/>
      <c r="GN92" s="546"/>
      <c r="GO92" s="546"/>
      <c r="GP92" s="546"/>
      <c r="GQ92" s="546"/>
      <c r="GR92" s="546"/>
      <c r="GS92" s="546"/>
      <c r="GT92" s="546"/>
      <c r="GU92" s="546"/>
      <c r="GV92" s="546"/>
      <c r="GW92" s="546"/>
      <c r="GX92" s="546"/>
      <c r="GY92" s="546"/>
      <c r="GZ92" s="546"/>
      <c r="HA92" s="546"/>
      <c r="HB92" s="546"/>
      <c r="HC92" s="546"/>
      <c r="HD92" s="546"/>
      <c r="HE92" s="546"/>
      <c r="HF92" s="546"/>
      <c r="HG92" s="546"/>
      <c r="HH92" s="546"/>
      <c r="HJ92" s="546"/>
    </row>
    <row r="93" spans="1:218" s="541" customFormat="1" ht="28.5" customHeight="1" x14ac:dyDescent="0.15">
      <c r="A93" s="588"/>
      <c r="B93" s="619"/>
      <c r="C93" s="588"/>
      <c r="D93" s="1422"/>
      <c r="E93" s="1422"/>
      <c r="F93" s="1422"/>
      <c r="G93" s="1422"/>
      <c r="H93" s="1422"/>
      <c r="I93" s="1422"/>
      <c r="J93" s="1422"/>
      <c r="K93" s="1422"/>
      <c r="L93" s="1422"/>
      <c r="M93" s="1422"/>
      <c r="N93" s="1422"/>
      <c r="O93" s="1422"/>
      <c r="P93" s="1422"/>
      <c r="Q93" s="1422"/>
      <c r="R93" s="1422"/>
      <c r="S93" s="1422"/>
      <c r="T93" s="1422"/>
      <c r="U93" s="1422"/>
      <c r="V93" s="1422"/>
      <c r="W93" s="1422"/>
      <c r="X93" s="651"/>
      <c r="Y93" s="992">
        <v>4</v>
      </c>
      <c r="Z93" s="989"/>
      <c r="AA93" s="1227"/>
      <c r="AB93" s="1227"/>
      <c r="AC93" s="1227"/>
      <c r="AD93" s="1227"/>
      <c r="AE93" s="1227"/>
      <c r="AF93" s="1227"/>
      <c r="AG93" s="1227"/>
      <c r="AH93" s="1227"/>
      <c r="AI93" s="1228"/>
      <c r="AJ93" s="651"/>
      <c r="AK93" s="651"/>
      <c r="AL93" s="651"/>
      <c r="AM93" s="992">
        <v>5</v>
      </c>
      <c r="AN93" s="1227"/>
      <c r="AO93" s="1439"/>
      <c r="AP93" s="1439"/>
      <c r="AQ93" s="1439"/>
      <c r="AR93" s="1440"/>
      <c r="AS93" s="651"/>
      <c r="AT93" s="1236">
        <v>6</v>
      </c>
      <c r="AU93" s="1237"/>
      <c r="AV93" s="1237"/>
      <c r="AW93" s="1237"/>
      <c r="AX93" s="1237"/>
      <c r="AY93" s="1237"/>
      <c r="AZ93" s="989"/>
      <c r="BA93" s="1227"/>
      <c r="BB93" s="1227"/>
      <c r="BC93" s="1227"/>
      <c r="BD93" s="1227"/>
      <c r="BE93" s="1228"/>
      <c r="BF93" s="588"/>
      <c r="BG93" s="679"/>
      <c r="BM93" s="599"/>
      <c r="BN93" s="626"/>
      <c r="BP93" s="672"/>
      <c r="BQ93" s="626"/>
      <c r="BR93" s="626"/>
      <c r="BT93" s="626"/>
      <c r="BU93" s="626"/>
      <c r="BV93" s="672"/>
      <c r="BW93" s="626"/>
      <c r="BX93" s="626"/>
      <c r="BY93" s="626"/>
      <c r="BZ93" s="626"/>
      <c r="CA93" s="626"/>
      <c r="CB93" s="626"/>
      <c r="CC93" s="626"/>
      <c r="CE93" s="566"/>
      <c r="CF93" s="566"/>
      <c r="CG93" s="566"/>
      <c r="CH93" s="566"/>
      <c r="CI93" s="566"/>
      <c r="CW93" s="554"/>
      <c r="EJ93" s="546"/>
      <c r="EK93" s="546"/>
      <c r="EL93" s="546"/>
      <c r="EM93" s="546"/>
      <c r="EN93" s="546"/>
      <c r="EO93" s="546"/>
      <c r="EP93" s="546"/>
      <c r="EQ93" s="546"/>
      <c r="ER93" s="546"/>
      <c r="ES93" s="546"/>
      <c r="ET93" s="546"/>
      <c r="EU93" s="546"/>
      <c r="EV93" s="546"/>
      <c r="EW93" s="546"/>
      <c r="EX93" s="546"/>
      <c r="EY93" s="546"/>
      <c r="EZ93" s="546"/>
      <c r="FA93" s="546"/>
      <c r="FB93" s="546"/>
      <c r="FC93" s="546"/>
      <c r="FD93" s="546"/>
      <c r="FE93" s="546"/>
      <c r="FF93" s="546"/>
      <c r="FG93" s="546"/>
      <c r="FH93" s="546"/>
      <c r="FI93" s="546"/>
      <c r="FJ93" s="546"/>
      <c r="FK93" s="546"/>
      <c r="FL93" s="546"/>
      <c r="FM93" s="546"/>
      <c r="FN93" s="546"/>
      <c r="FO93" s="546"/>
      <c r="FP93" s="546"/>
      <c r="FQ93" s="546"/>
      <c r="FR93" s="546"/>
      <c r="FS93" s="546"/>
      <c r="FT93" s="546"/>
      <c r="FU93" s="546"/>
      <c r="FV93" s="546"/>
      <c r="FW93" s="546"/>
      <c r="FX93" s="546"/>
      <c r="FY93" s="546"/>
      <c r="FZ93" s="546"/>
      <c r="GA93" s="546"/>
      <c r="GB93" s="546"/>
      <c r="GC93" s="546"/>
      <c r="GD93" s="546"/>
      <c r="GE93" s="546"/>
      <c r="GF93" s="546"/>
      <c r="GG93" s="546"/>
      <c r="GH93" s="546"/>
      <c r="GI93" s="546"/>
      <c r="GJ93" s="546"/>
      <c r="GK93" s="546"/>
      <c r="GL93" s="546"/>
      <c r="GM93" s="546"/>
      <c r="GN93" s="546"/>
      <c r="GO93" s="546"/>
      <c r="GP93" s="546"/>
      <c r="GQ93" s="546"/>
      <c r="GR93" s="546"/>
      <c r="GS93" s="546"/>
      <c r="GT93" s="546"/>
      <c r="GU93" s="546"/>
      <c r="GV93" s="546"/>
      <c r="GW93" s="546"/>
      <c r="GX93" s="546"/>
      <c r="GY93" s="546"/>
      <c r="GZ93" s="546"/>
      <c r="HA93" s="546"/>
      <c r="HB93" s="546"/>
      <c r="HC93" s="546"/>
      <c r="HD93" s="546"/>
      <c r="HE93" s="546"/>
      <c r="HF93" s="546"/>
      <c r="HG93" s="546"/>
      <c r="HH93" s="546"/>
      <c r="HJ93" s="546"/>
    </row>
    <row r="94" spans="1:218" s="541" customFormat="1" ht="14" x14ac:dyDescent="0.15">
      <c r="A94" s="588"/>
      <c r="B94" s="619"/>
      <c r="C94" s="588"/>
      <c r="D94" s="1422" t="s">
        <v>878</v>
      </c>
      <c r="E94" s="1422"/>
      <c r="F94" s="1422"/>
      <c r="G94" s="1422"/>
      <c r="H94" s="1422"/>
      <c r="I94" s="1422"/>
      <c r="J94" s="1422"/>
      <c r="K94" s="1422"/>
      <c r="L94" s="1422"/>
      <c r="M94" s="1422"/>
      <c r="N94" s="1422"/>
      <c r="O94" s="1422"/>
      <c r="P94" s="1422"/>
      <c r="Q94" s="1422"/>
      <c r="R94" s="1422"/>
      <c r="S94" s="1422"/>
      <c r="T94" s="1422"/>
      <c r="U94" s="1422"/>
      <c r="V94" s="1422"/>
      <c r="W94" s="1422"/>
      <c r="X94" s="1422"/>
      <c r="Y94" s="993">
        <v>1</v>
      </c>
      <c r="Z94" s="994"/>
      <c r="AA94" s="1229"/>
      <c r="AB94" s="1229"/>
      <c r="AC94" s="1229"/>
      <c r="AD94" s="1229"/>
      <c r="AE94" s="1229"/>
      <c r="AF94" s="1229"/>
      <c r="AG94" s="1229"/>
      <c r="AH94" s="1229"/>
      <c r="AI94" s="1230"/>
      <c r="AJ94" s="651"/>
      <c r="AK94" s="651"/>
      <c r="AL94" s="651"/>
      <c r="AM94" s="993">
        <v>2</v>
      </c>
      <c r="AN94" s="1229"/>
      <c r="AO94" s="1229"/>
      <c r="AP94" s="1229"/>
      <c r="AQ94" s="1229"/>
      <c r="AR94" s="1230"/>
      <c r="AS94" s="651"/>
      <c r="AT94" s="1234">
        <v>3</v>
      </c>
      <c r="AU94" s="1235">
        <v>3</v>
      </c>
      <c r="AV94" s="1235"/>
      <c r="AW94" s="1235"/>
      <c r="AX94" s="1235"/>
      <c r="AY94" s="1235"/>
      <c r="AZ94" s="994"/>
      <c r="BA94" s="1229"/>
      <c r="BB94" s="1229"/>
      <c r="BC94" s="1229"/>
      <c r="BD94" s="1229"/>
      <c r="BE94" s="1230"/>
      <c r="BF94" s="588"/>
      <c r="BG94" s="679"/>
      <c r="BM94" s="599"/>
      <c r="BN94" s="626"/>
      <c r="BP94" s="672"/>
      <c r="BQ94" s="626"/>
      <c r="BR94" s="626"/>
      <c r="BT94" s="626"/>
      <c r="BU94" s="626"/>
      <c r="BV94" s="672" t="s">
        <v>490</v>
      </c>
      <c r="BW94" s="626"/>
      <c r="BX94" s="626"/>
      <c r="BY94" s="626"/>
      <c r="BZ94" s="626"/>
      <c r="CA94" s="626"/>
      <c r="CB94" s="626"/>
      <c r="CC94" s="626"/>
      <c r="CE94" s="566"/>
      <c r="CF94" s="566"/>
      <c r="CG94" s="566"/>
      <c r="CH94" s="566"/>
      <c r="CI94" s="566"/>
      <c r="CW94" s="554"/>
      <c r="EJ94" s="546"/>
      <c r="EK94" s="546"/>
      <c r="EL94" s="546"/>
      <c r="EM94" s="546"/>
      <c r="EN94" s="546"/>
      <c r="EO94" s="546"/>
      <c r="EP94" s="546"/>
      <c r="EQ94" s="546"/>
      <c r="ER94" s="546"/>
      <c r="ES94" s="546"/>
      <c r="ET94" s="546"/>
      <c r="EU94" s="546"/>
      <c r="EV94" s="546"/>
      <c r="EW94" s="546"/>
      <c r="EX94" s="546"/>
      <c r="EY94" s="546"/>
      <c r="EZ94" s="546"/>
      <c r="FA94" s="546"/>
      <c r="FB94" s="546"/>
      <c r="FC94" s="546"/>
      <c r="FD94" s="546"/>
      <c r="FE94" s="546"/>
      <c r="FF94" s="546"/>
      <c r="FG94" s="546"/>
      <c r="FH94" s="546"/>
      <c r="FI94" s="546"/>
      <c r="FJ94" s="546"/>
      <c r="FK94" s="546"/>
      <c r="FL94" s="546"/>
      <c r="FM94" s="546"/>
      <c r="FN94" s="546"/>
      <c r="FO94" s="546"/>
      <c r="FP94" s="546"/>
      <c r="FQ94" s="546"/>
      <c r="FR94" s="546"/>
      <c r="FS94" s="546"/>
      <c r="FT94" s="546"/>
      <c r="FU94" s="546"/>
      <c r="FV94" s="546"/>
      <c r="FW94" s="546"/>
      <c r="FX94" s="546"/>
      <c r="FY94" s="546"/>
      <c r="FZ94" s="546"/>
      <c r="GA94" s="546"/>
      <c r="GB94" s="546"/>
      <c r="GC94" s="546"/>
      <c r="GD94" s="546"/>
      <c r="GE94" s="546"/>
      <c r="GF94" s="546"/>
      <c r="GG94" s="546"/>
      <c r="GH94" s="546"/>
      <c r="GI94" s="546"/>
      <c r="GJ94" s="546"/>
      <c r="GK94" s="546"/>
      <c r="GL94" s="546"/>
      <c r="GM94" s="546"/>
      <c r="GN94" s="546"/>
      <c r="GO94" s="546"/>
      <c r="GP94" s="546"/>
      <c r="GQ94" s="546"/>
      <c r="GR94" s="546"/>
      <c r="GS94" s="546"/>
      <c r="GT94" s="546"/>
      <c r="GU94" s="546"/>
      <c r="GV94" s="546"/>
      <c r="GW94" s="546"/>
      <c r="GX94" s="546"/>
      <c r="GY94" s="546"/>
      <c r="GZ94" s="546"/>
      <c r="HA94" s="546"/>
      <c r="HB94" s="546"/>
      <c r="HC94" s="546"/>
      <c r="HD94" s="546"/>
      <c r="HE94" s="546"/>
      <c r="HF94" s="546"/>
      <c r="HG94" s="546"/>
      <c r="HH94" s="546"/>
      <c r="HJ94" s="546"/>
    </row>
    <row r="95" spans="1:218" s="541" customFormat="1" ht="26.25" customHeight="1" x14ac:dyDescent="0.15">
      <c r="A95" s="588"/>
      <c r="B95" s="619"/>
      <c r="C95" s="588"/>
      <c r="D95" s="1422"/>
      <c r="E95" s="1422"/>
      <c r="F95" s="1422"/>
      <c r="G95" s="1422"/>
      <c r="H95" s="1422"/>
      <c r="I95" s="1422"/>
      <c r="J95" s="1422"/>
      <c r="K95" s="1422"/>
      <c r="L95" s="1422"/>
      <c r="M95" s="1422"/>
      <c r="N95" s="1422"/>
      <c r="O95" s="1422"/>
      <c r="P95" s="1422"/>
      <c r="Q95" s="1422"/>
      <c r="R95" s="1422"/>
      <c r="S95" s="1422"/>
      <c r="T95" s="1422"/>
      <c r="U95" s="1422"/>
      <c r="V95" s="1422"/>
      <c r="W95" s="1422"/>
      <c r="X95" s="1422"/>
      <c r="Y95" s="992">
        <v>4</v>
      </c>
      <c r="Z95" s="989"/>
      <c r="AA95" s="1202"/>
      <c r="AB95" s="1202"/>
      <c r="AC95" s="1202"/>
      <c r="AD95" s="1202"/>
      <c r="AE95" s="1202"/>
      <c r="AF95" s="1202"/>
      <c r="AG95" s="1202"/>
      <c r="AH95" s="1202"/>
      <c r="AI95" s="1203"/>
      <c r="AJ95" s="651"/>
      <c r="AK95" s="651"/>
      <c r="AL95" s="651"/>
      <c r="AM95" s="992">
        <v>5</v>
      </c>
      <c r="AN95" s="1202"/>
      <c r="AO95" s="1202"/>
      <c r="AP95" s="1202"/>
      <c r="AQ95" s="1202"/>
      <c r="AR95" s="1203"/>
      <c r="AS95" s="651"/>
      <c r="AT95" s="1236">
        <v>6</v>
      </c>
      <c r="AU95" s="1237"/>
      <c r="AV95" s="1237">
        <v>6</v>
      </c>
      <c r="AW95" s="1237"/>
      <c r="AX95" s="1237"/>
      <c r="AY95" s="1237"/>
      <c r="AZ95" s="989"/>
      <c r="BA95" s="1202"/>
      <c r="BB95" s="1202"/>
      <c r="BC95" s="1202"/>
      <c r="BD95" s="1202"/>
      <c r="BE95" s="1203"/>
      <c r="BF95" s="588"/>
      <c r="BG95" s="679"/>
      <c r="BM95" s="599"/>
      <c r="BN95" s="626"/>
      <c r="BP95" s="672"/>
      <c r="BQ95" s="626"/>
      <c r="BR95" s="626"/>
      <c r="BT95" s="626"/>
      <c r="BU95" s="626"/>
      <c r="BV95" s="1238" t="s">
        <v>496</v>
      </c>
      <c r="BW95" s="1238"/>
      <c r="BX95" s="1221" t="s">
        <v>497</v>
      </c>
      <c r="BY95" s="1221"/>
      <c r="BZ95" s="1221"/>
      <c r="CA95" s="1221" t="s">
        <v>498</v>
      </c>
      <c r="CB95" s="1221"/>
      <c r="CC95" s="1221"/>
      <c r="CD95" s="1221"/>
      <c r="CE95" s="1221" t="s">
        <v>499</v>
      </c>
      <c r="CF95" s="1221"/>
      <c r="CG95" s="1221"/>
      <c r="CH95" s="1221"/>
      <c r="CI95" s="1221"/>
      <c r="CJ95" s="1221"/>
      <c r="CK95" s="1221"/>
      <c r="CL95" s="1221"/>
      <c r="CM95" s="1221"/>
      <c r="CN95" s="1221" t="s">
        <v>500</v>
      </c>
      <c r="CO95" s="1221"/>
      <c r="CP95" s="1221"/>
      <c r="CQ95" s="1221"/>
      <c r="CR95" s="1221"/>
      <c r="CS95" s="1221"/>
      <c r="CT95" s="1221"/>
      <c r="CU95" s="681" t="s">
        <v>501</v>
      </c>
      <c r="CV95" s="681" t="s">
        <v>502</v>
      </c>
      <c r="CW95" s="554"/>
      <c r="EJ95" s="546"/>
      <c r="EK95" s="546"/>
      <c r="EL95" s="546"/>
      <c r="EM95" s="546"/>
      <c r="EN95" s="546"/>
      <c r="EO95" s="546"/>
      <c r="EP95" s="546"/>
      <c r="EQ95" s="546"/>
      <c r="ER95" s="546"/>
      <c r="ES95" s="546"/>
      <c r="ET95" s="546"/>
      <c r="EU95" s="546"/>
      <c r="EV95" s="546"/>
      <c r="EW95" s="546"/>
      <c r="EX95" s="546"/>
      <c r="EY95" s="546"/>
      <c r="EZ95" s="546"/>
      <c r="FA95" s="546"/>
      <c r="FB95" s="546"/>
      <c r="FC95" s="546"/>
      <c r="FD95" s="546"/>
      <c r="FE95" s="546"/>
      <c r="FF95" s="546"/>
      <c r="FG95" s="546"/>
      <c r="FH95" s="546"/>
      <c r="FI95" s="546"/>
      <c r="FJ95" s="546"/>
      <c r="FK95" s="546"/>
      <c r="FL95" s="546"/>
      <c r="FM95" s="546"/>
      <c r="FN95" s="546"/>
      <c r="FO95" s="546"/>
      <c r="FP95" s="546"/>
      <c r="FQ95" s="546"/>
      <c r="FR95" s="546"/>
      <c r="FS95" s="546"/>
      <c r="FT95" s="546"/>
      <c r="FU95" s="546"/>
      <c r="FV95" s="546"/>
      <c r="FW95" s="546"/>
      <c r="FX95" s="546"/>
      <c r="FY95" s="546"/>
      <c r="FZ95" s="546"/>
      <c r="GA95" s="546"/>
      <c r="GB95" s="546"/>
      <c r="GC95" s="546"/>
      <c r="GD95" s="546"/>
      <c r="GE95" s="546"/>
      <c r="GF95" s="546"/>
      <c r="GG95" s="546"/>
      <c r="GH95" s="546"/>
      <c r="GI95" s="546"/>
      <c r="GJ95" s="546"/>
      <c r="GK95" s="546"/>
      <c r="GL95" s="546"/>
      <c r="GM95" s="546"/>
      <c r="GN95" s="546"/>
      <c r="GO95" s="546"/>
      <c r="GP95" s="546"/>
      <c r="GQ95" s="546"/>
      <c r="GR95" s="546"/>
      <c r="GS95" s="546"/>
      <c r="GT95" s="546"/>
      <c r="GU95" s="546"/>
      <c r="GV95" s="546"/>
      <c r="GW95" s="546"/>
      <c r="GX95" s="546"/>
      <c r="GY95" s="546"/>
      <c r="GZ95" s="546"/>
      <c r="HA95" s="546"/>
      <c r="HB95" s="546"/>
      <c r="HC95" s="546"/>
      <c r="HD95" s="546"/>
      <c r="HE95" s="546"/>
      <c r="HF95" s="546"/>
      <c r="HG95" s="546"/>
      <c r="HH95" s="546"/>
      <c r="HI95" s="546"/>
      <c r="HJ95" s="546"/>
    </row>
    <row r="96" spans="1:218" s="541" customFormat="1" ht="28.5" customHeight="1" x14ac:dyDescent="0.15">
      <c r="A96" s="588"/>
      <c r="B96" s="619"/>
      <c r="C96" s="588"/>
      <c r="D96" s="548"/>
      <c r="E96" s="548"/>
      <c r="F96" s="548"/>
      <c r="G96" s="548"/>
      <c r="H96" s="548"/>
      <c r="I96" s="548"/>
      <c r="J96" s="548"/>
      <c r="K96" s="548"/>
      <c r="L96" s="548"/>
      <c r="M96" s="548"/>
      <c r="N96" s="548"/>
      <c r="O96" s="548"/>
      <c r="P96" s="548"/>
      <c r="Q96" s="548"/>
      <c r="R96" s="548"/>
      <c r="S96" s="548"/>
      <c r="T96" s="548"/>
      <c r="U96" s="548"/>
      <c r="V96" s="548"/>
      <c r="W96" s="548"/>
      <c r="X96" s="548"/>
      <c r="Y96" s="984"/>
      <c r="Z96" s="651"/>
      <c r="AA96" s="995"/>
      <c r="AB96" s="995"/>
      <c r="AC96" s="995"/>
      <c r="AD96" s="995"/>
      <c r="AE96" s="995"/>
      <c r="AF96" s="995"/>
      <c r="AG96" s="995"/>
      <c r="AH96" s="995"/>
      <c r="AI96" s="995"/>
      <c r="AJ96" s="651"/>
      <c r="AK96" s="651"/>
      <c r="AL96" s="651"/>
      <c r="AM96" s="984"/>
      <c r="AN96" s="995"/>
      <c r="AO96" s="995"/>
      <c r="AP96" s="995"/>
      <c r="AQ96" s="995"/>
      <c r="AR96" s="995"/>
      <c r="AS96" s="651"/>
      <c r="AT96" s="984"/>
      <c r="AU96" s="984"/>
      <c r="AV96" s="984"/>
      <c r="AW96" s="984"/>
      <c r="AX96" s="984"/>
      <c r="AY96" s="984"/>
      <c r="AZ96" s="651"/>
      <c r="BA96" s="995"/>
      <c r="BB96" s="995"/>
      <c r="BC96" s="995"/>
      <c r="BD96" s="995"/>
      <c r="BE96" s="995"/>
      <c r="BF96" s="588"/>
      <c r="BG96" s="679"/>
      <c r="BM96" s="599"/>
      <c r="BN96" s="626"/>
      <c r="BP96" s="672"/>
      <c r="BQ96" s="626"/>
      <c r="BR96" s="626"/>
      <c r="BU96" s="626"/>
      <c r="BV96" s="1238">
        <v>1</v>
      </c>
      <c r="BW96" s="1238"/>
      <c r="BX96" s="1221" t="s">
        <v>503</v>
      </c>
      <c r="BY96" s="1221"/>
      <c r="BZ96" s="1221"/>
      <c r="CA96" s="1221" t="str">
        <f>+HetelTipusa</f>
        <v>kitöltendő legördülő cella</v>
      </c>
      <c r="CB96" s="1221"/>
      <c r="CC96" s="1221"/>
      <c r="CD96" s="1221"/>
      <c r="CE96" s="1221" t="s">
        <v>162</v>
      </c>
      <c r="CF96" s="1221"/>
      <c r="CG96" s="1221"/>
      <c r="CH96" s="1221"/>
      <c r="CI96" s="1221"/>
      <c r="CJ96" s="1221"/>
      <c r="CK96" s="1221"/>
      <c r="CL96" s="1221"/>
      <c r="CM96" s="1221"/>
      <c r="CN96" s="1401" t="s">
        <v>506</v>
      </c>
      <c r="CO96" s="1401"/>
      <c r="CP96" s="1401"/>
      <c r="CQ96" s="1401"/>
      <c r="CR96" s="1401"/>
      <c r="CS96" s="1401"/>
      <c r="CT96" s="1401"/>
      <c r="CU96" s="681" t="s">
        <v>505</v>
      </c>
      <c r="CV96" s="1124">
        <v>1.4E-2</v>
      </c>
      <c r="CW96" s="684">
        <f>+IF(AND(BU7=1,CB7="a",devizanem="HUF",kamatfelartip="változó"),1,0)</f>
        <v>0</v>
      </c>
      <c r="EJ96" s="546"/>
      <c r="EK96" s="546"/>
      <c r="EL96" s="546"/>
      <c r="EM96" s="546"/>
      <c r="EN96" s="546"/>
      <c r="EO96" s="546"/>
      <c r="EP96" s="546"/>
      <c r="EQ96" s="546"/>
      <c r="ER96" s="546"/>
      <c r="ES96" s="546"/>
      <c r="ET96" s="546"/>
      <c r="EU96" s="546"/>
      <c r="EV96" s="546"/>
      <c r="EW96" s="546"/>
      <c r="EX96" s="546"/>
      <c r="EY96" s="546"/>
      <c r="EZ96" s="546"/>
      <c r="FA96" s="546"/>
      <c r="FB96" s="546"/>
      <c r="FC96" s="546"/>
      <c r="FD96" s="546"/>
      <c r="FE96" s="546"/>
      <c r="FF96" s="546"/>
      <c r="FG96" s="546"/>
      <c r="FH96" s="546"/>
      <c r="FI96" s="546"/>
      <c r="FJ96" s="546"/>
      <c r="FK96" s="546"/>
      <c r="FL96" s="546"/>
      <c r="FM96" s="546"/>
      <c r="FN96" s="546"/>
      <c r="FO96" s="546"/>
      <c r="FP96" s="546"/>
      <c r="FQ96" s="546"/>
      <c r="FR96" s="546"/>
      <c r="FS96" s="546"/>
      <c r="FT96" s="546"/>
      <c r="FU96" s="546"/>
      <c r="FV96" s="546"/>
      <c r="FW96" s="546"/>
      <c r="FX96" s="546"/>
      <c r="FY96" s="546"/>
      <c r="FZ96" s="546"/>
      <c r="GA96" s="546"/>
      <c r="GB96" s="546"/>
      <c r="GC96" s="546"/>
      <c r="GD96" s="546"/>
      <c r="GE96" s="546"/>
      <c r="GF96" s="546"/>
      <c r="GG96" s="546"/>
      <c r="GH96" s="546"/>
      <c r="GI96" s="546"/>
      <c r="GJ96" s="546"/>
      <c r="GK96" s="546"/>
      <c r="GL96" s="546"/>
      <c r="GM96" s="546"/>
      <c r="GN96" s="546"/>
      <c r="GO96" s="546"/>
      <c r="GP96" s="546"/>
      <c r="GQ96" s="546"/>
      <c r="GR96" s="546"/>
      <c r="GS96" s="546"/>
      <c r="GT96" s="546"/>
      <c r="GU96" s="546"/>
      <c r="GV96" s="546"/>
      <c r="GW96" s="546"/>
      <c r="GX96" s="546"/>
      <c r="GY96" s="546"/>
      <c r="GZ96" s="546"/>
      <c r="HA96" s="546"/>
      <c r="HB96" s="546"/>
      <c r="HC96" s="546"/>
      <c r="HD96" s="546"/>
      <c r="HE96" s="546"/>
      <c r="HF96" s="546"/>
      <c r="HG96" s="546"/>
      <c r="HH96" s="546"/>
      <c r="HI96" s="546"/>
      <c r="HJ96" s="546"/>
    </row>
    <row r="97" spans="1:218" s="541" customFormat="1" ht="14" x14ac:dyDescent="0.15">
      <c r="A97" s="588"/>
      <c r="B97" s="619"/>
      <c r="C97" s="588"/>
      <c r="D97" s="545" t="s">
        <v>410</v>
      </c>
      <c r="E97" s="588"/>
      <c r="F97" s="680"/>
      <c r="G97" s="680"/>
      <c r="H97" s="680"/>
      <c r="I97" s="588"/>
      <c r="J97" s="588"/>
      <c r="K97" s="588"/>
      <c r="L97" s="588"/>
      <c r="M97" s="588"/>
      <c r="N97" s="1399" t="str">
        <f>+CJ173</f>
        <v/>
      </c>
      <c r="O97" s="1399"/>
      <c r="P97" s="1399"/>
      <c r="Q97" s="1399"/>
      <c r="R97" s="1399"/>
      <c r="S97" s="1399"/>
      <c r="T97" s="1399"/>
      <c r="U97" s="1399"/>
      <c r="V97" s="643" t="s">
        <v>164</v>
      </c>
      <c r="W97" s="588"/>
      <c r="X97" s="1213" t="s">
        <v>406</v>
      </c>
      <c r="Y97" s="1213"/>
      <c r="Z97" s="651"/>
      <c r="AA97" s="1244"/>
      <c r="AB97" s="1244"/>
      <c r="AC97" s="1244"/>
      <c r="AD97" s="1244"/>
      <c r="AE97" s="1244"/>
      <c r="AF97" s="1244"/>
      <c r="AG97" s="1244"/>
      <c r="AH97" s="1244"/>
      <c r="AI97" s="1244"/>
      <c r="AJ97" s="651"/>
      <c r="AK97" s="651"/>
      <c r="AL97" s="1213" t="s">
        <v>407</v>
      </c>
      <c r="AM97" s="1213"/>
      <c r="AN97" s="1244"/>
      <c r="AO97" s="1245"/>
      <c r="AP97" s="1245"/>
      <c r="AQ97" s="1245"/>
      <c r="AR97" s="1245"/>
      <c r="AS97" s="651"/>
      <c r="AT97" s="651"/>
      <c r="AU97" s="651"/>
      <c r="AV97" s="651"/>
      <c r="AW97" s="651"/>
      <c r="AX97" s="651"/>
      <c r="AY97" s="651"/>
      <c r="AZ97" s="651"/>
      <c r="BA97" s="1204"/>
      <c r="BB97" s="1204"/>
      <c r="BC97" s="1204"/>
      <c r="BD97" s="1204"/>
      <c r="BE97" s="1204"/>
      <c r="BF97" s="588"/>
      <c r="BG97" s="679"/>
      <c r="BM97" s="599"/>
      <c r="BN97" s="626"/>
      <c r="BO97" s="541" t="s">
        <v>1097</v>
      </c>
      <c r="BP97" s="672"/>
      <c r="BQ97" s="626"/>
      <c r="BR97" s="626"/>
      <c r="BS97" s="626"/>
      <c r="BU97" s="626"/>
      <c r="BV97" s="1238">
        <v>1</v>
      </c>
      <c r="BW97" s="1238"/>
      <c r="BX97" s="1221" t="s">
        <v>503</v>
      </c>
      <c r="BY97" s="1221"/>
      <c r="BZ97" s="1221"/>
      <c r="CA97" s="1221" t="str">
        <f>+HetelTipusa</f>
        <v>kitöltendő legördülő cella</v>
      </c>
      <c r="CB97" s="1221"/>
      <c r="CC97" s="1221"/>
      <c r="CD97" s="1221"/>
      <c r="CE97" s="1221" t="s">
        <v>162</v>
      </c>
      <c r="CF97" s="1221"/>
      <c r="CG97" s="1221"/>
      <c r="CH97" s="1221"/>
      <c r="CI97" s="1221"/>
      <c r="CJ97" s="1221"/>
      <c r="CK97" s="1221"/>
      <c r="CL97" s="1221"/>
      <c r="CM97" s="1221"/>
      <c r="CN97" s="1401" t="s">
        <v>504</v>
      </c>
      <c r="CO97" s="1401"/>
      <c r="CP97" s="1401"/>
      <c r="CQ97" s="1401"/>
      <c r="CR97" s="1401"/>
      <c r="CS97" s="1401"/>
      <c r="CT97" s="1401"/>
      <c r="CU97" s="681" t="s">
        <v>464</v>
      </c>
      <c r="CV97" s="683">
        <v>1.3599999999999999E-2</v>
      </c>
      <c r="CW97" s="684">
        <f>+IF(AND(BU7=1,CB7="a",devizanem="HUF",kamatfelartip="fix"),1,0)</f>
        <v>0</v>
      </c>
      <c r="EJ97" s="546"/>
      <c r="EK97" s="546"/>
      <c r="EL97" s="546"/>
      <c r="EM97" s="546"/>
      <c r="EN97" s="546"/>
      <c r="EO97" s="546"/>
      <c r="EP97" s="546"/>
      <c r="EQ97" s="546"/>
      <c r="ER97" s="546"/>
      <c r="ES97" s="546"/>
      <c r="ET97" s="546"/>
      <c r="EU97" s="546"/>
      <c r="EV97" s="546"/>
      <c r="EW97" s="546"/>
      <c r="EX97" s="546"/>
      <c r="EY97" s="546"/>
      <c r="EZ97" s="546"/>
      <c r="FA97" s="546"/>
      <c r="FB97" s="546"/>
      <c r="FC97" s="546"/>
      <c r="FD97" s="546"/>
      <c r="FE97" s="546"/>
      <c r="FF97" s="546"/>
      <c r="FG97" s="546"/>
      <c r="FH97" s="546"/>
      <c r="FI97" s="546"/>
      <c r="FJ97" s="546"/>
      <c r="FK97" s="546"/>
      <c r="FL97" s="546"/>
      <c r="FM97" s="546"/>
      <c r="FN97" s="546"/>
      <c r="FO97" s="546"/>
      <c r="FP97" s="546"/>
      <c r="FQ97" s="546"/>
      <c r="FR97" s="546"/>
      <c r="FS97" s="546"/>
      <c r="FT97" s="546"/>
      <c r="FU97" s="546"/>
      <c r="FV97" s="546"/>
      <c r="FW97" s="546"/>
      <c r="FX97" s="546"/>
      <c r="FY97" s="546"/>
      <c r="FZ97" s="546"/>
      <c r="GA97" s="546"/>
      <c r="GB97" s="546"/>
      <c r="GC97" s="546"/>
      <c r="GD97" s="546"/>
      <c r="GE97" s="546"/>
      <c r="GF97" s="546"/>
      <c r="GG97" s="546"/>
      <c r="GH97" s="546"/>
      <c r="GI97" s="546"/>
      <c r="GJ97" s="546"/>
      <c r="GK97" s="546"/>
      <c r="GL97" s="546"/>
      <c r="GM97" s="546"/>
      <c r="GN97" s="546"/>
      <c r="GO97" s="546"/>
      <c r="GP97" s="546"/>
      <c r="GQ97" s="546"/>
      <c r="GR97" s="546"/>
      <c r="GS97" s="546"/>
      <c r="GT97" s="546"/>
      <c r="GU97" s="546"/>
      <c r="GV97" s="546"/>
      <c r="GW97" s="546"/>
      <c r="GX97" s="546"/>
      <c r="GY97" s="546"/>
      <c r="GZ97" s="546"/>
      <c r="HA97" s="546"/>
      <c r="HB97" s="546"/>
      <c r="HC97" s="546"/>
      <c r="HD97" s="546"/>
      <c r="HE97" s="546"/>
      <c r="HF97" s="546"/>
      <c r="HG97" s="546"/>
      <c r="HH97" s="546"/>
      <c r="HI97" s="546"/>
      <c r="HJ97" s="546"/>
    </row>
    <row r="98" spans="1:218" s="541" customFormat="1" ht="14" x14ac:dyDescent="0.15">
      <c r="A98" s="588"/>
      <c r="B98" s="619"/>
      <c r="C98" s="588"/>
      <c r="D98" s="545"/>
      <c r="E98" s="588"/>
      <c r="F98" s="680"/>
      <c r="G98" s="680"/>
      <c r="H98" s="680"/>
      <c r="I98" s="588"/>
      <c r="J98" s="588"/>
      <c r="K98" s="588"/>
      <c r="L98" s="588"/>
      <c r="M98" s="588"/>
      <c r="N98" s="1105"/>
      <c r="O98" s="1105"/>
      <c r="P98" s="1105"/>
      <c r="Q98" s="1105"/>
      <c r="R98" s="1105"/>
      <c r="S98" s="1105"/>
      <c r="T98" s="1105"/>
      <c r="U98" s="1105"/>
      <c r="V98" s="643"/>
      <c r="W98" s="588"/>
      <c r="X98" s="1101"/>
      <c r="Y98" s="1101"/>
      <c r="Z98" s="651"/>
      <c r="AA98" s="996"/>
      <c r="AB98" s="996"/>
      <c r="AC98" s="996"/>
      <c r="AD98" s="996"/>
      <c r="AE98" s="996"/>
      <c r="AF98" s="996"/>
      <c r="AG98" s="996"/>
      <c r="AH98" s="996"/>
      <c r="AI98" s="996"/>
      <c r="AJ98" s="651"/>
      <c r="AK98" s="651"/>
      <c r="AL98" s="1101"/>
      <c r="AM98" s="1101"/>
      <c r="AN98" s="996"/>
      <c r="AO98" s="1118"/>
      <c r="AP98" s="1118"/>
      <c r="AQ98" s="1118"/>
      <c r="AR98" s="1118"/>
      <c r="AS98" s="651"/>
      <c r="AT98" s="651"/>
      <c r="AU98" s="651"/>
      <c r="AV98" s="651"/>
      <c r="AW98" s="651"/>
      <c r="AX98" s="651"/>
      <c r="AY98" s="651"/>
      <c r="AZ98" s="651"/>
      <c r="BA98" s="1106"/>
      <c r="BB98" s="1106"/>
      <c r="BC98" s="1106"/>
      <c r="BD98" s="1106"/>
      <c r="BE98" s="1106"/>
      <c r="BF98" s="588"/>
      <c r="BG98" s="679"/>
      <c r="BM98" s="599"/>
      <c r="BN98" s="626"/>
      <c r="BO98" s="566" t="str">
        <f>IF(OR(BU10=4,BU11=5),"igen","nem")</f>
        <v>nem</v>
      </c>
      <c r="BP98" s="672"/>
      <c r="BQ98" s="626"/>
      <c r="BR98" s="626"/>
      <c r="BS98" s="626"/>
      <c r="BU98" s="626"/>
      <c r="BV98" s="1238">
        <v>1</v>
      </c>
      <c r="BW98" s="1238"/>
      <c r="BX98" s="1221" t="s">
        <v>503</v>
      </c>
      <c r="BY98" s="1221"/>
      <c r="BZ98" s="1221"/>
      <c r="CA98" s="1221" t="str">
        <f>+HetelTipusa</f>
        <v>kitöltendő legördülő cella</v>
      </c>
      <c r="CB98" s="1221"/>
      <c r="CC98" s="1221"/>
      <c r="CD98" s="1221"/>
      <c r="CE98" s="1221" t="s">
        <v>0</v>
      </c>
      <c r="CF98" s="1221"/>
      <c r="CG98" s="1221"/>
      <c r="CH98" s="1221"/>
      <c r="CI98" s="1221"/>
      <c r="CJ98" s="1221"/>
      <c r="CK98" s="1221"/>
      <c r="CL98" s="1221"/>
      <c r="CM98" s="1221"/>
      <c r="CN98" s="1401" t="s">
        <v>506</v>
      </c>
      <c r="CO98" s="1401"/>
      <c r="CP98" s="1401"/>
      <c r="CQ98" s="1401"/>
      <c r="CR98" s="1401"/>
      <c r="CS98" s="1401"/>
      <c r="CT98" s="1401"/>
      <c r="CU98" s="681" t="s">
        <v>464</v>
      </c>
      <c r="CV98" s="683">
        <v>1.2999999999999999E-2</v>
      </c>
      <c r="CW98" s="684">
        <f>+IF(AND(BU7=1,CB7="a",devizanem="EUR",kamatfelartip="fix"),1,0)</f>
        <v>0</v>
      </c>
      <c r="EJ98" s="546"/>
      <c r="EK98" s="546"/>
      <c r="EL98" s="546"/>
      <c r="EM98" s="546"/>
      <c r="EN98" s="546"/>
      <c r="EO98" s="546"/>
      <c r="EP98" s="546"/>
      <c r="EQ98" s="546"/>
      <c r="ER98" s="546"/>
      <c r="ES98" s="546"/>
      <c r="ET98" s="546"/>
      <c r="EU98" s="546"/>
      <c r="EV98" s="546"/>
      <c r="EW98" s="546"/>
      <c r="EX98" s="546"/>
      <c r="EY98" s="546"/>
      <c r="EZ98" s="546"/>
      <c r="FA98" s="546"/>
      <c r="FB98" s="546"/>
      <c r="FC98" s="546"/>
      <c r="FD98" s="546"/>
      <c r="FE98" s="546"/>
      <c r="FF98" s="546"/>
      <c r="FG98" s="546"/>
      <c r="FH98" s="546"/>
      <c r="FI98" s="546"/>
      <c r="FJ98" s="546"/>
      <c r="FK98" s="546"/>
      <c r="FL98" s="546"/>
      <c r="FM98" s="546"/>
      <c r="FN98" s="546"/>
      <c r="FO98" s="546"/>
      <c r="FP98" s="546"/>
      <c r="FQ98" s="546"/>
      <c r="FR98" s="546"/>
      <c r="FS98" s="546"/>
      <c r="FT98" s="546"/>
      <c r="FU98" s="546"/>
      <c r="FV98" s="546"/>
      <c r="FW98" s="546"/>
      <c r="FX98" s="546"/>
      <c r="FY98" s="546"/>
      <c r="FZ98" s="546"/>
      <c r="GA98" s="546"/>
      <c r="GB98" s="546"/>
      <c r="GC98" s="546"/>
      <c r="GD98" s="546"/>
      <c r="GE98" s="546"/>
      <c r="GF98" s="546"/>
      <c r="GG98" s="546"/>
      <c r="GH98" s="546"/>
      <c r="GI98" s="546"/>
      <c r="GJ98" s="546"/>
      <c r="GK98" s="546"/>
      <c r="GL98" s="546"/>
      <c r="GM98" s="546"/>
      <c r="GN98" s="546"/>
      <c r="GO98" s="546"/>
      <c r="GP98" s="546"/>
      <c r="GQ98" s="546"/>
      <c r="GR98" s="546"/>
      <c r="GS98" s="546"/>
      <c r="GT98" s="546"/>
      <c r="GU98" s="546"/>
      <c r="GV98" s="546"/>
      <c r="GW98" s="546"/>
      <c r="GX98" s="546"/>
      <c r="GY98" s="546"/>
      <c r="GZ98" s="546"/>
      <c r="HA98" s="546"/>
      <c r="HB98" s="546"/>
      <c r="HC98" s="546"/>
      <c r="HD98" s="546"/>
      <c r="HE98" s="546"/>
      <c r="HF98" s="546"/>
      <c r="HG98" s="546"/>
      <c r="HH98" s="546"/>
      <c r="HI98" s="546"/>
      <c r="HJ98" s="546"/>
    </row>
    <row r="99" spans="1:218" s="541" customFormat="1" ht="29.25" customHeight="1" x14ac:dyDescent="0.15">
      <c r="A99" s="588"/>
      <c r="B99" s="619"/>
      <c r="C99" s="588"/>
      <c r="D99" s="1220" t="s">
        <v>1036</v>
      </c>
      <c r="E99" s="1220"/>
      <c r="F99" s="1220"/>
      <c r="G99" s="1220"/>
      <c r="H99" s="1220"/>
      <c r="I99" s="1220"/>
      <c r="J99" s="1220"/>
      <c r="K99" s="1220"/>
      <c r="L99" s="1220"/>
      <c r="M99" s="1220"/>
      <c r="N99" s="997" t="str">
        <f>+IF(CJ174="","",CJ174)</f>
        <v/>
      </c>
      <c r="O99" s="997"/>
      <c r="P99" s="997"/>
      <c r="Q99" s="997"/>
      <c r="R99" s="997"/>
      <c r="S99" s="997"/>
      <c r="T99" s="997"/>
      <c r="U99" s="997"/>
      <c r="V99" s="643"/>
      <c r="W99" s="643"/>
      <c r="X99" s="1213" t="s">
        <v>406</v>
      </c>
      <c r="Y99" s="1213"/>
      <c r="Z99" s="682"/>
      <c r="AA99" s="1244"/>
      <c r="AB99" s="1244"/>
      <c r="AC99" s="1244"/>
      <c r="AD99" s="1244"/>
      <c r="AE99" s="1244"/>
      <c r="AF99" s="1244"/>
      <c r="AG99" s="1244"/>
      <c r="AH99" s="1244"/>
      <c r="AI99" s="1244"/>
      <c r="AJ99" s="682"/>
      <c r="AK99" s="682"/>
      <c r="AL99" s="1357" t="s">
        <v>407</v>
      </c>
      <c r="AM99" s="1357"/>
      <c r="AN99" s="1247" t="str">
        <f>+IF(AN97="","",EDATE(AN97,1))</f>
        <v/>
      </c>
      <c r="AO99" s="1247"/>
      <c r="AP99" s="1247"/>
      <c r="AQ99" s="1247"/>
      <c r="AR99" s="1247"/>
      <c r="AS99" s="571"/>
      <c r="AT99" s="571"/>
      <c r="AU99" s="571"/>
      <c r="AV99" s="571"/>
      <c r="AW99" s="571"/>
      <c r="AX99" s="571"/>
      <c r="AY99" s="571"/>
      <c r="AZ99" s="571"/>
      <c r="BA99" s="1240"/>
      <c r="BB99" s="1240"/>
      <c r="BC99" s="1240"/>
      <c r="BD99" s="1240"/>
      <c r="BE99" s="1240"/>
      <c r="BF99" s="590"/>
      <c r="BG99" s="679"/>
      <c r="BM99" s="599"/>
      <c r="BN99" s="626"/>
      <c r="BO99" s="686"/>
      <c r="BP99" s="626"/>
      <c r="BQ99" s="626"/>
      <c r="BR99" s="626"/>
      <c r="BV99" s="1238">
        <v>1</v>
      </c>
      <c r="BW99" s="1238"/>
      <c r="BX99" s="1221" t="s">
        <v>507</v>
      </c>
      <c r="BY99" s="1221"/>
      <c r="BZ99" s="1221"/>
      <c r="CA99" s="1221" t="str">
        <f>+HetelTipusa</f>
        <v>kitöltendő legördülő cella</v>
      </c>
      <c r="CB99" s="1221"/>
      <c r="CC99" s="1221"/>
      <c r="CD99" s="1221"/>
      <c r="CE99" s="1221" t="s">
        <v>162</v>
      </c>
      <c r="CF99" s="1221"/>
      <c r="CG99" s="1221"/>
      <c r="CH99" s="1221"/>
      <c r="CI99" s="1221"/>
      <c r="CJ99" s="1221"/>
      <c r="CK99" s="1221"/>
      <c r="CL99" s="1221"/>
      <c r="CM99" s="1221"/>
      <c r="CN99" s="1401" t="s">
        <v>506</v>
      </c>
      <c r="CO99" s="1401"/>
      <c r="CP99" s="1401"/>
      <c r="CQ99" s="1401"/>
      <c r="CR99" s="1401"/>
      <c r="CS99" s="1401"/>
      <c r="CT99" s="1401"/>
      <c r="CU99" s="681" t="s">
        <v>505</v>
      </c>
      <c r="CV99" s="1124">
        <v>1.8200000000000001E-2</v>
      </c>
      <c r="CW99" s="684">
        <f>+IF(AND(BU7=1,CB8="b",devizanem="HUF",kamatfelartip="változó"),1,0)</f>
        <v>0</v>
      </c>
      <c r="EJ99" s="546"/>
      <c r="EK99" s="546"/>
      <c r="EL99" s="546"/>
      <c r="EM99" s="546"/>
      <c r="EN99" s="546"/>
      <c r="EO99" s="546"/>
      <c r="EP99" s="546"/>
      <c r="EQ99" s="546"/>
      <c r="ER99" s="546"/>
      <c r="ES99" s="546"/>
      <c r="ET99" s="546"/>
      <c r="EU99" s="546"/>
      <c r="EV99" s="546"/>
      <c r="EW99" s="546"/>
      <c r="EX99" s="546"/>
      <c r="EY99" s="546"/>
      <c r="EZ99" s="546"/>
      <c r="FA99" s="546"/>
      <c r="FB99" s="546"/>
      <c r="FC99" s="546"/>
      <c r="FD99" s="546"/>
      <c r="FE99" s="546"/>
      <c r="FF99" s="546"/>
      <c r="FG99" s="546"/>
      <c r="FH99" s="546"/>
      <c r="FI99" s="546"/>
      <c r="FJ99" s="546"/>
      <c r="FK99" s="546"/>
      <c r="FL99" s="546"/>
      <c r="FM99" s="546"/>
      <c r="FN99" s="546"/>
      <c r="FO99" s="546"/>
      <c r="FP99" s="546"/>
      <c r="FQ99" s="546"/>
      <c r="FR99" s="546"/>
      <c r="FS99" s="546"/>
      <c r="FT99" s="546"/>
      <c r="FU99" s="546"/>
      <c r="FV99" s="546"/>
      <c r="FW99" s="546"/>
      <c r="FX99" s="546"/>
      <c r="FY99" s="546"/>
      <c r="FZ99" s="546"/>
      <c r="GA99" s="546"/>
      <c r="GB99" s="546"/>
      <c r="GC99" s="546"/>
      <c r="GD99" s="546"/>
      <c r="GE99" s="546"/>
      <c r="GF99" s="546"/>
      <c r="GG99" s="546"/>
      <c r="GH99" s="546"/>
      <c r="GI99" s="546"/>
      <c r="GJ99" s="546"/>
      <c r="GK99" s="546"/>
      <c r="GL99" s="546"/>
      <c r="GM99" s="546"/>
      <c r="GN99" s="546"/>
      <c r="GO99" s="546"/>
      <c r="GP99" s="546"/>
      <c r="GQ99" s="546"/>
      <c r="GR99" s="546"/>
      <c r="GS99" s="546"/>
      <c r="GT99" s="546"/>
      <c r="GU99" s="546"/>
      <c r="GV99" s="546"/>
      <c r="GW99" s="546"/>
      <c r="GX99" s="546"/>
      <c r="GY99" s="546"/>
      <c r="GZ99" s="546"/>
      <c r="HA99" s="546"/>
      <c r="HB99" s="546"/>
      <c r="HC99" s="546"/>
      <c r="HD99" s="546"/>
      <c r="HE99" s="546"/>
      <c r="HF99" s="546"/>
      <c r="HG99" s="546"/>
      <c r="HH99" s="546"/>
      <c r="HI99" s="546"/>
      <c r="HJ99" s="546"/>
    </row>
    <row r="100" spans="1:218" s="541" customFormat="1" ht="14" x14ac:dyDescent="0.15">
      <c r="A100" s="588"/>
      <c r="B100" s="619"/>
      <c r="C100" s="588"/>
      <c r="D100" s="588"/>
      <c r="E100" s="588"/>
      <c r="F100" s="588"/>
      <c r="G100" s="588"/>
      <c r="H100" s="588"/>
      <c r="I100" s="588"/>
      <c r="J100" s="588"/>
      <c r="K100" s="588"/>
      <c r="L100" s="588"/>
      <c r="M100" s="588"/>
      <c r="N100" s="651"/>
      <c r="O100" s="651"/>
      <c r="P100" s="651"/>
      <c r="Q100" s="651"/>
      <c r="R100" s="651"/>
      <c r="S100" s="651"/>
      <c r="T100" s="651"/>
      <c r="U100" s="651"/>
      <c r="V100" s="588"/>
      <c r="W100" s="588"/>
      <c r="X100" s="651"/>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T100" s="651"/>
      <c r="AU100" s="651"/>
      <c r="AV100" s="651"/>
      <c r="AW100" s="651"/>
      <c r="AX100" s="651"/>
      <c r="AY100" s="651"/>
      <c r="AZ100" s="651"/>
      <c r="BA100" s="651"/>
      <c r="BB100" s="651"/>
      <c r="BC100" s="651"/>
      <c r="BD100" s="651"/>
      <c r="BE100" s="651"/>
      <c r="BF100" s="590"/>
      <c r="BG100" s="679"/>
      <c r="BM100" s="599"/>
      <c r="BN100" s="626"/>
      <c r="BO100" s="626"/>
      <c r="BP100" s="626"/>
      <c r="BQ100" s="626"/>
      <c r="BR100" s="626"/>
      <c r="BV100" s="1238">
        <v>1</v>
      </c>
      <c r="BW100" s="1238"/>
      <c r="BX100" s="1221" t="s">
        <v>507</v>
      </c>
      <c r="BY100" s="1221"/>
      <c r="BZ100" s="1221"/>
      <c r="CA100" s="1221" t="str">
        <f>++HetelTipusa</f>
        <v>kitöltendő legördülő cella</v>
      </c>
      <c r="CB100" s="1221"/>
      <c r="CC100" s="1221"/>
      <c r="CD100" s="1221"/>
      <c r="CE100" s="1221" t="s">
        <v>162</v>
      </c>
      <c r="CF100" s="1221"/>
      <c r="CG100" s="1221"/>
      <c r="CH100" s="1221"/>
      <c r="CI100" s="1221"/>
      <c r="CJ100" s="1221"/>
      <c r="CK100" s="1221"/>
      <c r="CL100" s="1221"/>
      <c r="CM100" s="1221"/>
      <c r="CN100" s="1401" t="s">
        <v>504</v>
      </c>
      <c r="CO100" s="1401"/>
      <c r="CP100" s="1401"/>
      <c r="CQ100" s="1401"/>
      <c r="CR100" s="1401"/>
      <c r="CS100" s="1401"/>
      <c r="CT100" s="1401"/>
      <c r="CU100" s="681" t="s">
        <v>464</v>
      </c>
      <c r="CV100" s="683">
        <v>1.38E-2</v>
      </c>
      <c r="CW100" s="684">
        <f>+IF(AND(BU7=1,CB8="b",devizanem="HUF",kamatfelartip="fix"),1,0)</f>
        <v>0</v>
      </c>
      <c r="EJ100" s="546"/>
      <c r="EK100" s="546"/>
      <c r="EL100" s="546"/>
      <c r="EM100" s="546"/>
      <c r="EN100" s="546"/>
      <c r="EO100" s="546"/>
      <c r="EP100" s="546"/>
      <c r="EQ100" s="546"/>
      <c r="ER100" s="546"/>
      <c r="ES100" s="546"/>
      <c r="ET100" s="546"/>
      <c r="EU100" s="546"/>
      <c r="EV100" s="546"/>
      <c r="EW100" s="546"/>
      <c r="EX100" s="546"/>
      <c r="EY100" s="546"/>
      <c r="EZ100" s="546"/>
      <c r="FA100" s="546"/>
      <c r="FB100" s="546"/>
      <c r="FC100" s="546"/>
      <c r="FD100" s="546"/>
      <c r="FE100" s="546"/>
      <c r="FF100" s="546"/>
      <c r="FG100" s="546"/>
      <c r="FH100" s="546"/>
      <c r="FI100" s="546"/>
      <c r="FJ100" s="546"/>
      <c r="FK100" s="546"/>
      <c r="FL100" s="546"/>
      <c r="FM100" s="546"/>
      <c r="FN100" s="546"/>
      <c r="FO100" s="546"/>
      <c r="FP100" s="546"/>
      <c r="FQ100" s="546"/>
      <c r="FR100" s="546"/>
      <c r="FS100" s="546"/>
      <c r="FT100" s="546"/>
      <c r="FU100" s="546"/>
      <c r="FV100" s="546"/>
      <c r="FW100" s="546"/>
      <c r="FX100" s="546"/>
      <c r="FY100" s="546"/>
      <c r="FZ100" s="546"/>
      <c r="GA100" s="546"/>
      <c r="GB100" s="546"/>
      <c r="GC100" s="546"/>
      <c r="GD100" s="546"/>
      <c r="GE100" s="546"/>
      <c r="GF100" s="546"/>
      <c r="GG100" s="546"/>
      <c r="GH100" s="546"/>
      <c r="GI100" s="546"/>
      <c r="GJ100" s="546"/>
      <c r="GK100" s="546"/>
      <c r="GL100" s="546"/>
      <c r="GM100" s="546"/>
      <c r="GN100" s="546"/>
      <c r="GO100" s="546"/>
      <c r="GP100" s="546"/>
      <c r="GQ100" s="546"/>
      <c r="GR100" s="546"/>
      <c r="GS100" s="546"/>
      <c r="GT100" s="546"/>
      <c r="GU100" s="546"/>
      <c r="GV100" s="546"/>
      <c r="GW100" s="546"/>
      <c r="GX100" s="546"/>
      <c r="GY100" s="546"/>
      <c r="GZ100" s="546"/>
      <c r="HA100" s="546"/>
      <c r="HB100" s="546"/>
      <c r="HC100" s="546"/>
      <c r="HD100" s="546"/>
      <c r="HE100" s="546"/>
      <c r="HF100" s="546"/>
      <c r="HG100" s="546"/>
      <c r="HH100" s="546"/>
      <c r="HI100" s="546"/>
      <c r="HJ100" s="546"/>
    </row>
    <row r="101" spans="1:218" s="541" customFormat="1" ht="14" x14ac:dyDescent="0.15">
      <c r="A101" s="588"/>
      <c r="B101" s="619"/>
      <c r="C101" s="588"/>
      <c r="D101" s="545" t="s">
        <v>285</v>
      </c>
      <c r="E101" s="588"/>
      <c r="F101" s="588"/>
      <c r="G101" s="588"/>
      <c r="H101" s="588"/>
      <c r="I101" s="588"/>
      <c r="J101" s="588"/>
      <c r="K101" s="588"/>
      <c r="L101" s="588"/>
      <c r="M101" s="588"/>
      <c r="N101" s="1250" t="str">
        <f>+CJ175</f>
        <v/>
      </c>
      <c r="O101" s="1250"/>
      <c r="P101" s="1250"/>
      <c r="Q101" s="1250"/>
      <c r="R101" s="1250"/>
      <c r="S101" s="1250"/>
      <c r="T101" s="1250"/>
      <c r="U101" s="1250"/>
      <c r="V101" s="545" t="s">
        <v>164</v>
      </c>
      <c r="W101" s="545"/>
      <c r="X101" s="1213" t="s">
        <v>406</v>
      </c>
      <c r="Y101" s="1213"/>
      <c r="Z101" s="678"/>
      <c r="AA101" s="1205" t="str">
        <f>+IF(AA97="","",AA97)</f>
        <v/>
      </c>
      <c r="AB101" s="1205"/>
      <c r="AC101" s="1205"/>
      <c r="AD101" s="1205"/>
      <c r="AE101" s="1205"/>
      <c r="AF101" s="1205"/>
      <c r="AG101" s="1205"/>
      <c r="AH101" s="1205"/>
      <c r="AI101" s="1205"/>
      <c r="AJ101" s="678"/>
      <c r="AK101" s="678"/>
      <c r="AL101" s="1213" t="s">
        <v>407</v>
      </c>
      <c r="AM101" s="1213"/>
      <c r="AN101" s="1205" t="str">
        <f>+IF(futamidokezdete="","",futamidokezdete-1)</f>
        <v/>
      </c>
      <c r="AO101" s="1205"/>
      <c r="AP101" s="1205"/>
      <c r="AQ101" s="1205"/>
      <c r="AR101" s="1205"/>
      <c r="AS101" s="571"/>
      <c r="AT101" s="571"/>
      <c r="AU101" s="571"/>
      <c r="AV101" s="571"/>
      <c r="AW101" s="571"/>
      <c r="AX101" s="571"/>
      <c r="AY101" s="571"/>
      <c r="AZ101" s="571"/>
      <c r="BA101" s="1240"/>
      <c r="BB101" s="1240"/>
      <c r="BC101" s="1240"/>
      <c r="BD101" s="1240"/>
      <c r="BE101" s="1240"/>
      <c r="BF101" s="590"/>
      <c r="BG101" s="679"/>
      <c r="BM101" s="599"/>
      <c r="BN101" s="626"/>
      <c r="BO101" s="694"/>
      <c r="BP101" s="626"/>
      <c r="BQ101" s="626"/>
      <c r="BR101" s="626"/>
      <c r="BV101" s="1238">
        <v>1</v>
      </c>
      <c r="BW101" s="1238"/>
      <c r="BX101" s="1221" t="s">
        <v>507</v>
      </c>
      <c r="BY101" s="1221"/>
      <c r="BZ101" s="1221"/>
      <c r="CA101" s="1221" t="str">
        <f>++HetelTipusa</f>
        <v>kitöltendő legördülő cella</v>
      </c>
      <c r="CB101" s="1221"/>
      <c r="CC101" s="1221"/>
      <c r="CD101" s="1221"/>
      <c r="CE101" s="1221" t="s">
        <v>0</v>
      </c>
      <c r="CF101" s="1221"/>
      <c r="CG101" s="1221"/>
      <c r="CH101" s="1221"/>
      <c r="CI101" s="1221"/>
      <c r="CJ101" s="1221"/>
      <c r="CK101" s="1221"/>
      <c r="CL101" s="1221"/>
      <c r="CM101" s="1221"/>
      <c r="CN101" s="1401" t="s">
        <v>506</v>
      </c>
      <c r="CO101" s="1401"/>
      <c r="CP101" s="1401"/>
      <c r="CQ101" s="1401"/>
      <c r="CR101" s="1401"/>
      <c r="CS101" s="1401"/>
      <c r="CT101" s="1401"/>
      <c r="CU101" s="681" t="s">
        <v>464</v>
      </c>
      <c r="CV101" s="683">
        <v>1.3299999999999999E-2</v>
      </c>
      <c r="CW101" s="684">
        <f>+IF(AND(BU7=1,CB8="b",devizanem="EUR",kamatfelartip="fix"),1,0)</f>
        <v>0</v>
      </c>
      <c r="EJ101" s="546"/>
      <c r="EK101" s="546"/>
      <c r="EL101" s="546"/>
      <c r="EM101" s="546"/>
      <c r="EN101" s="546"/>
      <c r="EO101" s="546"/>
      <c r="EP101" s="546"/>
      <c r="EQ101" s="546"/>
      <c r="ER101" s="546"/>
      <c r="ES101" s="546"/>
      <c r="ET101" s="546"/>
      <c r="EU101" s="546"/>
      <c r="EV101" s="546"/>
      <c r="EW101" s="546"/>
      <c r="EX101" s="546"/>
      <c r="EY101" s="546"/>
      <c r="EZ101" s="546"/>
      <c r="FA101" s="546"/>
      <c r="FB101" s="546"/>
      <c r="FC101" s="546"/>
      <c r="FD101" s="546"/>
      <c r="FE101" s="546"/>
      <c r="FF101" s="546"/>
      <c r="FG101" s="546"/>
      <c r="FH101" s="546"/>
      <c r="FI101" s="546"/>
      <c r="FJ101" s="546"/>
      <c r="FK101" s="546"/>
      <c r="FL101" s="546"/>
      <c r="FM101" s="546"/>
      <c r="FN101" s="546"/>
      <c r="FO101" s="546"/>
      <c r="FP101" s="546"/>
      <c r="FQ101" s="546"/>
      <c r="FR101" s="546"/>
      <c r="FS101" s="546"/>
      <c r="FT101" s="546"/>
      <c r="FU101" s="546"/>
      <c r="FV101" s="546"/>
      <c r="FW101" s="546"/>
      <c r="FX101" s="546"/>
      <c r="FY101" s="546"/>
      <c r="FZ101" s="546"/>
      <c r="GA101" s="546"/>
      <c r="GB101" s="546"/>
      <c r="GC101" s="546"/>
      <c r="GD101" s="546"/>
      <c r="GE101" s="546"/>
      <c r="GF101" s="546"/>
      <c r="GG101" s="546"/>
      <c r="GH101" s="546"/>
      <c r="GI101" s="546"/>
      <c r="GJ101" s="546"/>
      <c r="GK101" s="546"/>
      <c r="GL101" s="546"/>
      <c r="GM101" s="546"/>
      <c r="GN101" s="546"/>
      <c r="GO101" s="546"/>
      <c r="GP101" s="546"/>
      <c r="GQ101" s="546"/>
      <c r="GR101" s="546"/>
      <c r="GS101" s="546"/>
      <c r="GT101" s="546"/>
      <c r="GU101" s="546"/>
      <c r="GV101" s="546"/>
      <c r="GW101" s="546"/>
      <c r="GX101" s="546"/>
      <c r="GY101" s="546"/>
      <c r="GZ101" s="546"/>
      <c r="HA101" s="546"/>
      <c r="HB101" s="546"/>
      <c r="HC101" s="546"/>
      <c r="HD101" s="546"/>
      <c r="HE101" s="546"/>
      <c r="HF101" s="546"/>
      <c r="HG101" s="546"/>
      <c r="HH101" s="546"/>
      <c r="HI101" s="546"/>
      <c r="HJ101" s="546"/>
    </row>
    <row r="102" spans="1:218" s="541" customFormat="1" ht="14" x14ac:dyDescent="0.15">
      <c r="A102" s="588"/>
      <c r="B102" s="619"/>
      <c r="C102" s="588"/>
      <c r="D102" s="687" t="s">
        <v>390</v>
      </c>
      <c r="E102" s="687"/>
      <c r="F102" s="687"/>
      <c r="G102" s="687"/>
      <c r="H102" s="687"/>
      <c r="I102" s="687"/>
      <c r="J102" s="687"/>
      <c r="K102" s="687"/>
      <c r="L102" s="687"/>
      <c r="M102" s="687"/>
      <c r="N102" s="688"/>
      <c r="O102" s="688"/>
      <c r="P102" s="688"/>
      <c r="Q102" s="688"/>
      <c r="R102" s="688"/>
      <c r="S102" s="688"/>
      <c r="T102" s="688"/>
      <c r="U102" s="688"/>
      <c r="V102" s="687"/>
      <c r="W102" s="687"/>
      <c r="X102" s="689"/>
      <c r="Y102" s="689"/>
      <c r="Z102" s="689"/>
      <c r="AA102" s="1248" t="str">
        <f>IF(ISBLANK(AN101),futamidokezdete,AN101)</f>
        <v/>
      </c>
      <c r="AB102" s="1248"/>
      <c r="AC102" s="1248"/>
      <c r="AD102" s="1248"/>
      <c r="AE102" s="1248"/>
      <c r="AF102" s="1248"/>
      <c r="AG102" s="1248"/>
      <c r="AH102" s="1248"/>
      <c r="AI102" s="1248"/>
      <c r="AJ102" s="689"/>
      <c r="AK102" s="689"/>
      <c r="AL102" s="690"/>
      <c r="AM102" s="690"/>
      <c r="AN102" s="1248"/>
      <c r="AO102" s="1248"/>
      <c r="AP102" s="1248"/>
      <c r="AQ102" s="1248"/>
      <c r="AR102" s="1248"/>
      <c r="AS102" s="691"/>
      <c r="AT102" s="691"/>
      <c r="AU102" s="691"/>
      <c r="AV102" s="691"/>
      <c r="AW102" s="691"/>
      <c r="AX102" s="691"/>
      <c r="AY102" s="691"/>
      <c r="AZ102" s="691"/>
      <c r="BA102" s="691"/>
      <c r="BB102" s="691"/>
      <c r="BC102" s="692"/>
      <c r="BD102" s="692"/>
      <c r="BE102" s="692"/>
      <c r="BF102" s="693"/>
      <c r="BG102" s="679"/>
      <c r="BM102" s="599"/>
      <c r="BN102" s="626"/>
      <c r="BO102" s="686"/>
      <c r="BP102" s="626"/>
      <c r="BQ102" s="626"/>
      <c r="BR102" s="626"/>
      <c r="BS102" s="695"/>
      <c r="BU102" s="695"/>
      <c r="BV102" s="1238">
        <v>1</v>
      </c>
      <c r="BW102" s="1238"/>
      <c r="BX102" s="1221" t="s">
        <v>508</v>
      </c>
      <c r="BY102" s="1221"/>
      <c r="BZ102" s="1221"/>
      <c r="CA102" s="1221" t="str">
        <f>+HetelTipusa</f>
        <v>kitöltendő legördülő cella</v>
      </c>
      <c r="CB102" s="1221"/>
      <c r="CC102" s="1221"/>
      <c r="CD102" s="1221"/>
      <c r="CE102" s="1221" t="s">
        <v>162</v>
      </c>
      <c r="CF102" s="1221"/>
      <c r="CG102" s="1221"/>
      <c r="CH102" s="1221"/>
      <c r="CI102" s="1221"/>
      <c r="CJ102" s="1221"/>
      <c r="CK102" s="1221"/>
      <c r="CL102" s="1221"/>
      <c r="CM102" s="1221"/>
      <c r="CN102" s="1401" t="s">
        <v>506</v>
      </c>
      <c r="CO102" s="1401"/>
      <c r="CP102" s="1401"/>
      <c r="CQ102" s="1401"/>
      <c r="CR102" s="1401"/>
      <c r="CS102" s="1401"/>
      <c r="CT102" s="1401"/>
      <c r="CU102" s="681" t="s">
        <v>505</v>
      </c>
      <c r="CV102" s="683">
        <v>3.5000000000000003E-2</v>
      </c>
      <c r="CW102" s="684">
        <f>+IF(AND(BU7=1,CB9="c",devizanem="HUF",kamatfelartip="változó"),1,0)</f>
        <v>0</v>
      </c>
      <c r="EJ102" s="546"/>
      <c r="EK102" s="546"/>
      <c r="EL102" s="546"/>
      <c r="EM102" s="546"/>
      <c r="EN102" s="546"/>
      <c r="EO102" s="546"/>
      <c r="EP102" s="546"/>
      <c r="EQ102" s="546"/>
      <c r="ER102" s="546"/>
      <c r="ES102" s="546"/>
      <c r="ET102" s="546"/>
      <c r="EU102" s="546"/>
      <c r="EV102" s="546"/>
      <c r="EW102" s="546"/>
      <c r="EX102" s="546"/>
      <c r="EY102" s="546"/>
      <c r="EZ102" s="546"/>
      <c r="FA102" s="546"/>
      <c r="FB102" s="546"/>
      <c r="FC102" s="546"/>
      <c r="FD102" s="546"/>
      <c r="FE102" s="546"/>
      <c r="FF102" s="546"/>
      <c r="FG102" s="546"/>
      <c r="FH102" s="546"/>
      <c r="FI102" s="546"/>
      <c r="FJ102" s="546"/>
      <c r="FK102" s="546"/>
      <c r="FL102" s="546"/>
      <c r="FM102" s="546"/>
      <c r="FN102" s="546"/>
      <c r="FO102" s="546"/>
      <c r="FP102" s="546"/>
      <c r="FQ102" s="546"/>
      <c r="FR102" s="546"/>
      <c r="FS102" s="546"/>
      <c r="FT102" s="546"/>
      <c r="FU102" s="546"/>
      <c r="FV102" s="546"/>
      <c r="FW102" s="546"/>
      <c r="FX102" s="546"/>
      <c r="FY102" s="546"/>
      <c r="FZ102" s="546"/>
      <c r="GA102" s="546"/>
      <c r="GB102" s="546"/>
      <c r="GC102" s="546"/>
      <c r="GD102" s="546"/>
      <c r="GE102" s="546"/>
      <c r="GF102" s="546"/>
      <c r="GG102" s="546"/>
      <c r="GH102" s="546"/>
      <c r="GI102" s="546"/>
      <c r="GJ102" s="546"/>
      <c r="GK102" s="546"/>
      <c r="GL102" s="546"/>
      <c r="GM102" s="546"/>
      <c r="GN102" s="546"/>
      <c r="GO102" s="546"/>
      <c r="GP102" s="546"/>
      <c r="GQ102" s="546"/>
      <c r="GR102" s="546"/>
      <c r="GS102" s="546"/>
      <c r="GT102" s="546"/>
      <c r="GU102" s="546"/>
      <c r="GV102" s="546"/>
      <c r="GW102" s="546"/>
      <c r="GX102" s="546"/>
      <c r="GY102" s="546"/>
      <c r="GZ102" s="546"/>
      <c r="HA102" s="546"/>
      <c r="HB102" s="546"/>
      <c r="HC102" s="546"/>
      <c r="HD102" s="546"/>
      <c r="HE102" s="546"/>
      <c r="HF102" s="546"/>
      <c r="HG102" s="546"/>
      <c r="HH102" s="546"/>
      <c r="HI102" s="546"/>
      <c r="HJ102" s="546"/>
    </row>
    <row r="103" spans="1:218" s="541" customFormat="1" ht="14" x14ac:dyDescent="0.15">
      <c r="A103" s="588"/>
      <c r="B103" s="619"/>
      <c r="C103" s="588"/>
      <c r="D103" s="1249" t="e">
        <f>IF(AND(honapokszama&gt;0,turelmiido&gt;0),Negyedeves_Hiba,"")</f>
        <v>#VALUE!</v>
      </c>
      <c r="E103" s="1249"/>
      <c r="F103" s="1249"/>
      <c r="G103" s="1249"/>
      <c r="H103" s="1249"/>
      <c r="I103" s="1249"/>
      <c r="J103" s="1249"/>
      <c r="K103" s="1249"/>
      <c r="L103" s="1249"/>
      <c r="M103" s="1249"/>
      <c r="N103" s="1249"/>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679"/>
      <c r="BM103" s="599"/>
      <c r="BN103" s="626"/>
      <c r="BO103" s="626"/>
      <c r="BP103" s="626"/>
      <c r="BQ103" s="626"/>
      <c r="BR103" s="626"/>
      <c r="BS103" s="626"/>
      <c r="BT103" s="626"/>
      <c r="BU103" s="626"/>
      <c r="BV103" s="1238">
        <v>1</v>
      </c>
      <c r="BW103" s="1238"/>
      <c r="BX103" s="1221" t="s">
        <v>508</v>
      </c>
      <c r="BY103" s="1221"/>
      <c r="BZ103" s="1221"/>
      <c r="CA103" s="1221" t="str">
        <f>++HetelTipusa</f>
        <v>kitöltendő legördülő cella</v>
      </c>
      <c r="CB103" s="1221"/>
      <c r="CC103" s="1221"/>
      <c r="CD103" s="1221"/>
      <c r="CE103" s="1221" t="s">
        <v>162</v>
      </c>
      <c r="CF103" s="1221"/>
      <c r="CG103" s="1221"/>
      <c r="CH103" s="1221"/>
      <c r="CI103" s="1221"/>
      <c r="CJ103" s="1221"/>
      <c r="CK103" s="1221"/>
      <c r="CL103" s="1221"/>
      <c r="CM103" s="1221"/>
      <c r="CN103" s="1401" t="s">
        <v>506</v>
      </c>
      <c r="CO103" s="1401"/>
      <c r="CP103" s="1401"/>
      <c r="CQ103" s="1401"/>
      <c r="CR103" s="1401"/>
      <c r="CS103" s="1401"/>
      <c r="CT103" s="1401"/>
      <c r="CU103" s="681" t="s">
        <v>464</v>
      </c>
      <c r="CV103" s="683">
        <v>1.32E-2</v>
      </c>
      <c r="CW103" s="684">
        <f>+IF(AND(BU7=1,CB9="c",devizanem="HUF",kamatfelartip="fix"),1,0)</f>
        <v>0</v>
      </c>
      <c r="EJ103" s="546"/>
      <c r="EK103" s="546"/>
      <c r="EL103" s="546"/>
      <c r="EM103" s="546"/>
      <c r="EN103" s="546"/>
      <c r="EO103" s="546"/>
      <c r="EP103" s="546"/>
      <c r="EQ103" s="546"/>
      <c r="ER103" s="546"/>
      <c r="ES103" s="546"/>
      <c r="ET103" s="546"/>
      <c r="EU103" s="546"/>
      <c r="EV103" s="546"/>
      <c r="EW103" s="546"/>
      <c r="EX103" s="546"/>
      <c r="EY103" s="546"/>
      <c r="EZ103" s="546"/>
      <c r="FA103" s="546"/>
      <c r="FB103" s="546"/>
      <c r="FC103" s="546"/>
      <c r="FD103" s="546"/>
      <c r="FE103" s="546"/>
      <c r="FF103" s="546"/>
      <c r="FG103" s="546"/>
      <c r="FH103" s="546"/>
      <c r="FI103" s="546"/>
      <c r="FJ103" s="546"/>
      <c r="FK103" s="546"/>
      <c r="FL103" s="546"/>
      <c r="FM103" s="546"/>
      <c r="FN103" s="546"/>
      <c r="FO103" s="546"/>
      <c r="FP103" s="546"/>
      <c r="FQ103" s="546"/>
      <c r="FR103" s="546"/>
      <c r="FS103" s="546"/>
      <c r="FT103" s="546"/>
      <c r="FU103" s="546"/>
      <c r="FV103" s="546"/>
      <c r="FW103" s="546"/>
      <c r="FX103" s="546"/>
      <c r="FY103" s="546"/>
      <c r="FZ103" s="546"/>
      <c r="GA103" s="546"/>
      <c r="GB103" s="546"/>
      <c r="GC103" s="546"/>
      <c r="GD103" s="546"/>
      <c r="GE103" s="546"/>
      <c r="GF103" s="546"/>
      <c r="GG103" s="546"/>
      <c r="GH103" s="546"/>
      <c r="GI103" s="546"/>
      <c r="GJ103" s="546"/>
      <c r="GK103" s="546"/>
      <c r="GL103" s="546"/>
      <c r="GM103" s="546"/>
      <c r="GN103" s="546"/>
      <c r="GO103" s="546"/>
      <c r="GP103" s="546"/>
      <c r="GQ103" s="546"/>
      <c r="GR103" s="546"/>
      <c r="GS103" s="546"/>
      <c r="GT103" s="546"/>
      <c r="GU103" s="546"/>
      <c r="GV103" s="546"/>
      <c r="GW103" s="546"/>
      <c r="GX103" s="546"/>
      <c r="GY103" s="546"/>
      <c r="GZ103" s="546"/>
      <c r="HA103" s="546"/>
      <c r="HB103" s="546"/>
      <c r="HC103" s="546"/>
      <c r="HD103" s="546"/>
      <c r="HE103" s="546"/>
      <c r="HF103" s="546"/>
      <c r="HG103" s="546"/>
      <c r="HH103" s="546"/>
      <c r="HI103" s="546"/>
      <c r="HJ103" s="546"/>
    </row>
    <row r="104" spans="1:218" s="541" customFormat="1" ht="34.5" customHeight="1" x14ac:dyDescent="0.15">
      <c r="A104" s="588"/>
      <c r="B104" s="619"/>
      <c r="C104" s="588"/>
      <c r="D104" s="1219" t="s">
        <v>393</v>
      </c>
      <c r="E104" s="1219"/>
      <c r="F104" s="1219"/>
      <c r="G104" s="1219"/>
      <c r="H104" s="1219"/>
      <c r="I104" s="1219"/>
      <c r="J104" s="1219"/>
      <c r="K104" s="1219"/>
      <c r="L104" s="1219"/>
      <c r="M104" s="543"/>
      <c r="N104" s="1241" t="s">
        <v>163</v>
      </c>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BG104" s="621"/>
      <c r="BM104" s="599"/>
      <c r="BN104" s="626"/>
      <c r="BO104" s="626"/>
      <c r="BP104" s="626"/>
      <c r="BQ104" s="626"/>
      <c r="BR104" s="626"/>
      <c r="BS104" s="626"/>
      <c r="BT104" s="626"/>
      <c r="BU104" s="626"/>
      <c r="BV104" s="1238">
        <v>1</v>
      </c>
      <c r="BW104" s="1238"/>
      <c r="BX104" s="1221" t="s">
        <v>508</v>
      </c>
      <c r="BY104" s="1221"/>
      <c r="BZ104" s="1221"/>
      <c r="CA104" s="1221" t="str">
        <f>++HetelTipusa</f>
        <v>kitöltendő legördülő cella</v>
      </c>
      <c r="CB104" s="1221"/>
      <c r="CC104" s="1221"/>
      <c r="CD104" s="1221"/>
      <c r="CE104" s="1221" t="s">
        <v>0</v>
      </c>
      <c r="CF104" s="1221"/>
      <c r="CG104" s="1221"/>
      <c r="CH104" s="1221"/>
      <c r="CI104" s="1221"/>
      <c r="CJ104" s="1221"/>
      <c r="CK104" s="1221"/>
      <c r="CL104" s="1221"/>
      <c r="CM104" s="1221"/>
      <c r="CN104" s="1401" t="s">
        <v>506</v>
      </c>
      <c r="CO104" s="1401"/>
      <c r="CP104" s="1401"/>
      <c r="CQ104" s="1401"/>
      <c r="CR104" s="1401"/>
      <c r="CS104" s="1401"/>
      <c r="CT104" s="1401"/>
      <c r="CU104" s="681" t="s">
        <v>464</v>
      </c>
      <c r="CV104" s="683" t="s">
        <v>512</v>
      </c>
      <c r="CW104" s="684">
        <f>+IF(AND(BU7=1,CB9="c",devizanem="EUR",kamatfelartip="fix"),1,0)</f>
        <v>0</v>
      </c>
      <c r="EJ104" s="546"/>
      <c r="EK104" s="546"/>
      <c r="EL104" s="546"/>
      <c r="EM104" s="546"/>
      <c r="EN104" s="546"/>
      <c r="EO104" s="546"/>
      <c r="EP104" s="546"/>
      <c r="EQ104" s="546"/>
      <c r="ER104" s="546"/>
      <c r="ES104" s="546"/>
      <c r="ET104" s="546"/>
      <c r="EU104" s="546"/>
      <c r="EV104" s="546"/>
      <c r="EW104" s="546"/>
      <c r="EX104" s="546"/>
      <c r="EY104" s="546"/>
      <c r="EZ104" s="546"/>
      <c r="FA104" s="546"/>
      <c r="FB104" s="546"/>
      <c r="FC104" s="546"/>
      <c r="FD104" s="546"/>
      <c r="FE104" s="546"/>
      <c r="FF104" s="546"/>
      <c r="FG104" s="546"/>
      <c r="FH104" s="546"/>
      <c r="FI104" s="546"/>
      <c r="FJ104" s="546"/>
      <c r="FK104" s="546"/>
      <c r="FL104" s="546"/>
      <c r="FM104" s="546"/>
      <c r="FN104" s="546"/>
      <c r="FO104" s="546"/>
      <c r="FP104" s="546"/>
      <c r="FQ104" s="546"/>
      <c r="FR104" s="546"/>
      <c r="FS104" s="546"/>
      <c r="FT104" s="546"/>
      <c r="FU104" s="546"/>
      <c r="FV104" s="546"/>
      <c r="FW104" s="546"/>
      <c r="FX104" s="546"/>
      <c r="FY104" s="546"/>
      <c r="FZ104" s="546"/>
      <c r="GA104" s="546"/>
      <c r="GB104" s="546"/>
      <c r="GC104" s="546"/>
      <c r="GD104" s="546"/>
      <c r="GE104" s="546"/>
      <c r="GF104" s="546"/>
      <c r="GG104" s="546"/>
      <c r="GH104" s="546"/>
      <c r="GI104" s="546"/>
      <c r="GJ104" s="546"/>
      <c r="GK104" s="546"/>
      <c r="GL104" s="546"/>
      <c r="GM104" s="546"/>
      <c r="GN104" s="546"/>
      <c r="GO104" s="546"/>
      <c r="GP104" s="546"/>
      <c r="GQ104" s="546"/>
      <c r="GR104" s="546"/>
      <c r="GS104" s="546"/>
      <c r="GT104" s="546"/>
      <c r="GU104" s="546"/>
      <c r="GV104" s="546"/>
      <c r="GW104" s="546"/>
      <c r="GX104" s="546"/>
      <c r="GY104" s="546"/>
      <c r="GZ104" s="546"/>
      <c r="HA104" s="546"/>
      <c r="HB104" s="546"/>
      <c r="HC104" s="546"/>
      <c r="HD104" s="546"/>
      <c r="HE104" s="546"/>
      <c r="HF104" s="546"/>
      <c r="HG104" s="546"/>
      <c r="HH104" s="546"/>
      <c r="HI104" s="546"/>
      <c r="HJ104" s="546"/>
    </row>
    <row r="105" spans="1:218" s="541" customFormat="1" ht="16" x14ac:dyDescent="0.15">
      <c r="A105" s="588"/>
      <c r="B105" s="619"/>
      <c r="C105" s="588"/>
      <c r="D105" s="588"/>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1224" t="s">
        <v>1038</v>
      </c>
      <c r="AB105" s="1224"/>
      <c r="AC105" s="1224"/>
      <c r="AD105" s="1224"/>
      <c r="AE105" s="1224"/>
      <c r="AF105" s="1224"/>
      <c r="AG105" s="1224"/>
      <c r="AH105" s="1224"/>
      <c r="AI105" s="1224"/>
      <c r="AJ105" s="1224"/>
      <c r="AK105" s="1224"/>
      <c r="AL105" s="1224"/>
      <c r="AM105" s="1224"/>
      <c r="AN105" s="1224"/>
      <c r="AO105" s="1224"/>
      <c r="AP105" s="588"/>
      <c r="AQ105" s="588"/>
      <c r="AR105" s="588"/>
      <c r="AS105" s="588"/>
      <c r="AT105" s="588"/>
      <c r="AU105" s="588"/>
      <c r="AV105" s="588"/>
      <c r="AW105" s="588"/>
      <c r="AX105" s="588"/>
      <c r="AY105" s="588"/>
      <c r="AZ105" s="588"/>
      <c r="BA105" s="588"/>
      <c r="BB105" s="588"/>
      <c r="BC105" s="588"/>
      <c r="BD105" s="588"/>
      <c r="BE105" s="588"/>
      <c r="BF105" s="588"/>
      <c r="BG105" s="621"/>
      <c r="BM105" s="599"/>
      <c r="BN105" s="626"/>
      <c r="BO105" s="686"/>
      <c r="BP105" s="626"/>
      <c r="BQ105" s="626"/>
      <c r="BR105" s="626"/>
      <c r="BS105" s="626"/>
      <c r="BT105" s="626"/>
      <c r="BU105" s="626"/>
      <c r="BV105" s="1238">
        <v>1</v>
      </c>
      <c r="BW105" s="1238"/>
      <c r="BX105" s="1221" t="s">
        <v>509</v>
      </c>
      <c r="BY105" s="1221"/>
      <c r="BZ105" s="1221"/>
      <c r="CA105" s="1221" t="str">
        <f>+HetelTipusa</f>
        <v>kitöltendő legördülő cella</v>
      </c>
      <c r="CB105" s="1221"/>
      <c r="CC105" s="1221"/>
      <c r="CD105" s="1221"/>
      <c r="CE105" s="1221" t="s">
        <v>162</v>
      </c>
      <c r="CF105" s="1221"/>
      <c r="CG105" s="1221"/>
      <c r="CH105" s="1221"/>
      <c r="CI105" s="1221"/>
      <c r="CJ105" s="1221"/>
      <c r="CK105" s="1221"/>
      <c r="CL105" s="1221"/>
      <c r="CM105" s="1221"/>
      <c r="CN105" s="1401" t="s">
        <v>506</v>
      </c>
      <c r="CO105" s="1401"/>
      <c r="CP105" s="1401"/>
      <c r="CQ105" s="1401"/>
      <c r="CR105" s="1401"/>
      <c r="CS105" s="1401"/>
      <c r="CT105" s="1401"/>
      <c r="CU105" s="681" t="s">
        <v>505</v>
      </c>
      <c r="CV105" s="683">
        <v>9.2999999999999992E-3</v>
      </c>
      <c r="CW105" s="684">
        <f>+IF(AND(BU7=1,CB10="d",devizanem="HUF",kamatfelartip="változó"),1,0)</f>
        <v>0</v>
      </c>
      <c r="EJ105" s="546"/>
      <c r="EK105" s="546"/>
      <c r="EL105" s="546"/>
      <c r="EM105" s="546"/>
      <c r="EN105" s="546"/>
      <c r="EO105" s="546"/>
      <c r="EP105" s="546"/>
      <c r="EQ105" s="546"/>
      <c r="ER105" s="546"/>
      <c r="ES105" s="546"/>
      <c r="ET105" s="546"/>
      <c r="EU105" s="546"/>
      <c r="EV105" s="546"/>
      <c r="EW105" s="546"/>
      <c r="EX105" s="546"/>
      <c r="EY105" s="546"/>
      <c r="EZ105" s="546"/>
      <c r="FA105" s="546"/>
      <c r="FB105" s="546"/>
      <c r="FC105" s="546"/>
      <c r="FD105" s="546"/>
      <c r="FE105" s="546"/>
      <c r="FF105" s="546"/>
      <c r="FG105" s="546"/>
      <c r="FH105" s="546"/>
      <c r="FI105" s="546"/>
      <c r="FJ105" s="546"/>
      <c r="FK105" s="546"/>
      <c r="FL105" s="546"/>
      <c r="FM105" s="546"/>
      <c r="FN105" s="546"/>
      <c r="FO105" s="546"/>
      <c r="FP105" s="546"/>
      <c r="FQ105" s="546"/>
      <c r="FR105" s="546"/>
      <c r="FS105" s="546"/>
      <c r="FT105" s="546"/>
      <c r="FU105" s="546"/>
      <c r="FV105" s="546"/>
      <c r="FW105" s="546"/>
      <c r="FX105" s="546"/>
      <c r="FY105" s="546"/>
      <c r="FZ105" s="546"/>
      <c r="GA105" s="546"/>
      <c r="GB105" s="546"/>
      <c r="GC105" s="546"/>
      <c r="GD105" s="546"/>
      <c r="GE105" s="546"/>
      <c r="GF105" s="546"/>
      <c r="GG105" s="546"/>
      <c r="GH105" s="546"/>
      <c r="GI105" s="546"/>
      <c r="GJ105" s="546"/>
      <c r="GK105" s="546"/>
      <c r="GL105" s="546"/>
      <c r="GM105" s="546"/>
      <c r="GN105" s="546"/>
      <c r="GO105" s="546"/>
      <c r="GP105" s="546"/>
      <c r="GQ105" s="546"/>
      <c r="GR105" s="546"/>
      <c r="GS105" s="546"/>
      <c r="GT105" s="546"/>
      <c r="GU105" s="546"/>
      <c r="GV105" s="546"/>
      <c r="GW105" s="546"/>
      <c r="GX105" s="546"/>
      <c r="GY105" s="546"/>
      <c r="GZ105" s="546"/>
      <c r="HA105" s="546"/>
      <c r="HB105" s="546"/>
      <c r="HC105" s="546"/>
      <c r="HD105" s="546"/>
      <c r="HE105" s="546"/>
      <c r="HF105" s="546"/>
      <c r="HG105" s="546"/>
      <c r="HH105" s="546"/>
      <c r="HI105" s="546"/>
      <c r="HJ105" s="546"/>
    </row>
    <row r="106" spans="1:218" s="541" customFormat="1" ht="12.75" customHeight="1" x14ac:dyDescent="0.15">
      <c r="A106" s="588"/>
      <c r="B106" s="619"/>
      <c r="C106" s="588"/>
      <c r="D106" s="1218" t="s">
        <v>381</v>
      </c>
      <c r="E106" s="1218"/>
      <c r="F106" s="1218"/>
      <c r="G106" s="1218"/>
      <c r="H106" s="1218"/>
      <c r="I106" s="1218"/>
      <c r="J106" s="1218"/>
      <c r="K106" s="1218"/>
      <c r="L106" s="1218"/>
      <c r="M106" s="1218"/>
      <c r="N106" s="1218"/>
      <c r="O106" s="1218"/>
      <c r="P106" s="588"/>
      <c r="Q106" s="588"/>
      <c r="R106" s="588"/>
      <c r="S106" s="588"/>
      <c r="T106" s="588"/>
      <c r="U106" s="588"/>
      <c r="V106" s="588"/>
      <c r="W106" s="588"/>
      <c r="X106" s="588"/>
      <c r="Y106" s="588"/>
      <c r="Z106" s="1239"/>
      <c r="AA106" s="1239"/>
      <c r="AB106" s="1239"/>
      <c r="AC106" s="1239"/>
      <c r="AD106" s="1239"/>
      <c r="AE106" s="1239"/>
      <c r="AF106" s="1239"/>
      <c r="AG106" s="1239"/>
      <c r="AH106" s="1239"/>
      <c r="AI106" s="1239"/>
      <c r="AJ106" s="1239"/>
      <c r="AK106" s="1239"/>
      <c r="AL106" s="1239"/>
      <c r="AM106" s="1239"/>
      <c r="AN106" s="1239"/>
      <c r="AO106" s="1239"/>
      <c r="AP106" s="588"/>
      <c r="AQ106" s="588"/>
      <c r="AR106" s="1251" t="s">
        <v>380</v>
      </c>
      <c r="AS106" s="1251"/>
      <c r="AT106" s="1251"/>
      <c r="AU106" s="1251"/>
      <c r="AV106" s="1251"/>
      <c r="AW106" s="1251"/>
      <c r="AX106" s="1251"/>
      <c r="AY106" s="1251"/>
      <c r="AZ106" s="1251"/>
      <c r="BA106" s="1251"/>
      <c r="BB106" s="1251"/>
      <c r="BC106" s="1251"/>
      <c r="BD106" s="1251"/>
      <c r="BE106" s="1251"/>
      <c r="BF106" s="588"/>
      <c r="BG106" s="621"/>
      <c r="BM106" s="599"/>
      <c r="BN106" s="626"/>
      <c r="BO106" s="698"/>
      <c r="BP106" s="626"/>
      <c r="BQ106" s="626"/>
      <c r="BR106" s="626"/>
      <c r="BS106" s="626"/>
      <c r="BT106" s="626"/>
      <c r="BU106" s="626"/>
      <c r="BV106" s="1238">
        <v>1</v>
      </c>
      <c r="BW106" s="1238"/>
      <c r="BX106" s="1221" t="s">
        <v>509</v>
      </c>
      <c r="BY106" s="1221"/>
      <c r="BZ106" s="1221"/>
      <c r="CA106" s="1221" t="str">
        <f>++HetelTipusa</f>
        <v>kitöltendő legördülő cella</v>
      </c>
      <c r="CB106" s="1221"/>
      <c r="CC106" s="1221"/>
      <c r="CD106" s="1221"/>
      <c r="CE106" s="1221" t="s">
        <v>162</v>
      </c>
      <c r="CF106" s="1221"/>
      <c r="CG106" s="1221"/>
      <c r="CH106" s="1221"/>
      <c r="CI106" s="1221"/>
      <c r="CJ106" s="1221"/>
      <c r="CK106" s="1221"/>
      <c r="CL106" s="1221"/>
      <c r="CM106" s="1221"/>
      <c r="CN106" s="1401" t="s">
        <v>506</v>
      </c>
      <c r="CO106" s="1401"/>
      <c r="CP106" s="1401"/>
      <c r="CQ106" s="1401"/>
      <c r="CR106" s="1401"/>
      <c r="CS106" s="1401"/>
      <c r="CT106" s="1401"/>
      <c r="CU106" s="681" t="s">
        <v>464</v>
      </c>
      <c r="CV106" s="683">
        <v>1.6799999999999999E-2</v>
      </c>
      <c r="CW106" s="684">
        <f>+IF(AND(BU7=1,CB10="d",devizanem="HUF",kamatfelartip="fix"),1,0)</f>
        <v>0</v>
      </c>
      <c r="EJ106" s="546"/>
      <c r="EK106" s="546"/>
      <c r="EL106" s="546"/>
      <c r="EM106" s="546"/>
      <c r="EN106" s="546"/>
      <c r="EO106" s="546"/>
      <c r="EP106" s="546"/>
      <c r="EQ106" s="546"/>
      <c r="ER106" s="546"/>
      <c r="ES106" s="546"/>
      <c r="ET106" s="546"/>
      <c r="EU106" s="546"/>
      <c r="EV106" s="546"/>
      <c r="EW106" s="546"/>
      <c r="EX106" s="546"/>
      <c r="EY106" s="546"/>
      <c r="EZ106" s="546"/>
      <c r="FA106" s="546"/>
      <c r="FB106" s="546"/>
      <c r="FC106" s="546"/>
      <c r="FD106" s="546"/>
      <c r="FE106" s="546"/>
      <c r="FF106" s="546"/>
      <c r="FG106" s="546"/>
      <c r="FH106" s="546"/>
      <c r="FI106" s="546"/>
      <c r="FJ106" s="546"/>
      <c r="FK106" s="546"/>
      <c r="FL106" s="546"/>
      <c r="FM106" s="546"/>
      <c r="FN106" s="546"/>
      <c r="FO106" s="546"/>
      <c r="FP106" s="546"/>
      <c r="FQ106" s="546"/>
      <c r="FR106" s="546"/>
      <c r="FS106" s="546"/>
      <c r="FT106" s="546"/>
      <c r="FU106" s="546"/>
      <c r="FV106" s="546"/>
      <c r="FW106" s="546"/>
      <c r="FX106" s="546"/>
      <c r="FY106" s="546"/>
      <c r="FZ106" s="546"/>
      <c r="GA106" s="546"/>
      <c r="GB106" s="546"/>
      <c r="GC106" s="546"/>
      <c r="GD106" s="546"/>
      <c r="GE106" s="546"/>
      <c r="GF106" s="546"/>
      <c r="GG106" s="546"/>
      <c r="GH106" s="546"/>
      <c r="GI106" s="546"/>
      <c r="GJ106" s="546"/>
      <c r="GK106" s="546"/>
      <c r="GL106" s="546"/>
      <c r="GM106" s="546"/>
      <c r="GN106" s="546"/>
      <c r="GO106" s="546"/>
      <c r="GP106" s="546"/>
      <c r="GQ106" s="546"/>
      <c r="GR106" s="546"/>
      <c r="GS106" s="546"/>
      <c r="GT106" s="546"/>
      <c r="GU106" s="546"/>
      <c r="GV106" s="546"/>
      <c r="GW106" s="546"/>
      <c r="GX106" s="546"/>
      <c r="GY106" s="546"/>
      <c r="GZ106" s="546"/>
      <c r="HA106" s="546"/>
      <c r="HB106" s="546"/>
      <c r="HC106" s="546"/>
      <c r="HD106" s="546"/>
      <c r="HE106" s="546"/>
      <c r="HF106" s="546"/>
      <c r="HG106" s="546"/>
      <c r="HH106" s="546"/>
      <c r="HI106" s="546"/>
      <c r="HJ106" s="546"/>
    </row>
    <row r="107" spans="1:218" s="541" customFormat="1" ht="21.75" customHeight="1" x14ac:dyDescent="0.15">
      <c r="A107" s="588"/>
      <c r="B107" s="619"/>
      <c r="C107" s="588"/>
      <c r="D107" s="588" t="str">
        <f>IF(BU10=4,"Az ügyfélcsoport felé nyújtott MFB Zrt. forrású finanszírozás eléri a 300 MM HUF-ot?","A Program keretében az egy ügyfélcsoport részére nyújtott hitel eléri a 200 millió Ft-ot?")</f>
        <v>A Program keretében az egy ügyfélcsoport részére nyújtott hitel eléri a 200 millió Ft-ot?</v>
      </c>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1282" t="s">
        <v>163</v>
      </c>
      <c r="AA107" s="1282"/>
      <c r="AB107" s="1282"/>
      <c r="AC107" s="1282"/>
      <c r="AD107" s="1282"/>
      <c r="AE107" s="1282"/>
      <c r="AF107" s="1282"/>
      <c r="AG107" s="1282"/>
      <c r="AH107" s="1282"/>
      <c r="AI107" s="1282"/>
      <c r="AJ107" s="1282"/>
      <c r="AK107" s="1282"/>
      <c r="AL107" s="1282"/>
      <c r="AM107" s="1282"/>
      <c r="AN107" s="1282"/>
      <c r="AO107" s="1282"/>
      <c r="AP107" s="588"/>
      <c r="AQ107" s="588"/>
      <c r="AR107" s="1283" t="str">
        <f>+IF(Z107="igen","Programhoz tartozó Útmutató Második rész 10. pontja alapján nem finanszírozható!","")</f>
        <v/>
      </c>
      <c r="AS107" s="1283"/>
      <c r="AT107" s="1283"/>
      <c r="AU107" s="1283"/>
      <c r="AV107" s="1283"/>
      <c r="AW107" s="1283"/>
      <c r="AX107" s="1283"/>
      <c r="AY107" s="1283"/>
      <c r="AZ107" s="1283"/>
      <c r="BA107" s="1283"/>
      <c r="BB107" s="1283"/>
      <c r="BC107" s="1283"/>
      <c r="BD107" s="1283"/>
      <c r="BE107" s="1283"/>
      <c r="BF107" s="588"/>
      <c r="BG107" s="621"/>
      <c r="BM107" s="599"/>
      <c r="BN107" s="626"/>
      <c r="BO107" s="626"/>
      <c r="BP107" s="626"/>
      <c r="BQ107" s="626"/>
      <c r="BR107" s="626"/>
      <c r="BS107" s="626"/>
      <c r="BT107" s="626"/>
      <c r="BU107" s="626"/>
      <c r="BV107" s="1238">
        <v>1</v>
      </c>
      <c r="BW107" s="1238"/>
      <c r="BX107" s="1221" t="s">
        <v>509</v>
      </c>
      <c r="BY107" s="1221"/>
      <c r="BZ107" s="1221"/>
      <c r="CA107" s="1221" t="str">
        <f>++HetelTipusa</f>
        <v>kitöltendő legördülő cella</v>
      </c>
      <c r="CB107" s="1221"/>
      <c r="CC107" s="1221"/>
      <c r="CD107" s="1221"/>
      <c r="CE107" s="1221" t="s">
        <v>0</v>
      </c>
      <c r="CF107" s="1221"/>
      <c r="CG107" s="1221"/>
      <c r="CH107" s="1221"/>
      <c r="CI107" s="1221"/>
      <c r="CJ107" s="1221"/>
      <c r="CK107" s="1221"/>
      <c r="CL107" s="1221"/>
      <c r="CM107" s="1221"/>
      <c r="CN107" s="1401" t="s">
        <v>506</v>
      </c>
      <c r="CO107" s="1401"/>
      <c r="CP107" s="1401"/>
      <c r="CQ107" s="1401"/>
      <c r="CR107" s="1401"/>
      <c r="CS107" s="1401"/>
      <c r="CT107" s="1401"/>
      <c r="CU107" s="681" t="s">
        <v>464</v>
      </c>
      <c r="CV107" s="683">
        <v>1.23E-2</v>
      </c>
      <c r="CW107" s="684">
        <f>+IF(AND(BU7=1,CB10="d",devizanem="EUR",kamatfelartip="fix"),1,0)</f>
        <v>0</v>
      </c>
      <c r="EJ107" s="546"/>
      <c r="EK107" s="546"/>
      <c r="EL107" s="546"/>
      <c r="EM107" s="546"/>
      <c r="EN107" s="546"/>
      <c r="EO107" s="546"/>
      <c r="EP107" s="546"/>
      <c r="EQ107" s="546"/>
      <c r="ER107" s="546"/>
      <c r="ES107" s="546"/>
      <c r="ET107" s="546"/>
      <c r="EU107" s="546"/>
      <c r="EV107" s="546"/>
      <c r="EW107" s="546"/>
      <c r="EX107" s="546"/>
      <c r="EY107" s="546"/>
      <c r="EZ107" s="546"/>
      <c r="FA107" s="546"/>
      <c r="FB107" s="546"/>
      <c r="FC107" s="546"/>
      <c r="FD107" s="546"/>
      <c r="FE107" s="546"/>
      <c r="FF107" s="546"/>
      <c r="FG107" s="546"/>
      <c r="FH107" s="546"/>
      <c r="FI107" s="546"/>
      <c r="FJ107" s="546"/>
      <c r="FK107" s="546"/>
      <c r="FL107" s="546"/>
      <c r="FM107" s="546"/>
      <c r="FN107" s="546"/>
      <c r="FO107" s="546"/>
      <c r="FP107" s="546"/>
      <c r="FQ107" s="546"/>
      <c r="FR107" s="546"/>
      <c r="FS107" s="546"/>
      <c r="FT107" s="546"/>
      <c r="FU107" s="546"/>
      <c r="FV107" s="546"/>
      <c r="FW107" s="546"/>
      <c r="FX107" s="546"/>
      <c r="FY107" s="546"/>
      <c r="FZ107" s="546"/>
      <c r="GA107" s="546"/>
      <c r="GB107" s="546"/>
      <c r="GC107" s="546"/>
      <c r="GD107" s="546"/>
      <c r="GE107" s="546"/>
      <c r="GF107" s="546"/>
      <c r="GG107" s="546"/>
      <c r="GH107" s="546"/>
      <c r="GI107" s="546"/>
      <c r="GJ107" s="546"/>
      <c r="GK107" s="546"/>
      <c r="GL107" s="546"/>
      <c r="GM107" s="546"/>
      <c r="GN107" s="546"/>
      <c r="GO107" s="546"/>
      <c r="GP107" s="546"/>
      <c r="GQ107" s="546"/>
      <c r="GR107" s="546"/>
      <c r="GS107" s="546"/>
      <c r="GT107" s="546"/>
      <c r="GU107" s="546"/>
      <c r="GV107" s="546"/>
      <c r="GW107" s="546"/>
      <c r="GX107" s="546"/>
      <c r="GY107" s="546"/>
      <c r="GZ107" s="546"/>
      <c r="HA107" s="546"/>
      <c r="HB107" s="546"/>
      <c r="HC107" s="546"/>
      <c r="HD107" s="546"/>
      <c r="HE107" s="546"/>
      <c r="HF107" s="546"/>
      <c r="HG107" s="546"/>
      <c r="HH107" s="546"/>
      <c r="HI107" s="546"/>
      <c r="HJ107" s="546"/>
    </row>
    <row r="108" spans="1:218" s="541" customFormat="1" ht="31.5" customHeight="1" x14ac:dyDescent="0.15">
      <c r="A108" s="588"/>
      <c r="B108" s="696"/>
      <c r="C108" s="697"/>
      <c r="D108" s="1217" t="s">
        <v>382</v>
      </c>
      <c r="E108" s="1217"/>
      <c r="F108" s="1217"/>
      <c r="G108" s="1217"/>
      <c r="H108" s="1217"/>
      <c r="I108" s="1217"/>
      <c r="J108" s="1217"/>
      <c r="K108" s="1217"/>
      <c r="L108" s="1217"/>
      <c r="M108" s="1217"/>
      <c r="N108" s="1217"/>
      <c r="O108" s="1217"/>
      <c r="P108" s="588"/>
      <c r="Q108" s="588"/>
      <c r="R108" s="588"/>
      <c r="S108" s="588"/>
      <c r="T108" s="588"/>
      <c r="U108" s="588"/>
      <c r="V108" s="588"/>
      <c r="W108" s="588"/>
      <c r="X108" s="588"/>
      <c r="Y108" s="588"/>
      <c r="Z108" s="1282" t="s">
        <v>380</v>
      </c>
      <c r="AA108" s="1282"/>
      <c r="AB108" s="1282"/>
      <c r="AC108" s="1282"/>
      <c r="AD108" s="1282"/>
      <c r="AE108" s="1282"/>
      <c r="AF108" s="1282"/>
      <c r="AG108" s="1282"/>
      <c r="AH108" s="1282"/>
      <c r="AI108" s="1282"/>
      <c r="AJ108" s="1282"/>
      <c r="AK108" s="1282"/>
      <c r="AL108" s="1282"/>
      <c r="AM108" s="1282"/>
      <c r="AN108" s="1282"/>
      <c r="AO108" s="1282"/>
      <c r="AP108" s="588"/>
      <c r="AQ108" s="588"/>
      <c r="AR108" s="1274" t="str">
        <f>+IF(Z108="egyedi VVG nélkül","Ki kell tölteni az Eredményterv fület","")</f>
        <v/>
      </c>
      <c r="AS108" s="1274"/>
      <c r="AT108" s="1274"/>
      <c r="AU108" s="1274"/>
      <c r="AV108" s="1274"/>
      <c r="AW108" s="1274"/>
      <c r="AX108" s="1274"/>
      <c r="AY108" s="1274"/>
      <c r="AZ108" s="1274"/>
      <c r="BA108" s="1274"/>
      <c r="BB108" s="1274"/>
      <c r="BC108" s="1274"/>
      <c r="BD108" s="1274"/>
      <c r="BE108" s="1274"/>
      <c r="BF108" s="1274"/>
      <c r="BG108" s="621"/>
      <c r="BM108" s="599"/>
      <c r="BN108" s="626"/>
      <c r="BO108" s="626"/>
      <c r="BP108" s="626"/>
      <c r="BQ108" s="626"/>
      <c r="BR108" s="626"/>
      <c r="BS108" s="626"/>
      <c r="BT108" s="626"/>
      <c r="BU108" s="626"/>
      <c r="BV108" s="1238">
        <v>1</v>
      </c>
      <c r="BW108" s="1238"/>
      <c r="BX108" s="1221" t="s">
        <v>510</v>
      </c>
      <c r="BY108" s="1221"/>
      <c r="BZ108" s="1221"/>
      <c r="CA108" s="1221" t="str">
        <f>+HetelTipusa</f>
        <v>kitöltendő legördülő cella</v>
      </c>
      <c r="CB108" s="1221"/>
      <c r="CC108" s="1221"/>
      <c r="CD108" s="1221"/>
      <c r="CE108" s="1221" t="s">
        <v>162</v>
      </c>
      <c r="CF108" s="1221"/>
      <c r="CG108" s="1221"/>
      <c r="CH108" s="1221"/>
      <c r="CI108" s="1221"/>
      <c r="CJ108" s="1221"/>
      <c r="CK108" s="1221"/>
      <c r="CL108" s="1221"/>
      <c r="CM108" s="1221"/>
      <c r="CN108" s="1401" t="s">
        <v>506</v>
      </c>
      <c r="CO108" s="1401"/>
      <c r="CP108" s="1401"/>
      <c r="CQ108" s="1401"/>
      <c r="CR108" s="1401"/>
      <c r="CS108" s="1401"/>
      <c r="CT108" s="1401"/>
      <c r="CU108" s="681" t="s">
        <v>505</v>
      </c>
      <c r="CV108" s="683" t="str">
        <f>+IF(CA108="beruházási hitel",0.93%,IF(CA108="önálló forgóeszközhitel",1.43%,IF(CA108="készletfinanszírozó hitel",1.43%,"")))</f>
        <v/>
      </c>
      <c r="CW108" s="684">
        <f>+IF(AND(BU7=1,CB11="e",HetelTipusa="beruházási hitel"),1,0)</f>
        <v>0</v>
      </c>
      <c r="EJ108" s="546"/>
      <c r="EK108" s="546"/>
      <c r="EL108" s="546"/>
      <c r="EM108" s="546"/>
      <c r="EN108" s="546"/>
      <c r="EO108" s="546"/>
      <c r="EP108" s="546"/>
      <c r="EQ108" s="546"/>
      <c r="ER108" s="546"/>
      <c r="ES108" s="546"/>
      <c r="ET108" s="546"/>
      <c r="EU108" s="546"/>
      <c r="EV108" s="546"/>
      <c r="EW108" s="546"/>
      <c r="EX108" s="546"/>
      <c r="EY108" s="546"/>
      <c r="EZ108" s="546"/>
      <c r="FA108" s="546"/>
      <c r="FB108" s="546"/>
      <c r="FC108" s="546"/>
      <c r="FD108" s="546"/>
      <c r="FE108" s="546"/>
      <c r="FF108" s="546"/>
      <c r="FG108" s="546"/>
      <c r="FH108" s="546"/>
      <c r="FI108" s="546"/>
      <c r="FJ108" s="546"/>
      <c r="FK108" s="546"/>
      <c r="FL108" s="546"/>
      <c r="FM108" s="546"/>
      <c r="FN108" s="546"/>
      <c r="FO108" s="546"/>
      <c r="FP108" s="546"/>
      <c r="FQ108" s="546"/>
      <c r="FR108" s="546"/>
      <c r="FS108" s="546"/>
      <c r="FT108" s="546"/>
      <c r="FU108" s="546"/>
      <c r="FV108" s="546"/>
      <c r="FW108" s="546"/>
      <c r="FX108" s="546"/>
      <c r="FY108" s="546"/>
      <c r="FZ108" s="546"/>
      <c r="GA108" s="546"/>
      <c r="GB108" s="546"/>
      <c r="GC108" s="546"/>
      <c r="GD108" s="546"/>
      <c r="GE108" s="546"/>
      <c r="GF108" s="546"/>
      <c r="GG108" s="546"/>
      <c r="GH108" s="546"/>
      <c r="GI108" s="546"/>
      <c r="GJ108" s="546"/>
      <c r="GK108" s="546"/>
      <c r="GL108" s="546"/>
      <c r="GM108" s="546"/>
      <c r="GN108" s="546"/>
      <c r="GO108" s="546"/>
      <c r="GP108" s="546"/>
      <c r="GQ108" s="546"/>
      <c r="GR108" s="546"/>
      <c r="GS108" s="546"/>
      <c r="GT108" s="546"/>
      <c r="GU108" s="546"/>
      <c r="GV108" s="546"/>
      <c r="GW108" s="546"/>
      <c r="GX108" s="546"/>
      <c r="GY108" s="546"/>
      <c r="GZ108" s="546"/>
      <c r="HA108" s="546"/>
      <c r="HB108" s="546"/>
      <c r="HC108" s="546"/>
      <c r="HD108" s="546"/>
      <c r="HE108" s="546"/>
      <c r="HF108" s="546"/>
      <c r="HG108" s="546"/>
      <c r="HH108" s="546"/>
      <c r="HI108" s="546"/>
      <c r="HJ108" s="546"/>
    </row>
    <row r="109" spans="1:218" s="541" customFormat="1" ht="12.75" customHeight="1" x14ac:dyDescent="0.15">
      <c r="A109" s="588"/>
      <c r="B109" s="619"/>
      <c r="C109" s="588"/>
      <c r="D109" s="588"/>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1224" t="s">
        <v>1039</v>
      </c>
      <c r="AA109" s="1224"/>
      <c r="AB109" s="1224"/>
      <c r="AC109" s="1224"/>
      <c r="AD109" s="1224"/>
      <c r="AE109" s="1224"/>
      <c r="AF109" s="1224"/>
      <c r="AG109" s="1224"/>
      <c r="AH109" s="1224"/>
      <c r="AI109" s="1224"/>
      <c r="AJ109" s="1224"/>
      <c r="AK109" s="1224"/>
      <c r="AL109" s="1224"/>
      <c r="AM109" s="1224"/>
      <c r="AN109" s="1224"/>
      <c r="AO109" s="1224"/>
      <c r="AP109" s="588"/>
      <c r="AQ109" s="588"/>
      <c r="BF109" s="588"/>
      <c r="BG109" s="621"/>
      <c r="BM109" s="599"/>
      <c r="BN109" s="566"/>
      <c r="BO109" s="566"/>
      <c r="BP109" s="566"/>
      <c r="BQ109" s="566"/>
      <c r="BR109" s="566"/>
      <c r="BS109" s="566"/>
      <c r="BT109" s="566"/>
      <c r="BU109" s="566"/>
      <c r="BV109" s="1238">
        <v>1</v>
      </c>
      <c r="BW109" s="1238"/>
      <c r="BX109" s="1221" t="s">
        <v>510</v>
      </c>
      <c r="BY109" s="1221"/>
      <c r="BZ109" s="1221"/>
      <c r="CA109" s="1221" t="str">
        <f>++HetelTipusa</f>
        <v>kitöltendő legördülő cella</v>
      </c>
      <c r="CB109" s="1221"/>
      <c r="CC109" s="1221"/>
      <c r="CD109" s="1221"/>
      <c r="CE109" s="1221" t="s">
        <v>162</v>
      </c>
      <c r="CF109" s="1221"/>
      <c r="CG109" s="1221"/>
      <c r="CH109" s="1221"/>
      <c r="CI109" s="1221"/>
      <c r="CJ109" s="1221"/>
      <c r="CK109" s="1221"/>
      <c r="CL109" s="1221"/>
      <c r="CM109" s="1221"/>
      <c r="CN109" s="1401" t="s">
        <v>506</v>
      </c>
      <c r="CO109" s="1401"/>
      <c r="CP109" s="1401"/>
      <c r="CQ109" s="1401"/>
      <c r="CR109" s="1401"/>
      <c r="CS109" s="1401"/>
      <c r="CT109" s="1401"/>
      <c r="CU109" s="681" t="s">
        <v>464</v>
      </c>
      <c r="CV109" s="683" t="str">
        <f>+IF(CA109="beruházási hitel",1.68%,IF(CA109="önálló forgóeszközhitel",1.65%,IF(CA109="készletfinanszírozó hitel",1.65%,"")))</f>
        <v/>
      </c>
      <c r="CW109" s="684">
        <f>+IF(AND(BU7=1,CB11="e",HetelTipusa="önálló forgóeszközhitel"),1,0)</f>
        <v>0</v>
      </c>
      <c r="EJ109" s="546"/>
      <c r="EK109" s="546"/>
      <c r="EL109" s="546"/>
      <c r="EM109" s="546"/>
      <c r="EN109" s="546"/>
      <c r="EO109" s="546"/>
      <c r="EP109" s="546"/>
      <c r="EQ109" s="546"/>
      <c r="ER109" s="546"/>
      <c r="ES109" s="546"/>
      <c r="ET109" s="546"/>
      <c r="EU109" s="546"/>
      <c r="EV109" s="546"/>
      <c r="EW109" s="546"/>
      <c r="EX109" s="546"/>
      <c r="EY109" s="546"/>
      <c r="EZ109" s="546"/>
      <c r="FA109" s="546"/>
      <c r="FB109" s="546"/>
      <c r="FC109" s="546"/>
      <c r="FD109" s="546"/>
      <c r="FE109" s="546"/>
      <c r="FF109" s="546"/>
      <c r="FG109" s="546"/>
      <c r="FH109" s="546"/>
      <c r="FI109" s="546"/>
      <c r="FJ109" s="546"/>
      <c r="FK109" s="546"/>
      <c r="FL109" s="546"/>
      <c r="FM109" s="546"/>
      <c r="FN109" s="546"/>
      <c r="FO109" s="546"/>
      <c r="FP109" s="546"/>
      <c r="FQ109" s="546"/>
      <c r="FR109" s="546"/>
      <c r="FS109" s="546"/>
      <c r="FT109" s="546"/>
      <c r="FU109" s="546"/>
      <c r="FV109" s="546"/>
      <c r="FW109" s="546"/>
      <c r="FX109" s="546"/>
      <c r="FY109" s="546"/>
      <c r="FZ109" s="546"/>
      <c r="GA109" s="546"/>
      <c r="GB109" s="546"/>
      <c r="GC109" s="546"/>
      <c r="GD109" s="546"/>
      <c r="GE109" s="546"/>
      <c r="GF109" s="546"/>
      <c r="GG109" s="546"/>
      <c r="GH109" s="546"/>
      <c r="GI109" s="546"/>
      <c r="GJ109" s="546"/>
      <c r="GK109" s="546"/>
      <c r="GL109" s="546"/>
      <c r="GM109" s="546"/>
      <c r="GN109" s="546"/>
      <c r="GO109" s="546"/>
      <c r="GP109" s="546"/>
      <c r="GQ109" s="546"/>
      <c r="GR109" s="546"/>
      <c r="GS109" s="546"/>
      <c r="GT109" s="546"/>
      <c r="GU109" s="546"/>
      <c r="GV109" s="546"/>
      <c r="GW109" s="546"/>
      <c r="GX109" s="546"/>
      <c r="GY109" s="546"/>
      <c r="GZ109" s="546"/>
      <c r="HA109" s="546"/>
      <c r="HB109" s="546"/>
      <c r="HC109" s="546"/>
      <c r="HD109" s="546"/>
      <c r="HE109" s="546"/>
      <c r="HF109" s="546"/>
      <c r="HG109" s="546"/>
      <c r="HH109" s="546"/>
      <c r="HI109" s="546"/>
      <c r="HJ109" s="546"/>
    </row>
    <row r="110" spans="1:218" s="541" customFormat="1" ht="15.75" customHeight="1" x14ac:dyDescent="0.15">
      <c r="A110" s="588"/>
      <c r="B110" s="619"/>
      <c r="D110" s="545" t="s">
        <v>394</v>
      </c>
      <c r="E110" s="588"/>
      <c r="F110" s="545"/>
      <c r="G110" s="545"/>
      <c r="H110" s="545"/>
      <c r="I110" s="545"/>
      <c r="J110" s="545"/>
      <c r="K110" s="545"/>
      <c r="L110" s="545"/>
      <c r="M110" s="545"/>
      <c r="N110" s="545"/>
      <c r="O110" s="545"/>
      <c r="P110" s="545"/>
      <c r="Q110" s="545"/>
      <c r="R110" s="545"/>
      <c r="S110" s="545"/>
      <c r="T110" s="545"/>
      <c r="U110" s="545"/>
      <c r="V110" s="545"/>
      <c r="W110" s="545"/>
      <c r="X110" s="545"/>
      <c r="Y110" s="545"/>
      <c r="Z110" s="1212"/>
      <c r="AA110" s="1212"/>
      <c r="AB110" s="1212"/>
      <c r="AC110" s="1212"/>
      <c r="AD110" s="1212"/>
      <c r="AE110" s="1212"/>
      <c r="AF110" s="1212"/>
      <c r="AG110" s="1212"/>
      <c r="AH110" s="1212"/>
      <c r="AI110" s="1212"/>
      <c r="AJ110" s="1212"/>
      <c r="AK110" s="1212"/>
      <c r="AL110" s="1212"/>
      <c r="AM110" s="1212"/>
      <c r="AN110" s="1212"/>
      <c r="AO110" s="1212"/>
      <c r="AP110" s="588"/>
      <c r="AQ110" s="588"/>
      <c r="AR110" s="1208" t="str">
        <f>+IF(AND(OR(BU8=2,BU9=3),CI162=0),"Nem kell kitölteni az Eredményterv fület","")</f>
        <v/>
      </c>
      <c r="AS110" s="1208"/>
      <c r="AT110" s="1208"/>
      <c r="AU110" s="1208"/>
      <c r="AV110" s="1208"/>
      <c r="AW110" s="1208"/>
      <c r="AX110" s="1208"/>
      <c r="AY110" s="1208"/>
      <c r="AZ110" s="1208"/>
      <c r="BA110" s="1208"/>
      <c r="BB110" s="1208"/>
      <c r="BC110" s="1208"/>
      <c r="BD110" s="1208"/>
      <c r="BE110" s="1208"/>
      <c r="BF110" s="1208"/>
      <c r="BG110" s="621"/>
      <c r="BM110" s="599"/>
      <c r="BN110" s="566"/>
      <c r="BO110" s="566"/>
      <c r="BP110" s="566"/>
      <c r="BQ110" s="566"/>
      <c r="BR110" s="566"/>
      <c r="BS110" s="566"/>
      <c r="BT110" s="566"/>
      <c r="BU110" s="566"/>
      <c r="BV110" s="1238">
        <v>1</v>
      </c>
      <c r="BW110" s="1238"/>
      <c r="BX110" s="1221" t="s">
        <v>510</v>
      </c>
      <c r="BY110" s="1221"/>
      <c r="BZ110" s="1221"/>
      <c r="CA110" s="1221" t="str">
        <f>++HetelTipusa</f>
        <v>kitöltendő legördülő cella</v>
      </c>
      <c r="CB110" s="1221"/>
      <c r="CC110" s="1221"/>
      <c r="CD110" s="1221"/>
      <c r="CE110" s="1221" t="s">
        <v>0</v>
      </c>
      <c r="CF110" s="1221"/>
      <c r="CG110" s="1221"/>
      <c r="CH110" s="1221"/>
      <c r="CI110" s="1221"/>
      <c r="CJ110" s="1221"/>
      <c r="CK110" s="1221"/>
      <c r="CL110" s="1221"/>
      <c r="CM110" s="1221"/>
      <c r="CN110" s="1401" t="s">
        <v>506</v>
      </c>
      <c r="CO110" s="1401"/>
      <c r="CP110" s="1401"/>
      <c r="CQ110" s="1401"/>
      <c r="CR110" s="1401"/>
      <c r="CS110" s="1401"/>
      <c r="CT110" s="1401"/>
      <c r="CU110" s="681" t="s">
        <v>464</v>
      </c>
      <c r="CV110" s="683" t="str">
        <f>+IF(CA110="beruházási hitel",1.23%,IF(CA110="önálló forgóeszközhitel",1.52%,IF(CA110="készletfinanszírozó hitel",1.52%,"")))</f>
        <v/>
      </c>
      <c r="CW110" s="684">
        <f>+IF(AND(BU7=1,CB11="e",HetelTipusa="készletfinanszírozó hitel"),1,0)</f>
        <v>0</v>
      </c>
      <c r="EJ110" s="546"/>
      <c r="EK110" s="546"/>
      <c r="EL110" s="546"/>
      <c r="EM110" s="546"/>
      <c r="EN110" s="546"/>
      <c r="EO110" s="546"/>
      <c r="EP110" s="546"/>
      <c r="EQ110" s="546"/>
      <c r="ER110" s="546"/>
      <c r="ES110" s="546"/>
      <c r="ET110" s="546"/>
      <c r="EU110" s="546"/>
      <c r="EV110" s="546"/>
      <c r="EW110" s="546"/>
      <c r="EX110" s="546"/>
      <c r="EY110" s="546"/>
      <c r="EZ110" s="546"/>
      <c r="FA110" s="546"/>
      <c r="FB110" s="546"/>
      <c r="FC110" s="546"/>
      <c r="FD110" s="546"/>
      <c r="FE110" s="546"/>
      <c r="FF110" s="546"/>
      <c r="FG110" s="546"/>
      <c r="FH110" s="546"/>
      <c r="FI110" s="546"/>
      <c r="FJ110" s="546"/>
      <c r="FK110" s="546"/>
      <c r="FL110" s="546"/>
      <c r="FM110" s="546"/>
      <c r="FN110" s="546"/>
      <c r="FO110" s="546"/>
      <c r="FP110" s="546"/>
      <c r="FQ110" s="546"/>
      <c r="FR110" s="546"/>
      <c r="FS110" s="546"/>
      <c r="FT110" s="546"/>
      <c r="FU110" s="546"/>
      <c r="FV110" s="546"/>
      <c r="FW110" s="546"/>
      <c r="FX110" s="546"/>
      <c r="FY110" s="546"/>
      <c r="FZ110" s="546"/>
      <c r="GA110" s="546"/>
      <c r="GB110" s="546"/>
      <c r="GC110" s="546"/>
      <c r="GD110" s="546"/>
      <c r="GE110" s="546"/>
      <c r="GF110" s="546"/>
      <c r="GG110" s="546"/>
      <c r="GH110" s="546"/>
      <c r="GI110" s="546"/>
      <c r="GJ110" s="546"/>
      <c r="GK110" s="546"/>
      <c r="GL110" s="546"/>
      <c r="GM110" s="546"/>
      <c r="GN110" s="546"/>
      <c r="GO110" s="546"/>
      <c r="GP110" s="546"/>
      <c r="GQ110" s="546"/>
      <c r="GR110" s="546"/>
      <c r="GS110" s="546"/>
      <c r="GT110" s="546"/>
      <c r="GU110" s="546"/>
      <c r="GV110" s="546"/>
      <c r="GW110" s="546"/>
      <c r="GX110" s="546"/>
      <c r="GY110" s="546"/>
      <c r="GZ110" s="546"/>
      <c r="HA110" s="546"/>
      <c r="HB110" s="546"/>
      <c r="HC110" s="546"/>
      <c r="HD110" s="546"/>
      <c r="HE110" s="546"/>
      <c r="HF110" s="546"/>
      <c r="HG110" s="546"/>
      <c r="HH110" s="546"/>
      <c r="HI110" s="546"/>
      <c r="HJ110" s="546"/>
    </row>
    <row r="111" spans="1:218" s="541" customFormat="1" ht="12.75" customHeight="1" x14ac:dyDescent="0.15">
      <c r="A111" s="588"/>
      <c r="B111" s="619"/>
      <c r="C111" s="588"/>
      <c r="D111" s="545" t="s">
        <v>395</v>
      </c>
      <c r="E111" s="545"/>
      <c r="F111" s="545"/>
      <c r="G111" s="545"/>
      <c r="H111" s="545"/>
      <c r="I111" s="545"/>
      <c r="J111" s="545"/>
      <c r="K111" s="545"/>
      <c r="L111" s="545"/>
      <c r="M111" s="545"/>
      <c r="N111" s="545"/>
      <c r="O111" s="545"/>
      <c r="P111" s="545"/>
      <c r="Q111" s="545"/>
      <c r="R111" s="545"/>
      <c r="S111" s="545"/>
      <c r="T111" s="545"/>
      <c r="U111" s="545"/>
      <c r="V111" s="545"/>
      <c r="W111" s="545"/>
      <c r="X111" s="545"/>
      <c r="Y111" s="545"/>
      <c r="Z111" s="1212"/>
      <c r="AA111" s="1212"/>
      <c r="AB111" s="1212"/>
      <c r="AC111" s="1212"/>
      <c r="AD111" s="1212"/>
      <c r="AE111" s="1212"/>
      <c r="AF111" s="1212"/>
      <c r="AG111" s="1212"/>
      <c r="AH111" s="1212"/>
      <c r="AI111" s="1212"/>
      <c r="AJ111" s="1212"/>
      <c r="AK111" s="1212"/>
      <c r="AL111" s="1212"/>
      <c r="AM111" s="1212"/>
      <c r="AN111" s="1212"/>
      <c r="AO111" s="1212"/>
      <c r="AP111" s="588"/>
      <c r="AQ111" s="588"/>
      <c r="AR111" s="1209" t="str">
        <f>+IF(OR(Z110&gt;=100000000,Z111&gt;=200000000),"Ki kell tölteni az Eredményterv fület","")</f>
        <v/>
      </c>
      <c r="AS111" s="1209"/>
      <c r="AT111" s="1209"/>
      <c r="AU111" s="1209"/>
      <c r="AV111" s="1209"/>
      <c r="AW111" s="1209"/>
      <c r="AX111" s="1209"/>
      <c r="AY111" s="1209"/>
      <c r="AZ111" s="1209"/>
      <c r="BA111" s="1209"/>
      <c r="BB111" s="1209"/>
      <c r="BC111" s="1209"/>
      <c r="BD111" s="1209"/>
      <c r="BE111" s="1209"/>
      <c r="BF111" s="1209"/>
      <c r="BG111" s="621"/>
      <c r="BM111" s="599"/>
      <c r="BN111" s="566"/>
      <c r="BO111" s="566"/>
      <c r="BP111" s="566"/>
      <c r="BQ111" s="566"/>
      <c r="BR111" s="566"/>
      <c r="BS111" s="566"/>
      <c r="BT111" s="566"/>
      <c r="BU111" s="566"/>
      <c r="BV111" s="1238">
        <v>1</v>
      </c>
      <c r="BW111" s="1238"/>
      <c r="BX111" s="1221" t="s">
        <v>511</v>
      </c>
      <c r="BY111" s="1221"/>
      <c r="BZ111" s="1221"/>
      <c r="CA111" s="1221" t="str">
        <f>+HetelTipusa</f>
        <v>kitöltendő legördülő cella</v>
      </c>
      <c r="CB111" s="1221"/>
      <c r="CC111" s="1221"/>
      <c r="CD111" s="1221"/>
      <c r="CE111" s="1221" t="s">
        <v>162</v>
      </c>
      <c r="CF111" s="1221"/>
      <c r="CG111" s="1221"/>
      <c r="CH111" s="1221"/>
      <c r="CI111" s="1221"/>
      <c r="CJ111" s="1221"/>
      <c r="CK111" s="1221"/>
      <c r="CL111" s="1221"/>
      <c r="CM111" s="1221"/>
      <c r="CN111" s="1401" t="s">
        <v>506</v>
      </c>
      <c r="CO111" s="1401"/>
      <c r="CP111" s="1401"/>
      <c r="CQ111" s="1401"/>
      <c r="CR111" s="1401"/>
      <c r="CS111" s="1401"/>
      <c r="CT111" s="1401"/>
      <c r="CU111" s="681" t="s">
        <v>505</v>
      </c>
      <c r="CV111" s="683">
        <v>9.2999999999999992E-3</v>
      </c>
      <c r="CW111" s="684">
        <f>+IF(AND(BU7=1,CB12="f",devizanem="HUF",kamatfelartip="változó"),1,0)</f>
        <v>0</v>
      </c>
      <c r="EJ111" s="546"/>
      <c r="EK111" s="546"/>
      <c r="EL111" s="546"/>
      <c r="EM111" s="546"/>
      <c r="EN111" s="546"/>
      <c r="EO111" s="546"/>
      <c r="EP111" s="546"/>
      <c r="EQ111" s="546"/>
      <c r="ER111" s="546"/>
      <c r="ES111" s="546"/>
      <c r="ET111" s="546"/>
      <c r="EU111" s="546"/>
      <c r="EV111" s="546"/>
      <c r="EW111" s="546"/>
      <c r="EX111" s="546"/>
      <c r="EY111" s="546"/>
      <c r="EZ111" s="546"/>
      <c r="FA111" s="546"/>
      <c r="FB111" s="546"/>
      <c r="FC111" s="546"/>
      <c r="FD111" s="546"/>
      <c r="FE111" s="546"/>
      <c r="FF111" s="546"/>
      <c r="FG111" s="546"/>
      <c r="FH111" s="546"/>
      <c r="FI111" s="546"/>
      <c r="FJ111" s="546"/>
      <c r="FK111" s="546"/>
      <c r="FL111" s="546"/>
      <c r="FM111" s="546"/>
      <c r="FN111" s="546"/>
      <c r="FO111" s="546"/>
      <c r="FP111" s="546"/>
      <c r="FQ111" s="546"/>
      <c r="FR111" s="546"/>
      <c r="FS111" s="546"/>
      <c r="FT111" s="546"/>
      <c r="FU111" s="546"/>
      <c r="FV111" s="546"/>
      <c r="FW111" s="546"/>
      <c r="FX111" s="546"/>
      <c r="FY111" s="546"/>
      <c r="FZ111" s="546"/>
      <c r="GA111" s="546"/>
      <c r="GB111" s="546"/>
      <c r="GC111" s="546"/>
      <c r="GD111" s="546"/>
      <c r="GE111" s="546"/>
      <c r="GF111" s="546"/>
      <c r="GG111" s="546"/>
      <c r="GH111" s="546"/>
      <c r="GI111" s="546"/>
      <c r="GJ111" s="546"/>
      <c r="GK111" s="546"/>
      <c r="GL111" s="546"/>
      <c r="GM111" s="546"/>
      <c r="GN111" s="546"/>
      <c r="GO111" s="546"/>
      <c r="GP111" s="546"/>
      <c r="GQ111" s="546"/>
      <c r="GR111" s="546"/>
      <c r="GS111" s="546"/>
      <c r="GT111" s="546"/>
      <c r="GU111" s="546"/>
      <c r="GV111" s="546"/>
      <c r="GW111" s="546"/>
      <c r="GX111" s="546"/>
      <c r="GY111" s="546"/>
      <c r="GZ111" s="546"/>
      <c r="HA111" s="546"/>
      <c r="HB111" s="546"/>
      <c r="HC111" s="546"/>
      <c r="HD111" s="546"/>
      <c r="HE111" s="546"/>
      <c r="HF111" s="546"/>
      <c r="HG111" s="546"/>
      <c r="HH111" s="546"/>
      <c r="HI111" s="546"/>
      <c r="HJ111" s="546"/>
    </row>
    <row r="112" spans="1:218" s="541" customFormat="1" ht="12.75" customHeight="1" x14ac:dyDescent="0.2">
      <c r="A112" s="588"/>
      <c r="B112" s="619"/>
      <c r="C112" s="588"/>
      <c r="D112" s="588"/>
      <c r="E112" s="588"/>
      <c r="F112" s="588"/>
      <c r="G112" s="588"/>
      <c r="H112" s="588"/>
      <c r="I112" s="588"/>
      <c r="J112" s="588"/>
      <c r="K112" s="588"/>
      <c r="L112" s="588"/>
      <c r="M112" s="588"/>
      <c r="N112" s="588"/>
      <c r="O112" s="588"/>
      <c r="P112" s="588"/>
      <c r="Q112" s="588"/>
      <c r="R112" s="588"/>
      <c r="S112" s="588"/>
      <c r="T112" s="588"/>
      <c r="U112" s="588"/>
      <c r="V112" s="588"/>
      <c r="W112" s="588"/>
      <c r="X112" s="588"/>
      <c r="Y112" s="588"/>
      <c r="Z112" s="1246" t="str">
        <f>+IF(Z111="","",IF(Z111&lt;RefinKolcsonOsszege,"Kérem adja hozzá a jelenleg igényelt összeget!",""))</f>
        <v/>
      </c>
      <c r="AA112" s="1246"/>
      <c r="AB112" s="1246"/>
      <c r="AC112" s="1246"/>
      <c r="AD112" s="1246"/>
      <c r="AE112" s="1246"/>
      <c r="AF112" s="1246"/>
      <c r="AG112" s="1246"/>
      <c r="AH112" s="1246"/>
      <c r="AI112" s="1246"/>
      <c r="AJ112" s="1246"/>
      <c r="AK112" s="1246"/>
      <c r="AL112" s="1246"/>
      <c r="AM112" s="1246"/>
      <c r="AN112" s="1246"/>
      <c r="AO112" s="1246"/>
      <c r="AP112" s="588"/>
      <c r="AQ112" s="588"/>
      <c r="AR112" s="588"/>
      <c r="AS112" s="588"/>
      <c r="AT112" s="588"/>
      <c r="AU112" s="588"/>
      <c r="AV112" s="588"/>
      <c r="AW112" s="588"/>
      <c r="AX112" s="588"/>
      <c r="AY112" s="588"/>
      <c r="AZ112" s="588"/>
      <c r="BA112" s="1215" t="s">
        <v>867</v>
      </c>
      <c r="BB112" s="1215"/>
      <c r="BC112" s="1215"/>
      <c r="BD112" s="1215"/>
      <c r="BE112" s="1215"/>
      <c r="BF112" s="588"/>
      <c r="BG112" s="621"/>
      <c r="BI112" s="588"/>
      <c r="BJ112" s="588"/>
      <c r="BK112" s="588"/>
      <c r="BL112" s="588"/>
      <c r="BM112" s="589"/>
      <c r="BN112" s="588"/>
      <c r="BO112" s="566"/>
      <c r="BP112" s="566"/>
      <c r="BQ112" s="566"/>
      <c r="BR112" s="566"/>
      <c r="BS112" s="566"/>
      <c r="BT112" s="566"/>
      <c r="BU112" s="566"/>
      <c r="BV112" s="1238">
        <v>1</v>
      </c>
      <c r="BW112" s="1238"/>
      <c r="BX112" s="1221" t="s">
        <v>511</v>
      </c>
      <c r="BY112" s="1221"/>
      <c r="BZ112" s="1221"/>
      <c r="CA112" s="1221" t="str">
        <f t="shared" ref="CA112:CA119" si="2">++HetelTipusa</f>
        <v>kitöltendő legördülő cella</v>
      </c>
      <c r="CB112" s="1221"/>
      <c r="CC112" s="1221"/>
      <c r="CD112" s="1221"/>
      <c r="CE112" s="1221" t="s">
        <v>162</v>
      </c>
      <c r="CF112" s="1221"/>
      <c r="CG112" s="1221"/>
      <c r="CH112" s="1221"/>
      <c r="CI112" s="1221"/>
      <c r="CJ112" s="1221"/>
      <c r="CK112" s="1221"/>
      <c r="CL112" s="1221"/>
      <c r="CM112" s="1221"/>
      <c r="CN112" s="1401" t="s">
        <v>506</v>
      </c>
      <c r="CO112" s="1401"/>
      <c r="CP112" s="1401"/>
      <c r="CQ112" s="1401"/>
      <c r="CR112" s="1401"/>
      <c r="CS112" s="1401"/>
      <c r="CT112" s="1401"/>
      <c r="CU112" s="681" t="s">
        <v>464</v>
      </c>
      <c r="CV112" s="683">
        <v>1.6799999999999999E-2</v>
      </c>
      <c r="CW112" s="684">
        <f>+IF(AND(BU7=1,CB12="f",devizanem="HUF",kamatfelartip="fix"),1,0)</f>
        <v>0</v>
      </c>
      <c r="EJ112" s="546"/>
      <c r="EK112" s="546"/>
      <c r="EL112" s="546"/>
      <c r="EM112" s="546"/>
      <c r="EN112" s="546"/>
      <c r="EO112" s="546"/>
      <c r="EP112" s="546"/>
      <c r="EQ112" s="546"/>
      <c r="ER112" s="546"/>
      <c r="ES112" s="546"/>
      <c r="ET112" s="546"/>
      <c r="EU112" s="546"/>
      <c r="EV112" s="546"/>
      <c r="EW112" s="546"/>
      <c r="EX112" s="546"/>
      <c r="EY112" s="546"/>
      <c r="EZ112" s="546"/>
      <c r="FA112" s="546"/>
      <c r="FB112" s="546"/>
      <c r="FC112" s="546"/>
      <c r="FD112" s="546"/>
      <c r="FE112" s="546"/>
      <c r="FF112" s="546"/>
      <c r="FG112" s="546"/>
      <c r="FH112" s="546"/>
      <c r="FI112" s="546"/>
      <c r="FJ112" s="546"/>
      <c r="FK112" s="546"/>
      <c r="FL112" s="546"/>
      <c r="FM112" s="546"/>
      <c r="FN112" s="546"/>
      <c r="FO112" s="546"/>
      <c r="FP112" s="546"/>
      <c r="FQ112" s="546"/>
      <c r="FR112" s="546"/>
      <c r="FS112" s="546"/>
      <c r="FT112" s="546"/>
      <c r="FU112" s="546"/>
      <c r="FV112" s="546"/>
      <c r="FW112" s="546"/>
      <c r="FX112" s="546"/>
      <c r="FY112" s="546"/>
      <c r="FZ112" s="546"/>
      <c r="GA112" s="546"/>
      <c r="GB112" s="546"/>
      <c r="GC112" s="546"/>
      <c r="GD112" s="546"/>
      <c r="GE112" s="546"/>
      <c r="GF112" s="546"/>
      <c r="GG112" s="546"/>
      <c r="GH112" s="546"/>
      <c r="GI112" s="546"/>
      <c r="GJ112" s="546"/>
      <c r="GK112" s="546"/>
      <c r="GL112" s="546"/>
      <c r="GM112" s="546"/>
      <c r="GN112" s="546"/>
      <c r="GO112" s="546"/>
      <c r="GP112" s="546"/>
      <c r="GQ112" s="546"/>
      <c r="GR112" s="546"/>
      <c r="GS112" s="546"/>
      <c r="GT112" s="546"/>
      <c r="GU112" s="546"/>
      <c r="GV112" s="546"/>
      <c r="GW112" s="546"/>
      <c r="GX112" s="546"/>
      <c r="GY112" s="546"/>
      <c r="GZ112" s="546"/>
      <c r="HA112" s="546"/>
      <c r="HB112" s="546"/>
      <c r="HC112" s="546"/>
      <c r="HD112" s="546"/>
      <c r="HE112" s="546"/>
      <c r="HF112" s="546"/>
      <c r="HG112" s="546"/>
      <c r="HH112" s="546"/>
      <c r="HI112" s="546"/>
      <c r="HJ112" s="546"/>
    </row>
    <row r="113" spans="1:218" s="541" customFormat="1" ht="12.75" customHeight="1" x14ac:dyDescent="0.15">
      <c r="A113" s="588"/>
      <c r="B113" s="619"/>
      <c r="C113" s="588"/>
      <c r="D113" s="588"/>
      <c r="E113" s="588"/>
      <c r="F113" s="588"/>
      <c r="G113" s="588"/>
      <c r="H113" s="588"/>
      <c r="I113" s="588"/>
      <c r="J113" s="588"/>
      <c r="K113" s="588"/>
      <c r="L113" s="588"/>
      <c r="M113" s="588"/>
      <c r="N113" s="588"/>
      <c r="O113" s="588"/>
      <c r="P113" s="588"/>
      <c r="Q113" s="588"/>
      <c r="R113" s="588"/>
      <c r="S113" s="588"/>
      <c r="T113" s="588"/>
      <c r="U113" s="588"/>
      <c r="V113" s="588"/>
      <c r="W113" s="588"/>
      <c r="X113" s="588"/>
      <c r="Y113" s="588"/>
      <c r="Z113" s="588"/>
      <c r="AA113" s="588"/>
      <c r="AB113" s="588"/>
      <c r="AC113" s="588"/>
      <c r="AD113" s="588"/>
      <c r="AE113" s="588"/>
      <c r="AF113" s="588"/>
      <c r="AG113" s="588"/>
      <c r="AH113" s="588"/>
      <c r="AI113" s="588"/>
      <c r="AJ113" s="588"/>
      <c r="AK113" s="588"/>
      <c r="AL113" s="588"/>
      <c r="AM113" s="588"/>
      <c r="AN113" s="588"/>
      <c r="AO113" s="588"/>
      <c r="AP113" s="588"/>
      <c r="AQ113" s="588"/>
      <c r="AR113" s="588"/>
      <c r="AS113" s="588"/>
      <c r="AT113" s="588"/>
      <c r="AU113" s="588"/>
      <c r="AV113" s="588"/>
      <c r="AW113" s="588"/>
      <c r="AX113" s="588"/>
      <c r="AY113" s="588"/>
      <c r="AZ113" s="588"/>
      <c r="BA113" s="588"/>
      <c r="BB113" s="588"/>
      <c r="BC113" s="588"/>
      <c r="BD113" s="588"/>
      <c r="BE113" s="588"/>
      <c r="BF113" s="588"/>
      <c r="BG113" s="621"/>
      <c r="BM113" s="599"/>
      <c r="BN113" s="566"/>
      <c r="BO113" s="566"/>
      <c r="BP113" s="566"/>
      <c r="BQ113" s="566"/>
      <c r="BR113" s="566"/>
      <c r="BS113" s="566"/>
      <c r="BT113" s="566"/>
      <c r="BU113" s="566"/>
      <c r="BV113" s="1238">
        <v>1</v>
      </c>
      <c r="BW113" s="1238"/>
      <c r="BX113" s="1221" t="s">
        <v>511</v>
      </c>
      <c r="BY113" s="1221"/>
      <c r="BZ113" s="1221"/>
      <c r="CA113" s="1221" t="str">
        <f t="shared" si="2"/>
        <v>kitöltendő legördülő cella</v>
      </c>
      <c r="CB113" s="1221"/>
      <c r="CC113" s="1221"/>
      <c r="CD113" s="1221"/>
      <c r="CE113" s="1221" t="s">
        <v>0</v>
      </c>
      <c r="CF113" s="1221"/>
      <c r="CG113" s="1221"/>
      <c r="CH113" s="1221"/>
      <c r="CI113" s="1221"/>
      <c r="CJ113" s="1221"/>
      <c r="CK113" s="1221"/>
      <c r="CL113" s="1221"/>
      <c r="CM113" s="1221"/>
      <c r="CN113" s="1401" t="s">
        <v>506</v>
      </c>
      <c r="CO113" s="1401"/>
      <c r="CP113" s="1401"/>
      <c r="CQ113" s="1401"/>
      <c r="CR113" s="1401"/>
      <c r="CS113" s="1401"/>
      <c r="CT113" s="1401"/>
      <c r="CU113" s="681" t="s">
        <v>464</v>
      </c>
      <c r="CV113" s="683">
        <v>1.23E-2</v>
      </c>
      <c r="CW113" s="684">
        <f>+IF(AND(BU7=1,CB12="f",devizanem="EUR",kamatfelartip="fix"),1,0)</f>
        <v>0</v>
      </c>
      <c r="EJ113" s="546"/>
      <c r="EK113" s="546"/>
      <c r="EL113" s="546"/>
      <c r="EM113" s="546"/>
      <c r="EN113" s="546"/>
      <c r="EO113" s="546"/>
      <c r="EP113" s="546"/>
      <c r="EQ113" s="546"/>
      <c r="ER113" s="546"/>
      <c r="ES113" s="546"/>
      <c r="ET113" s="546"/>
      <c r="EU113" s="546"/>
      <c r="EV113" s="546"/>
      <c r="EW113" s="546"/>
      <c r="EX113" s="546"/>
      <c r="EY113" s="546"/>
      <c r="EZ113" s="546"/>
      <c r="FA113" s="546"/>
      <c r="FB113" s="546"/>
      <c r="FC113" s="546"/>
      <c r="FD113" s="546"/>
      <c r="FE113" s="546"/>
      <c r="FF113" s="546"/>
      <c r="FG113" s="546"/>
      <c r="FH113" s="546"/>
      <c r="FI113" s="546"/>
      <c r="FJ113" s="546"/>
      <c r="FK113" s="546"/>
      <c r="FL113" s="546"/>
      <c r="FM113" s="546"/>
      <c r="FN113" s="546"/>
      <c r="FO113" s="546"/>
      <c r="FP113" s="546"/>
      <c r="FQ113" s="546"/>
      <c r="FR113" s="546"/>
      <c r="FS113" s="546"/>
      <c r="FT113" s="546"/>
      <c r="FU113" s="546"/>
      <c r="FV113" s="546"/>
      <c r="FW113" s="546"/>
      <c r="FX113" s="546"/>
      <c r="FY113" s="546"/>
      <c r="FZ113" s="546"/>
      <c r="GA113" s="546"/>
      <c r="GB113" s="546"/>
      <c r="GC113" s="546"/>
      <c r="GD113" s="546"/>
      <c r="GE113" s="546"/>
      <c r="GF113" s="546"/>
      <c r="GG113" s="546"/>
      <c r="GH113" s="546"/>
      <c r="GI113" s="546"/>
      <c r="GJ113" s="546"/>
      <c r="GK113" s="546"/>
      <c r="GL113" s="546"/>
      <c r="GM113" s="546"/>
      <c r="GN113" s="546"/>
      <c r="GO113" s="546"/>
      <c r="GP113" s="546"/>
      <c r="GQ113" s="546"/>
      <c r="GR113" s="546"/>
      <c r="GS113" s="546"/>
      <c r="GT113" s="546"/>
      <c r="GU113" s="546"/>
      <c r="GV113" s="546"/>
      <c r="GW113" s="546"/>
      <c r="GX113" s="546"/>
      <c r="GY113" s="546"/>
      <c r="GZ113" s="546"/>
      <c r="HA113" s="546"/>
      <c r="HB113" s="546"/>
      <c r="HC113" s="546"/>
      <c r="HD113" s="546"/>
      <c r="HE113" s="546"/>
      <c r="HF113" s="546"/>
      <c r="HG113" s="546"/>
      <c r="HH113" s="546"/>
      <c r="HI113" s="546"/>
      <c r="HJ113" s="546"/>
    </row>
    <row r="114" spans="1:218" s="541" customFormat="1" ht="10.5" customHeight="1" x14ac:dyDescent="0.15">
      <c r="A114" s="588"/>
      <c r="B114" s="699"/>
      <c r="C114" s="700"/>
      <c r="D114" s="700"/>
      <c r="E114" s="700"/>
      <c r="F114" s="700"/>
      <c r="G114" s="700"/>
      <c r="H114" s="700"/>
      <c r="I114" s="700"/>
      <c r="J114" s="700"/>
      <c r="K114" s="700"/>
      <c r="L114" s="700"/>
      <c r="M114" s="700"/>
      <c r="N114" s="700"/>
      <c r="O114" s="700"/>
      <c r="P114" s="700"/>
      <c r="Q114" s="700"/>
      <c r="R114" s="700"/>
      <c r="S114" s="700"/>
      <c r="T114" s="700"/>
      <c r="U114" s="700"/>
      <c r="V114" s="700"/>
      <c r="W114" s="700"/>
      <c r="X114" s="700"/>
      <c r="Y114" s="700"/>
      <c r="Z114" s="700"/>
      <c r="AA114" s="700"/>
      <c r="AB114" s="700"/>
      <c r="AC114" s="700"/>
      <c r="AD114" s="700"/>
      <c r="AE114" s="700"/>
      <c r="AF114" s="700"/>
      <c r="AG114" s="700"/>
      <c r="AH114" s="700"/>
      <c r="AI114" s="700"/>
      <c r="AJ114" s="700"/>
      <c r="AK114" s="700"/>
      <c r="AL114" s="700"/>
      <c r="AM114" s="700"/>
      <c r="AN114" s="700"/>
      <c r="AO114" s="700"/>
      <c r="AP114" s="700"/>
      <c r="AQ114" s="700"/>
      <c r="AR114" s="700"/>
      <c r="AS114" s="700"/>
      <c r="AT114" s="700"/>
      <c r="AU114" s="700"/>
      <c r="AV114" s="700"/>
      <c r="AW114" s="700"/>
      <c r="AX114" s="700"/>
      <c r="AY114" s="700"/>
      <c r="AZ114" s="700"/>
      <c r="BA114" s="700"/>
      <c r="BB114" s="700"/>
      <c r="BC114" s="700"/>
      <c r="BD114" s="700"/>
      <c r="BE114" s="700"/>
      <c r="BF114" s="700"/>
      <c r="BG114" s="701"/>
      <c r="BH114" s="588"/>
      <c r="BM114" s="599"/>
      <c r="BN114" s="566"/>
      <c r="BO114" s="566"/>
      <c r="BP114" s="566"/>
      <c r="BQ114" s="566"/>
      <c r="BR114" s="566"/>
      <c r="BS114" s="566"/>
      <c r="BT114" s="566"/>
      <c r="BU114" s="566"/>
      <c r="BV114" s="1238">
        <v>2</v>
      </c>
      <c r="BW114" s="1238"/>
      <c r="BX114" s="1400"/>
      <c r="BY114" s="1400"/>
      <c r="BZ114" s="1400"/>
      <c r="CA114" s="1221" t="str">
        <f t="shared" si="2"/>
        <v>kitöltendő legördülő cella</v>
      </c>
      <c r="CB114" s="1221"/>
      <c r="CC114" s="1221"/>
      <c r="CD114" s="1221"/>
      <c r="CE114" s="1221" t="s">
        <v>162</v>
      </c>
      <c r="CF114" s="1221"/>
      <c r="CG114" s="1221"/>
      <c r="CH114" s="1221"/>
      <c r="CI114" s="1221"/>
      <c r="CJ114" s="1221"/>
      <c r="CK114" s="1221"/>
      <c r="CL114" s="1221"/>
      <c r="CM114" s="1221"/>
      <c r="CN114" s="1221" t="s">
        <v>504</v>
      </c>
      <c r="CO114" s="1221"/>
      <c r="CP114" s="1221"/>
      <c r="CQ114" s="1221"/>
      <c r="CR114" s="1221"/>
      <c r="CS114" s="1221"/>
      <c r="CT114" s="1221"/>
      <c r="CU114" s="681" t="s">
        <v>464</v>
      </c>
      <c r="CV114" s="683">
        <v>1.0999999999999999E-2</v>
      </c>
      <c r="CW114" s="684">
        <f>+IF(AND(BU8=2,devizanem="HUF",kamatfelartip="fix"),1,0)</f>
        <v>0</v>
      </c>
      <c r="EJ114" s="546"/>
      <c r="EK114" s="546"/>
      <c r="EL114" s="546"/>
      <c r="EM114" s="546"/>
      <c r="EN114" s="546"/>
      <c r="EO114" s="546"/>
      <c r="EP114" s="546"/>
      <c r="EQ114" s="546"/>
      <c r="ER114" s="546"/>
      <c r="ES114" s="546"/>
      <c r="ET114" s="546"/>
      <c r="EU114" s="546"/>
      <c r="EV114" s="546"/>
      <c r="EW114" s="546"/>
      <c r="EX114" s="546"/>
      <c r="EY114" s="546"/>
      <c r="EZ114" s="546"/>
      <c r="FA114" s="546"/>
      <c r="FB114" s="546"/>
      <c r="FC114" s="546"/>
      <c r="FD114" s="546"/>
      <c r="FE114" s="546"/>
      <c r="FF114" s="546"/>
      <c r="FG114" s="546"/>
      <c r="FH114" s="546"/>
      <c r="FI114" s="546"/>
      <c r="FJ114" s="546"/>
      <c r="FK114" s="546"/>
      <c r="FL114" s="546"/>
      <c r="FM114" s="546"/>
      <c r="FN114" s="546"/>
      <c r="FO114" s="546"/>
      <c r="FP114" s="546"/>
      <c r="FQ114" s="546"/>
      <c r="FR114" s="546"/>
      <c r="FS114" s="546"/>
      <c r="FT114" s="546"/>
      <c r="FU114" s="546"/>
      <c r="FV114" s="546"/>
      <c r="FW114" s="546"/>
      <c r="FX114" s="546"/>
      <c r="FY114" s="546"/>
      <c r="FZ114" s="546"/>
      <c r="GA114" s="546"/>
      <c r="GB114" s="546"/>
      <c r="GC114" s="546"/>
      <c r="GD114" s="546"/>
      <c r="GE114" s="546"/>
      <c r="GF114" s="546"/>
      <c r="GG114" s="546"/>
      <c r="GH114" s="546"/>
      <c r="GI114" s="546"/>
      <c r="GJ114" s="546"/>
      <c r="GK114" s="546"/>
      <c r="GL114" s="546"/>
      <c r="GM114" s="546"/>
      <c r="GN114" s="546"/>
      <c r="GO114" s="546"/>
      <c r="GP114" s="546"/>
      <c r="GQ114" s="546"/>
      <c r="GR114" s="546"/>
      <c r="GS114" s="546"/>
      <c r="GT114" s="546"/>
      <c r="GU114" s="546"/>
      <c r="GV114" s="546"/>
      <c r="GW114" s="546"/>
      <c r="GX114" s="546"/>
      <c r="GY114" s="546"/>
      <c r="GZ114" s="546"/>
      <c r="HA114" s="546"/>
      <c r="HB114" s="546"/>
      <c r="HC114" s="546"/>
      <c r="HD114" s="546"/>
      <c r="HE114" s="546"/>
      <c r="HF114" s="546"/>
      <c r="HG114" s="546"/>
      <c r="HH114" s="546"/>
      <c r="HI114" s="546"/>
      <c r="HJ114" s="546"/>
    </row>
    <row r="115" spans="1:218" s="541" customFormat="1" ht="14" x14ac:dyDescent="0.15">
      <c r="A115" s="588"/>
      <c r="B115" s="1275" t="s">
        <v>861</v>
      </c>
      <c r="C115" s="1276"/>
      <c r="D115" s="1276"/>
      <c r="E115" s="1276"/>
      <c r="F115" s="1276"/>
      <c r="G115" s="1276"/>
      <c r="H115" s="1276"/>
      <c r="I115" s="1276"/>
      <c r="J115" s="1276"/>
      <c r="K115" s="1276"/>
      <c r="L115" s="1276"/>
      <c r="M115" s="1276"/>
      <c r="N115" s="1276"/>
      <c r="O115" s="1276"/>
      <c r="P115" s="1276"/>
      <c r="Q115" s="1276"/>
      <c r="R115" s="1276"/>
      <c r="S115" s="1276"/>
      <c r="T115" s="1276"/>
      <c r="U115" s="1276"/>
      <c r="V115" s="1276"/>
      <c r="W115" s="1276"/>
      <c r="X115" s="1276"/>
      <c r="Y115" s="1276"/>
      <c r="Z115" s="1276"/>
      <c r="AA115" s="1276"/>
      <c r="AB115" s="1276"/>
      <c r="AC115" s="1276"/>
      <c r="AD115" s="1276"/>
      <c r="AE115" s="1276"/>
      <c r="AF115" s="1276"/>
      <c r="AG115" s="1276"/>
      <c r="AH115" s="1276"/>
      <c r="AI115" s="1276"/>
      <c r="AJ115" s="1276"/>
      <c r="AK115" s="1276"/>
      <c r="AL115" s="1276"/>
      <c r="AM115" s="1276"/>
      <c r="AN115" s="1276"/>
      <c r="AO115" s="1276"/>
      <c r="AP115" s="1276"/>
      <c r="AQ115" s="1276"/>
      <c r="AR115" s="1276"/>
      <c r="AS115" s="1276"/>
      <c r="AT115" s="1276"/>
      <c r="AU115" s="1276"/>
      <c r="AV115" s="1276"/>
      <c r="AW115" s="1276"/>
      <c r="AX115" s="1276"/>
      <c r="AY115" s="1276"/>
      <c r="AZ115" s="1276"/>
      <c r="BA115" s="1276"/>
      <c r="BB115" s="1276"/>
      <c r="BC115" s="1276"/>
      <c r="BD115" s="1276"/>
      <c r="BE115" s="1276"/>
      <c r="BF115" s="1276"/>
      <c r="BG115" s="1277"/>
      <c r="BM115" s="599"/>
      <c r="BN115" s="566"/>
      <c r="BO115" s="566"/>
      <c r="BP115" s="566"/>
      <c r="BQ115" s="566"/>
      <c r="BR115" s="566"/>
      <c r="BS115" s="566"/>
      <c r="BT115" s="566"/>
      <c r="BU115" s="566"/>
      <c r="BV115" s="1238">
        <v>2</v>
      </c>
      <c r="BW115" s="1238"/>
      <c r="BX115" s="1400"/>
      <c r="BY115" s="1400"/>
      <c r="BZ115" s="1400"/>
      <c r="CA115" s="1221" t="str">
        <f t="shared" si="2"/>
        <v>kitöltendő legördülő cella</v>
      </c>
      <c r="CB115" s="1221"/>
      <c r="CC115" s="1221"/>
      <c r="CD115" s="1221"/>
      <c r="CE115" s="1221" t="s">
        <v>0</v>
      </c>
      <c r="CF115" s="1221"/>
      <c r="CG115" s="1221"/>
      <c r="CH115" s="1221"/>
      <c r="CI115" s="1221"/>
      <c r="CJ115" s="1221"/>
      <c r="CK115" s="1221"/>
      <c r="CL115" s="1221"/>
      <c r="CM115" s="1221"/>
      <c r="CN115" s="1221" t="s">
        <v>506</v>
      </c>
      <c r="CO115" s="1221"/>
      <c r="CP115" s="1221"/>
      <c r="CQ115" s="1221"/>
      <c r="CR115" s="1221"/>
      <c r="CS115" s="1221"/>
      <c r="CT115" s="1221"/>
      <c r="CU115" s="681" t="s">
        <v>464</v>
      </c>
      <c r="CV115" s="683">
        <v>1.0999999999999999E-2</v>
      </c>
      <c r="CW115" s="684">
        <f>+IF(AND(BU8=2,devizanem="EUR",kamatfelartip="fix"),1,0)</f>
        <v>0</v>
      </c>
      <c r="EJ115" s="546"/>
      <c r="EK115" s="546"/>
      <c r="EL115" s="546"/>
      <c r="EM115" s="546"/>
      <c r="EN115" s="546"/>
      <c r="EO115" s="546"/>
      <c r="EP115" s="546"/>
      <c r="EQ115" s="546"/>
      <c r="ER115" s="546"/>
      <c r="ES115" s="546"/>
      <c r="ET115" s="546"/>
      <c r="EU115" s="546"/>
      <c r="EV115" s="546"/>
      <c r="EW115" s="546"/>
      <c r="EX115" s="546"/>
      <c r="EY115" s="546"/>
      <c r="EZ115" s="546"/>
      <c r="FA115" s="546"/>
      <c r="FB115" s="546"/>
      <c r="FC115" s="546"/>
      <c r="FD115" s="546"/>
      <c r="FE115" s="546"/>
      <c r="FF115" s="546"/>
      <c r="FG115" s="546"/>
      <c r="FH115" s="546"/>
      <c r="FI115" s="546"/>
      <c r="FJ115" s="546"/>
      <c r="FK115" s="546"/>
      <c r="FL115" s="546"/>
      <c r="FM115" s="546"/>
      <c r="FN115" s="546"/>
      <c r="FO115" s="546"/>
      <c r="FP115" s="546"/>
      <c r="FQ115" s="546"/>
      <c r="FR115" s="546"/>
      <c r="FS115" s="546"/>
      <c r="FT115" s="546"/>
      <c r="FU115" s="546"/>
      <c r="FV115" s="546"/>
      <c r="FW115" s="546"/>
      <c r="FX115" s="546"/>
      <c r="FY115" s="546"/>
      <c r="FZ115" s="546"/>
      <c r="GA115" s="546"/>
      <c r="GB115" s="546"/>
      <c r="GC115" s="546"/>
      <c r="GD115" s="546"/>
      <c r="GE115" s="546"/>
      <c r="GF115" s="546"/>
      <c r="GG115" s="546"/>
      <c r="GH115" s="546"/>
      <c r="GI115" s="546"/>
      <c r="GJ115" s="546"/>
      <c r="GK115" s="546"/>
      <c r="GL115" s="546"/>
      <c r="GM115" s="546"/>
      <c r="GN115" s="546"/>
      <c r="GO115" s="546"/>
      <c r="GP115" s="546"/>
      <c r="GQ115" s="546"/>
      <c r="GR115" s="546"/>
      <c r="GS115" s="546"/>
      <c r="GT115" s="546"/>
      <c r="GU115" s="546"/>
      <c r="GV115" s="546"/>
      <c r="GW115" s="546"/>
      <c r="GX115" s="546"/>
      <c r="GY115" s="546"/>
      <c r="GZ115" s="546"/>
      <c r="HA115" s="546"/>
      <c r="HB115" s="546"/>
      <c r="HC115" s="546"/>
      <c r="HD115" s="546"/>
      <c r="HE115" s="546"/>
      <c r="HF115" s="546"/>
      <c r="HG115" s="546"/>
      <c r="HH115" s="546"/>
      <c r="HI115" s="546"/>
      <c r="HJ115" s="546"/>
    </row>
    <row r="116" spans="1:218" s="541" customFormat="1" ht="12.75" customHeight="1" x14ac:dyDescent="0.15">
      <c r="A116" s="588"/>
      <c r="B116" s="1254" t="s">
        <v>408</v>
      </c>
      <c r="C116" s="1255"/>
      <c r="D116" s="1255"/>
      <c r="E116" s="1255"/>
      <c r="F116" s="1255"/>
      <c r="G116" s="1255"/>
      <c r="H116" s="1255"/>
      <c r="I116" s="1255"/>
      <c r="J116" s="1255"/>
      <c r="K116" s="1255"/>
      <c r="L116" s="1255"/>
      <c r="M116" s="1255"/>
      <c r="N116" s="1255"/>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5"/>
      <c r="AV116" s="1255"/>
      <c r="AW116" s="1255"/>
      <c r="AX116" s="1255"/>
      <c r="AY116" s="1255"/>
      <c r="AZ116" s="1255"/>
      <c r="BA116" s="1255"/>
      <c r="BB116" s="1255"/>
      <c r="BC116" s="1255"/>
      <c r="BD116" s="1255"/>
      <c r="BE116" s="1255"/>
      <c r="BF116" s="1255"/>
      <c r="BG116" s="1256"/>
      <c r="BM116" s="599"/>
      <c r="BN116" s="566"/>
      <c r="BO116" s="566"/>
      <c r="BP116" s="566"/>
      <c r="BQ116" s="566"/>
      <c r="BR116" s="566"/>
      <c r="BS116" s="566"/>
      <c r="BT116" s="566"/>
      <c r="BU116" s="566"/>
      <c r="BV116" s="1238">
        <v>3</v>
      </c>
      <c r="BW116" s="1238"/>
      <c r="BX116" s="1400"/>
      <c r="BY116" s="1400"/>
      <c r="BZ116" s="1400"/>
      <c r="CA116" s="1221" t="str">
        <f t="shared" si="2"/>
        <v>kitöltendő legördülő cella</v>
      </c>
      <c r="CB116" s="1221"/>
      <c r="CC116" s="1221"/>
      <c r="CD116" s="1221"/>
      <c r="CE116" s="1221" t="s">
        <v>162</v>
      </c>
      <c r="CF116" s="1221"/>
      <c r="CG116" s="1221"/>
      <c r="CH116" s="1221"/>
      <c r="CI116" s="1221"/>
      <c r="CJ116" s="1221"/>
      <c r="CK116" s="1221"/>
      <c r="CL116" s="1221"/>
      <c r="CM116" s="1221"/>
      <c r="CN116" s="1221"/>
      <c r="CO116" s="1221"/>
      <c r="CP116" s="1221"/>
      <c r="CQ116" s="1221"/>
      <c r="CR116" s="1221"/>
      <c r="CS116" s="1221"/>
      <c r="CT116" s="1221"/>
      <c r="CU116" s="681" t="s">
        <v>464</v>
      </c>
      <c r="CV116" s="683">
        <v>5.0000000000000001E-3</v>
      </c>
      <c r="CW116" s="684">
        <f>+IF(AND(BU9=3,devizanem="HUF",kamatfelartip="fix"),1,0)</f>
        <v>0</v>
      </c>
      <c r="EJ116" s="546"/>
      <c r="EK116" s="546"/>
      <c r="EL116" s="546"/>
      <c r="EM116" s="546"/>
      <c r="EN116" s="546"/>
      <c r="EO116" s="546"/>
      <c r="EP116" s="546"/>
      <c r="EQ116" s="546"/>
      <c r="ER116" s="546"/>
      <c r="ES116" s="546"/>
      <c r="ET116" s="546"/>
      <c r="EU116" s="546"/>
      <c r="EV116" s="546"/>
      <c r="EW116" s="546"/>
      <c r="EX116" s="546"/>
      <c r="EY116" s="546"/>
      <c r="EZ116" s="546"/>
      <c r="FA116" s="546"/>
      <c r="FB116" s="546"/>
      <c r="FC116" s="546"/>
      <c r="FD116" s="546"/>
      <c r="FE116" s="546"/>
      <c r="FF116" s="546"/>
      <c r="FG116" s="546"/>
      <c r="FH116" s="546"/>
      <c r="FI116" s="546"/>
      <c r="FJ116" s="546"/>
      <c r="FK116" s="546"/>
      <c r="FL116" s="546"/>
      <c r="FM116" s="546"/>
      <c r="FN116" s="546"/>
      <c r="FO116" s="546"/>
      <c r="FP116" s="546"/>
      <c r="FQ116" s="546"/>
      <c r="FR116" s="546"/>
      <c r="FS116" s="546"/>
      <c r="FT116" s="546"/>
      <c r="FU116" s="546"/>
      <c r="FV116" s="546"/>
      <c r="FW116" s="546"/>
      <c r="FX116" s="546"/>
      <c r="FY116" s="546"/>
      <c r="FZ116" s="546"/>
      <c r="GA116" s="546"/>
      <c r="GB116" s="546"/>
      <c r="GC116" s="546"/>
      <c r="GD116" s="546"/>
      <c r="GE116" s="546"/>
      <c r="GF116" s="546"/>
      <c r="GG116" s="546"/>
      <c r="GH116" s="546"/>
      <c r="GI116" s="546"/>
      <c r="GJ116" s="546"/>
      <c r="GK116" s="546"/>
      <c r="GL116" s="546"/>
      <c r="GM116" s="546"/>
      <c r="GN116" s="546"/>
      <c r="GO116" s="546"/>
      <c r="GP116" s="546"/>
      <c r="GQ116" s="546"/>
      <c r="GR116" s="546"/>
      <c r="GS116" s="546"/>
      <c r="GT116" s="546"/>
      <c r="GU116" s="546"/>
      <c r="GV116" s="546"/>
      <c r="GW116" s="546"/>
      <c r="GX116" s="546"/>
      <c r="GY116" s="546"/>
      <c r="GZ116" s="546"/>
      <c r="HA116" s="546"/>
      <c r="HB116" s="546"/>
      <c r="HC116" s="546"/>
      <c r="HD116" s="546"/>
      <c r="HE116" s="546"/>
      <c r="HF116" s="546"/>
      <c r="HG116" s="546"/>
      <c r="HH116" s="546"/>
      <c r="HI116" s="546"/>
      <c r="HJ116" s="546"/>
    </row>
    <row r="117" spans="1:218" s="541" customFormat="1" ht="13.5" customHeight="1" x14ac:dyDescent="0.15">
      <c r="A117" s="588"/>
      <c r="B117" s="1257"/>
      <c r="C117" s="1258"/>
      <c r="D117" s="1258"/>
      <c r="E117" s="1258"/>
      <c r="F117" s="1258"/>
      <c r="G117" s="1258"/>
      <c r="H117" s="1258"/>
      <c r="I117" s="1258"/>
      <c r="J117" s="1258"/>
      <c r="K117" s="1258"/>
      <c r="L117" s="1258"/>
      <c r="M117" s="1258"/>
      <c r="N117" s="1258"/>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9"/>
      <c r="BM117" s="599"/>
      <c r="BN117" s="566"/>
      <c r="BO117" s="566"/>
      <c r="BP117" s="566"/>
      <c r="BQ117" s="566"/>
      <c r="BR117" s="566"/>
      <c r="BS117" s="566"/>
      <c r="BT117" s="566"/>
      <c r="BU117" s="566"/>
      <c r="BV117" s="1238">
        <v>4</v>
      </c>
      <c r="BW117" s="1238"/>
      <c r="BX117" s="1400"/>
      <c r="BY117" s="1400"/>
      <c r="BZ117" s="1400"/>
      <c r="CA117" s="1221" t="str">
        <f t="shared" si="2"/>
        <v>kitöltendő legördülő cella</v>
      </c>
      <c r="CB117" s="1221"/>
      <c r="CC117" s="1221"/>
      <c r="CD117" s="1221"/>
      <c r="CE117" s="1221" t="s">
        <v>162</v>
      </c>
      <c r="CF117" s="1221"/>
      <c r="CG117" s="1221"/>
      <c r="CH117" s="1221"/>
      <c r="CI117" s="1221"/>
      <c r="CJ117" s="1221"/>
      <c r="CK117" s="1221"/>
      <c r="CL117" s="1221"/>
      <c r="CM117" s="1221"/>
      <c r="CN117" s="1221" t="s">
        <v>504</v>
      </c>
      <c r="CO117" s="1221"/>
      <c r="CP117" s="1221"/>
      <c r="CQ117" s="1221"/>
      <c r="CR117" s="1221"/>
      <c r="CS117" s="1221"/>
      <c r="CT117" s="1221"/>
      <c r="CU117" s="681" t="s">
        <v>464</v>
      </c>
      <c r="CV117" s="683">
        <v>2.3199999999999998E-2</v>
      </c>
      <c r="CW117" s="684">
        <f>+IF(AND(BU10=4,devizanem="HUF",kamatfelartip="fix"),1,0)</f>
        <v>0</v>
      </c>
      <c r="EJ117" s="546"/>
      <c r="EK117" s="546"/>
      <c r="EL117" s="546"/>
      <c r="EM117" s="546"/>
      <c r="EN117" s="546"/>
      <c r="EO117" s="546"/>
      <c r="EP117" s="546"/>
      <c r="EQ117" s="546"/>
      <c r="ER117" s="546"/>
      <c r="ES117" s="546"/>
      <c r="ET117" s="546"/>
      <c r="EU117" s="546"/>
      <c r="EV117" s="546"/>
      <c r="EW117" s="546"/>
      <c r="EX117" s="546"/>
      <c r="EY117" s="546"/>
      <c r="EZ117" s="546"/>
      <c r="FA117" s="546"/>
      <c r="FB117" s="546"/>
      <c r="FC117" s="546"/>
      <c r="FD117" s="546"/>
      <c r="FE117" s="546"/>
      <c r="FF117" s="546"/>
      <c r="FG117" s="546"/>
      <c r="FH117" s="546"/>
      <c r="FI117" s="546"/>
      <c r="FJ117" s="546"/>
      <c r="FK117" s="546"/>
      <c r="FL117" s="546"/>
      <c r="FM117" s="546"/>
      <c r="FN117" s="546"/>
      <c r="FO117" s="546"/>
      <c r="FP117" s="546"/>
      <c r="FQ117" s="546"/>
      <c r="FR117" s="546"/>
      <c r="FS117" s="546"/>
      <c r="FT117" s="546"/>
      <c r="FU117" s="546"/>
      <c r="FV117" s="546"/>
      <c r="FW117" s="546"/>
      <c r="FX117" s="546"/>
      <c r="FY117" s="546"/>
      <c r="FZ117" s="546"/>
      <c r="GA117" s="546"/>
      <c r="GB117" s="546"/>
      <c r="GC117" s="546"/>
      <c r="GD117" s="546"/>
      <c r="GE117" s="546"/>
      <c r="GF117" s="546"/>
      <c r="GG117" s="546"/>
      <c r="GH117" s="546"/>
      <c r="GI117" s="546"/>
      <c r="GJ117" s="546"/>
      <c r="GK117" s="546"/>
      <c r="GL117" s="546"/>
      <c r="GM117" s="546"/>
      <c r="GN117" s="546"/>
      <c r="GO117" s="546"/>
      <c r="GP117" s="546"/>
      <c r="GQ117" s="546"/>
      <c r="GR117" s="546"/>
      <c r="GS117" s="546"/>
      <c r="GT117" s="546"/>
      <c r="GU117" s="546"/>
      <c r="GV117" s="546"/>
      <c r="GW117" s="546"/>
      <c r="GX117" s="546"/>
      <c r="GY117" s="546"/>
      <c r="GZ117" s="546"/>
      <c r="HA117" s="546"/>
      <c r="HB117" s="546"/>
      <c r="HC117" s="546"/>
      <c r="HD117" s="546"/>
      <c r="HE117" s="546"/>
      <c r="HF117" s="546"/>
      <c r="HG117" s="546"/>
      <c r="HH117" s="546"/>
      <c r="HI117" s="546"/>
      <c r="HJ117" s="546"/>
    </row>
    <row r="118" spans="1:218" s="541" customFormat="1" ht="12" customHeight="1" x14ac:dyDescent="0.15">
      <c r="A118" s="588"/>
      <c r="B118" s="1260"/>
      <c r="C118" s="1261"/>
      <c r="D118" s="1261"/>
      <c r="E118" s="1261"/>
      <c r="F118" s="1261"/>
      <c r="G118" s="1261"/>
      <c r="H118" s="1261"/>
      <c r="I118" s="1261"/>
      <c r="J118" s="1261"/>
      <c r="K118" s="1261"/>
      <c r="L118" s="1261"/>
      <c r="M118" s="1261"/>
      <c r="N118" s="1261"/>
      <c r="O118" s="1261"/>
      <c r="P118" s="1261"/>
      <c r="Q118" s="1261"/>
      <c r="R118" s="1261"/>
      <c r="S118" s="1261"/>
      <c r="T118" s="1261"/>
      <c r="U118" s="1261"/>
      <c r="V118" s="1261"/>
      <c r="W118" s="1261"/>
      <c r="X118" s="1261"/>
      <c r="Y118" s="1261"/>
      <c r="Z118" s="1261"/>
      <c r="AA118" s="1261"/>
      <c r="AB118" s="1261"/>
      <c r="AC118" s="1261"/>
      <c r="AD118" s="1261"/>
      <c r="AE118" s="1261"/>
      <c r="AF118" s="1261"/>
      <c r="AG118" s="1261"/>
      <c r="AH118" s="1261"/>
      <c r="AI118" s="1261"/>
      <c r="AJ118" s="1261"/>
      <c r="AK118" s="1261"/>
      <c r="AL118" s="1261"/>
      <c r="AM118" s="1261"/>
      <c r="AN118" s="1261"/>
      <c r="AO118" s="1261"/>
      <c r="AP118" s="1261"/>
      <c r="AQ118" s="1261"/>
      <c r="AR118" s="1261"/>
      <c r="AS118" s="1261"/>
      <c r="AT118" s="1261"/>
      <c r="AU118" s="1261"/>
      <c r="AV118" s="1261"/>
      <c r="AW118" s="1261"/>
      <c r="AX118" s="1261"/>
      <c r="AY118" s="1261"/>
      <c r="AZ118" s="1261"/>
      <c r="BA118" s="1261"/>
      <c r="BB118" s="1261"/>
      <c r="BC118" s="1261"/>
      <c r="BD118" s="1261"/>
      <c r="BE118" s="1261"/>
      <c r="BF118" s="1261"/>
      <c r="BG118" s="1262"/>
      <c r="BM118" s="599"/>
      <c r="BN118" s="566"/>
      <c r="BO118" s="566"/>
      <c r="BP118" s="566"/>
      <c r="BQ118" s="566"/>
      <c r="BR118" s="566"/>
      <c r="BS118" s="566"/>
      <c r="BT118" s="566"/>
      <c r="BU118" s="566"/>
      <c r="BV118" s="1238">
        <v>4</v>
      </c>
      <c r="BW118" s="1238"/>
      <c r="BX118" s="1400"/>
      <c r="BY118" s="1400"/>
      <c r="BZ118" s="1400"/>
      <c r="CA118" s="1221" t="str">
        <f t="shared" si="2"/>
        <v>kitöltendő legördülő cella</v>
      </c>
      <c r="CB118" s="1221"/>
      <c r="CC118" s="1221"/>
      <c r="CD118" s="1221"/>
      <c r="CE118" s="1221" t="s">
        <v>162</v>
      </c>
      <c r="CF118" s="1221"/>
      <c r="CG118" s="1221"/>
      <c r="CH118" s="1221"/>
      <c r="CI118" s="1221"/>
      <c r="CJ118" s="1221"/>
      <c r="CK118" s="1221"/>
      <c r="CL118" s="1221"/>
      <c r="CM118" s="1221"/>
      <c r="CN118" s="1221" t="s">
        <v>504</v>
      </c>
      <c r="CO118" s="1221"/>
      <c r="CP118" s="1221"/>
      <c r="CQ118" s="1221"/>
      <c r="CR118" s="1221"/>
      <c r="CS118" s="1221"/>
      <c r="CT118" s="1221"/>
      <c r="CU118" s="681" t="s">
        <v>505</v>
      </c>
      <c r="CV118" s="1124">
        <v>2.12E-2</v>
      </c>
      <c r="CW118" s="684">
        <f>+IF(AND(BU10=4,devizanem="HUF",kamatfelartip="változó"),1,0)</f>
        <v>0</v>
      </c>
      <c r="EJ118" s="546"/>
      <c r="EK118" s="546"/>
      <c r="EL118" s="546"/>
      <c r="EM118" s="546"/>
      <c r="EN118" s="546"/>
      <c r="EO118" s="546"/>
      <c r="EP118" s="546"/>
      <c r="EQ118" s="546"/>
      <c r="ER118" s="546"/>
      <c r="ES118" s="546"/>
      <c r="ET118" s="546"/>
      <c r="EU118" s="546"/>
      <c r="EV118" s="546"/>
      <c r="EW118" s="546"/>
      <c r="EX118" s="546"/>
      <c r="EY118" s="546"/>
      <c r="EZ118" s="546"/>
      <c r="FA118" s="546"/>
      <c r="FB118" s="546"/>
      <c r="FC118" s="546"/>
      <c r="FD118" s="546"/>
      <c r="FE118" s="546"/>
      <c r="FF118" s="546"/>
      <c r="FG118" s="546"/>
      <c r="FH118" s="546"/>
      <c r="FI118" s="546"/>
      <c r="FJ118" s="546"/>
      <c r="FK118" s="546"/>
      <c r="FL118" s="546"/>
      <c r="FM118" s="546"/>
      <c r="FN118" s="546"/>
      <c r="FO118" s="546"/>
      <c r="FP118" s="546"/>
      <c r="FQ118" s="546"/>
      <c r="FR118" s="546"/>
      <c r="FS118" s="546"/>
      <c r="FT118" s="546"/>
      <c r="FU118" s="546"/>
      <c r="FV118" s="546"/>
      <c r="FW118" s="546"/>
      <c r="FX118" s="546"/>
      <c r="FY118" s="546"/>
      <c r="FZ118" s="546"/>
      <c r="GA118" s="546"/>
      <c r="GB118" s="546"/>
      <c r="GC118" s="546"/>
      <c r="GD118" s="546"/>
      <c r="GE118" s="546"/>
      <c r="GF118" s="546"/>
      <c r="GG118" s="546"/>
      <c r="GH118" s="546"/>
      <c r="GI118" s="546"/>
      <c r="GJ118" s="546"/>
      <c r="GK118" s="546"/>
      <c r="GL118" s="546"/>
      <c r="GM118" s="546"/>
      <c r="GN118" s="546"/>
      <c r="GO118" s="546"/>
      <c r="GP118" s="546"/>
      <c r="GQ118" s="546"/>
      <c r="GR118" s="546"/>
      <c r="GS118" s="546"/>
      <c r="GT118" s="546"/>
      <c r="GU118" s="546"/>
      <c r="GV118" s="546"/>
      <c r="GW118" s="546"/>
      <c r="GX118" s="546"/>
      <c r="GY118" s="546"/>
      <c r="GZ118" s="546"/>
      <c r="HA118" s="546"/>
      <c r="HB118" s="546"/>
      <c r="HC118" s="546"/>
      <c r="HD118" s="546"/>
      <c r="HE118" s="546"/>
      <c r="HF118" s="546"/>
      <c r="HG118" s="546"/>
      <c r="HH118" s="546"/>
      <c r="HI118" s="546"/>
      <c r="HJ118" s="546"/>
    </row>
    <row r="119" spans="1:218" s="541" customFormat="1" ht="12" customHeight="1" x14ac:dyDescent="0.15">
      <c r="A119" s="588"/>
      <c r="B119" s="702"/>
      <c r="C119" s="703"/>
      <c r="D119" s="703"/>
      <c r="E119" s="703"/>
      <c r="F119" s="703"/>
      <c r="G119" s="703"/>
      <c r="H119" s="703"/>
      <c r="I119" s="703"/>
      <c r="J119" s="703"/>
      <c r="K119" s="703"/>
      <c r="L119" s="703"/>
      <c r="M119" s="703"/>
      <c r="N119" s="703"/>
      <c r="O119" s="703"/>
      <c r="P119" s="703"/>
      <c r="Q119" s="703"/>
      <c r="R119" s="703"/>
      <c r="S119" s="703"/>
      <c r="T119" s="703"/>
      <c r="U119" s="703"/>
      <c r="V119" s="703"/>
      <c r="W119" s="703"/>
      <c r="X119" s="703"/>
      <c r="Y119" s="703"/>
      <c r="Z119" s="703"/>
      <c r="AA119" s="703"/>
      <c r="AB119" s="703"/>
      <c r="AC119" s="703"/>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703"/>
      <c r="BB119" s="703"/>
      <c r="BC119" s="703"/>
      <c r="BD119" s="703"/>
      <c r="BE119" s="703"/>
      <c r="BF119" s="703"/>
      <c r="BG119" s="704"/>
      <c r="BI119" s="706"/>
      <c r="BJ119" s="706"/>
      <c r="BK119" s="706"/>
      <c r="BL119" s="706"/>
      <c r="BM119" s="707"/>
      <c r="BN119" s="706"/>
      <c r="BO119" s="566"/>
      <c r="BP119" s="566"/>
      <c r="BQ119" s="566"/>
      <c r="BR119" s="566"/>
      <c r="BS119" s="566"/>
      <c r="BT119" s="566"/>
      <c r="BU119" s="566"/>
      <c r="BV119" s="1243">
        <v>4</v>
      </c>
      <c r="BW119" s="1243"/>
      <c r="BX119" s="1252"/>
      <c r="BY119" s="1252"/>
      <c r="BZ119" s="1252"/>
      <c r="CA119" s="1221" t="str">
        <f t="shared" si="2"/>
        <v>kitöltendő legördülő cella</v>
      </c>
      <c r="CB119" s="1221"/>
      <c r="CC119" s="1221"/>
      <c r="CD119" s="1221"/>
      <c r="CE119" s="1221" t="s">
        <v>162</v>
      </c>
      <c r="CF119" s="1221"/>
      <c r="CG119" s="1221"/>
      <c r="CH119" s="1221"/>
      <c r="CI119" s="1221"/>
      <c r="CJ119" s="1221"/>
      <c r="CK119" s="1221"/>
      <c r="CL119" s="1221"/>
      <c r="CM119" s="1221"/>
      <c r="CN119" s="1242" t="s">
        <v>464</v>
      </c>
      <c r="CO119" s="1242"/>
      <c r="CP119" s="1242"/>
      <c r="CQ119" s="1242"/>
      <c r="CR119" s="1242"/>
      <c r="CS119" s="1242"/>
      <c r="CT119" s="1242"/>
      <c r="CU119" s="1108" t="s">
        <v>464</v>
      </c>
      <c r="CV119" s="709">
        <f>IF(futamidohossza&gt;60,3.84%,3.18%)</f>
        <v>3.8399999999999997E-2</v>
      </c>
      <c r="CW119" s="1109">
        <f>+IF(AND(BU10=4,devizanem="HUF",kamatozastipusa="fix"),1,0)</f>
        <v>0</v>
      </c>
      <c r="EJ119" s="546"/>
      <c r="EK119" s="546"/>
      <c r="EL119" s="546"/>
      <c r="EM119" s="546"/>
      <c r="EN119" s="546"/>
      <c r="EO119" s="546"/>
      <c r="EP119" s="546"/>
      <c r="EQ119" s="546"/>
      <c r="ER119" s="546"/>
      <c r="ES119" s="546"/>
      <c r="ET119" s="546"/>
      <c r="EU119" s="546"/>
      <c r="EV119" s="546"/>
      <c r="EW119" s="546"/>
      <c r="EX119" s="546"/>
      <c r="EY119" s="546"/>
      <c r="EZ119" s="546"/>
      <c r="FA119" s="546"/>
      <c r="FB119" s="546"/>
      <c r="FC119" s="546"/>
      <c r="FD119" s="546"/>
      <c r="FE119" s="546"/>
      <c r="FF119" s="546"/>
      <c r="FG119" s="546"/>
      <c r="FH119" s="546"/>
      <c r="FI119" s="546"/>
      <c r="FJ119" s="546"/>
      <c r="FK119" s="546"/>
      <c r="FL119" s="546"/>
      <c r="FM119" s="546"/>
      <c r="FN119" s="546"/>
      <c r="FO119" s="546"/>
      <c r="FP119" s="546"/>
      <c r="FQ119" s="546"/>
      <c r="FR119" s="546"/>
      <c r="FS119" s="546"/>
      <c r="FT119" s="546"/>
      <c r="FU119" s="546"/>
      <c r="FV119" s="546"/>
      <c r="FW119" s="546"/>
      <c r="FX119" s="546"/>
      <c r="FY119" s="546"/>
      <c r="FZ119" s="546"/>
      <c r="GA119" s="546"/>
      <c r="GB119" s="546"/>
      <c r="GC119" s="546"/>
      <c r="GD119" s="546"/>
      <c r="GE119" s="546"/>
      <c r="GF119" s="546"/>
      <c r="GG119" s="546"/>
      <c r="GH119" s="546"/>
      <c r="GI119" s="546"/>
      <c r="GJ119" s="546"/>
      <c r="GK119" s="546"/>
      <c r="GL119" s="546"/>
      <c r="GM119" s="546"/>
      <c r="GN119" s="546"/>
      <c r="GO119" s="546"/>
      <c r="GP119" s="546"/>
      <c r="GQ119" s="546"/>
      <c r="GR119" s="546"/>
      <c r="GS119" s="546"/>
      <c r="GT119" s="546"/>
      <c r="GU119" s="546"/>
      <c r="GV119" s="546"/>
      <c r="GW119" s="546"/>
      <c r="GX119" s="546"/>
      <c r="GY119" s="546"/>
      <c r="GZ119" s="546"/>
      <c r="HA119" s="546"/>
      <c r="HB119" s="546"/>
      <c r="HC119" s="546"/>
      <c r="HD119" s="546"/>
      <c r="HE119" s="546"/>
      <c r="HF119" s="546"/>
      <c r="HG119" s="546"/>
      <c r="HH119" s="546"/>
      <c r="HI119" s="546"/>
      <c r="HJ119" s="546"/>
    </row>
    <row r="120" spans="1:218" s="541" customFormat="1" ht="12" customHeight="1" x14ac:dyDescent="0.15">
      <c r="A120" s="588"/>
      <c r="B120" s="1210"/>
      <c r="C120" s="1207"/>
      <c r="D120" s="1207"/>
      <c r="E120" s="1207"/>
      <c r="F120" s="1207"/>
      <c r="G120" s="1207"/>
      <c r="H120" s="1207"/>
      <c r="I120" s="1207"/>
      <c r="J120" s="1207"/>
      <c r="K120" s="1207"/>
      <c r="L120" s="1207"/>
      <c r="M120" s="1207"/>
      <c r="N120" s="1207"/>
      <c r="O120" s="1207"/>
      <c r="P120" s="1207"/>
      <c r="Q120" s="1207"/>
      <c r="R120" s="1207"/>
      <c r="S120" s="1207"/>
      <c r="T120" s="1207"/>
      <c r="U120" s="1207"/>
      <c r="V120" s="1207"/>
      <c r="W120" s="1207"/>
      <c r="X120" s="1207"/>
      <c r="Y120" s="1207"/>
      <c r="Z120" s="1207"/>
      <c r="AA120" s="1207"/>
      <c r="AB120" s="1207"/>
      <c r="AC120" s="1207"/>
      <c r="AD120" s="1207"/>
      <c r="AE120" s="1207"/>
      <c r="AF120" s="1207"/>
      <c r="AG120" s="1207"/>
      <c r="AH120" s="1207"/>
      <c r="AI120" s="1207"/>
      <c r="AJ120" s="1207"/>
      <c r="AK120" s="1207"/>
      <c r="AL120" s="1207"/>
      <c r="AM120" s="1207"/>
      <c r="AN120" s="1207"/>
      <c r="AO120" s="1207"/>
      <c r="AP120" s="1207"/>
      <c r="AQ120" s="1207"/>
      <c r="AR120" s="1207"/>
      <c r="AS120" s="1207"/>
      <c r="AT120" s="1207"/>
      <c r="AU120" s="1207"/>
      <c r="AV120" s="1207"/>
      <c r="AW120" s="1207"/>
      <c r="AX120" s="1207"/>
      <c r="AY120" s="1207"/>
      <c r="AZ120" s="1207"/>
      <c r="BA120" s="1207"/>
      <c r="BB120" s="1207"/>
      <c r="BC120" s="1207"/>
      <c r="BD120" s="1207"/>
      <c r="BE120" s="1207"/>
      <c r="BF120" s="1207"/>
      <c r="BG120" s="1211"/>
      <c r="BI120" s="546"/>
      <c r="BJ120" s="546"/>
      <c r="BK120" s="546"/>
      <c r="BL120" s="546"/>
      <c r="BM120" s="711"/>
      <c r="BN120" s="546"/>
      <c r="BO120" s="566"/>
      <c r="BP120" s="566"/>
      <c r="BQ120" s="566"/>
      <c r="BR120" s="566"/>
      <c r="BS120" s="566"/>
      <c r="BT120" s="566"/>
      <c r="BU120" s="566"/>
      <c r="BV120" s="1243">
        <v>5</v>
      </c>
      <c r="BW120" s="1243"/>
      <c r="BX120" s="1252"/>
      <c r="BY120" s="1252"/>
      <c r="BZ120" s="1252"/>
      <c r="CA120" s="1242" t="s">
        <v>298</v>
      </c>
      <c r="CB120" s="1242"/>
      <c r="CC120" s="1242"/>
      <c r="CD120" s="1242"/>
      <c r="CE120" s="1242" t="s">
        <v>162</v>
      </c>
      <c r="CF120" s="1242"/>
      <c r="CG120" s="1242"/>
      <c r="CH120" s="1242"/>
      <c r="CI120" s="1242"/>
      <c r="CJ120" s="1242"/>
      <c r="CK120" s="1242"/>
      <c r="CL120" s="1242"/>
      <c r="CM120" s="1242"/>
      <c r="CN120" s="1242" t="s">
        <v>504</v>
      </c>
      <c r="CO120" s="1242"/>
      <c r="CP120" s="1242"/>
      <c r="CQ120" s="1242"/>
      <c r="CR120" s="1242"/>
      <c r="CS120" s="1242"/>
      <c r="CT120" s="1242"/>
      <c r="CU120" s="708" t="s">
        <v>464</v>
      </c>
      <c r="CV120" s="1116">
        <v>2.3199999999999998E-2</v>
      </c>
      <c r="CW120" s="1117">
        <f>IF(AND(BU11=5,devizanem="HUF",kamatfelartip="fix",HetelTipusa="beruházási hitel"),1,0)</f>
        <v>0</v>
      </c>
      <c r="EJ120" s="546"/>
      <c r="EK120" s="546"/>
      <c r="EL120" s="546"/>
      <c r="EM120" s="546"/>
      <c r="EN120" s="546"/>
      <c r="EO120" s="546"/>
      <c r="EP120" s="546"/>
      <c r="EQ120" s="546"/>
      <c r="ER120" s="546"/>
      <c r="ES120" s="546"/>
      <c r="ET120" s="546"/>
      <c r="EU120" s="546"/>
      <c r="EV120" s="546"/>
      <c r="EW120" s="546"/>
      <c r="EX120" s="546"/>
      <c r="EY120" s="546"/>
      <c r="EZ120" s="546"/>
      <c r="FA120" s="546"/>
      <c r="FB120" s="546"/>
      <c r="FC120" s="546"/>
      <c r="FD120" s="546"/>
      <c r="FE120" s="546"/>
      <c r="FF120" s="546"/>
      <c r="FG120" s="546"/>
      <c r="FH120" s="546"/>
      <c r="FI120" s="546"/>
      <c r="FJ120" s="546"/>
      <c r="FK120" s="546"/>
      <c r="FL120" s="546"/>
      <c r="FM120" s="546"/>
      <c r="FN120" s="546"/>
      <c r="FO120" s="546"/>
      <c r="FP120" s="546"/>
      <c r="FQ120" s="546"/>
      <c r="FR120" s="546"/>
      <c r="FS120" s="546"/>
      <c r="FT120" s="546"/>
      <c r="FU120" s="546"/>
      <c r="FV120" s="546"/>
      <c r="FW120" s="546"/>
      <c r="FX120" s="546"/>
      <c r="FY120" s="546"/>
      <c r="FZ120" s="546"/>
      <c r="GA120" s="546"/>
      <c r="GB120" s="546"/>
      <c r="GC120" s="546"/>
      <c r="GD120" s="546"/>
      <c r="GE120" s="546"/>
      <c r="GF120" s="546"/>
      <c r="GG120" s="546"/>
      <c r="GH120" s="546"/>
      <c r="GI120" s="546"/>
      <c r="GJ120" s="546"/>
      <c r="GK120" s="546"/>
      <c r="GL120" s="546"/>
      <c r="GM120" s="546"/>
      <c r="GN120" s="546"/>
      <c r="GO120" s="546"/>
      <c r="GP120" s="546"/>
      <c r="GQ120" s="546"/>
      <c r="GR120" s="546"/>
      <c r="GS120" s="546"/>
      <c r="GT120" s="546"/>
      <c r="GU120" s="546"/>
      <c r="GV120" s="546"/>
      <c r="GW120" s="546"/>
      <c r="GX120" s="546"/>
      <c r="GY120" s="546"/>
      <c r="GZ120" s="546"/>
      <c r="HA120" s="546"/>
      <c r="HB120" s="546"/>
      <c r="HC120" s="546"/>
      <c r="HD120" s="546"/>
      <c r="HE120" s="546"/>
      <c r="HF120" s="546"/>
      <c r="HG120" s="546"/>
      <c r="HH120" s="546"/>
      <c r="HI120" s="546"/>
      <c r="HJ120" s="546"/>
    </row>
    <row r="121" spans="1:218" s="541" customFormat="1" ht="12.75" customHeight="1" x14ac:dyDescent="0.15">
      <c r="A121" s="588"/>
      <c r="B121" s="1210"/>
      <c r="C121" s="705"/>
      <c r="D121" s="1214"/>
      <c r="E121" s="1214"/>
      <c r="F121" s="1214"/>
      <c r="G121" s="1214"/>
      <c r="H121" s="1214"/>
      <c r="I121" s="1214"/>
      <c r="J121" s="1214"/>
      <c r="K121" s="1214"/>
      <c r="L121" s="1214"/>
      <c r="M121" s="1214"/>
      <c r="N121" s="1214"/>
      <c r="O121" s="1214"/>
      <c r="P121" s="1214"/>
      <c r="Q121" s="1214"/>
      <c r="R121" s="1214"/>
      <c r="S121" s="1214"/>
      <c r="T121" s="1214"/>
      <c r="U121" s="1214"/>
      <c r="V121" s="1214"/>
      <c r="W121" s="1214"/>
      <c r="X121" s="1214"/>
      <c r="Y121" s="1214"/>
      <c r="Z121" s="1214"/>
      <c r="AA121" s="1214"/>
      <c r="AB121" s="1214"/>
      <c r="AC121" s="1214"/>
      <c r="AD121" s="1214"/>
      <c r="AE121" s="1214"/>
      <c r="AF121" s="1214"/>
      <c r="AG121" s="1214"/>
      <c r="AH121" s="1214"/>
      <c r="AI121" s="1214"/>
      <c r="AJ121" s="1214"/>
      <c r="AK121" s="1214"/>
      <c r="AL121" s="1214"/>
      <c r="AM121" s="1214"/>
      <c r="AN121" s="1214"/>
      <c r="AO121" s="1214"/>
      <c r="AP121" s="1214"/>
      <c r="AQ121" s="1214"/>
      <c r="AR121" s="1214"/>
      <c r="AS121" s="1214"/>
      <c r="AT121" s="1214"/>
      <c r="AU121" s="1214"/>
      <c r="AV121" s="1214"/>
      <c r="AW121" s="1214"/>
      <c r="AX121" s="1214"/>
      <c r="AY121" s="1214"/>
      <c r="AZ121" s="1214"/>
      <c r="BA121" s="1214"/>
      <c r="BB121" s="1214"/>
      <c r="BC121" s="1214"/>
      <c r="BD121" s="1214"/>
      <c r="BE121" s="1214"/>
      <c r="BF121" s="1214"/>
      <c r="BG121" s="1269"/>
      <c r="BH121" s="706"/>
      <c r="BI121" s="712"/>
      <c r="BJ121" s="712"/>
      <c r="BK121" s="712"/>
      <c r="BL121" s="712"/>
      <c r="BM121" s="713"/>
      <c r="BN121" s="546"/>
      <c r="BO121" s="566"/>
      <c r="BP121" s="566"/>
      <c r="BQ121" s="566"/>
      <c r="BR121" s="566"/>
      <c r="BS121" s="566"/>
      <c r="BT121" s="566"/>
      <c r="BU121" s="566"/>
      <c r="BV121" s="1243">
        <v>5</v>
      </c>
      <c r="BW121" s="1243"/>
      <c r="BX121" s="1252"/>
      <c r="BY121" s="1252"/>
      <c r="BZ121" s="1252"/>
      <c r="CA121" s="1242" t="s">
        <v>298</v>
      </c>
      <c r="CB121" s="1242"/>
      <c r="CC121" s="1242"/>
      <c r="CD121" s="1242"/>
      <c r="CE121" s="1242" t="s">
        <v>0</v>
      </c>
      <c r="CF121" s="1242"/>
      <c r="CG121" s="1242"/>
      <c r="CH121" s="1242"/>
      <c r="CI121" s="1242"/>
      <c r="CJ121" s="1242"/>
      <c r="CK121" s="1242"/>
      <c r="CL121" s="1242"/>
      <c r="CM121" s="1242"/>
      <c r="CN121" s="1242" t="s">
        <v>506</v>
      </c>
      <c r="CO121" s="1242"/>
      <c r="CP121" s="1242"/>
      <c r="CQ121" s="1242"/>
      <c r="CR121" s="1242"/>
      <c r="CS121" s="1242"/>
      <c r="CT121" s="1242"/>
      <c r="CU121" s="1102" t="s">
        <v>464</v>
      </c>
      <c r="CV121" s="1116">
        <v>2.5700000000000001E-2</v>
      </c>
      <c r="CW121" s="1117">
        <f>IF(AND(BU11=5,devizanem="EUR",kamatfelartip="fix",HetelTipusa="beruházási hitel"),1,0)</f>
        <v>0</v>
      </c>
      <c r="EJ121" s="546"/>
      <c r="EK121" s="546"/>
      <c r="EL121" s="546"/>
      <c r="EM121" s="546"/>
      <c r="EN121" s="546"/>
      <c r="EO121" s="546"/>
      <c r="EP121" s="546"/>
      <c r="EQ121" s="546"/>
      <c r="ER121" s="546"/>
      <c r="ES121" s="546"/>
      <c r="ET121" s="546"/>
      <c r="EU121" s="546"/>
      <c r="EV121" s="546"/>
      <c r="EW121" s="546"/>
      <c r="EX121" s="546"/>
      <c r="EY121" s="546"/>
      <c r="EZ121" s="546"/>
      <c r="FA121" s="546"/>
      <c r="FB121" s="546"/>
      <c r="FC121" s="546"/>
      <c r="FD121" s="546"/>
      <c r="FE121" s="546"/>
      <c r="FF121" s="546"/>
      <c r="FG121" s="546"/>
      <c r="FH121" s="546"/>
      <c r="FI121" s="546"/>
      <c r="FJ121" s="546"/>
      <c r="FK121" s="546"/>
      <c r="FL121" s="546"/>
      <c r="FM121" s="546"/>
      <c r="FN121" s="546"/>
      <c r="FO121" s="546"/>
      <c r="FP121" s="546"/>
      <c r="FQ121" s="546"/>
      <c r="FR121" s="546"/>
      <c r="FS121" s="546"/>
      <c r="FT121" s="546"/>
      <c r="FU121" s="546"/>
      <c r="FV121" s="546"/>
      <c r="FW121" s="546"/>
      <c r="FX121" s="546"/>
      <c r="FY121" s="546"/>
      <c r="FZ121" s="546"/>
      <c r="GA121" s="546"/>
      <c r="GB121" s="546"/>
      <c r="GC121" s="546"/>
      <c r="GD121" s="546"/>
      <c r="GE121" s="546"/>
      <c r="GF121" s="546"/>
      <c r="GG121" s="546"/>
      <c r="GH121" s="546"/>
      <c r="GI121" s="546"/>
      <c r="GJ121" s="546"/>
      <c r="GK121" s="546"/>
      <c r="GL121" s="546"/>
      <c r="GM121" s="546"/>
      <c r="GN121" s="546"/>
      <c r="GO121" s="546"/>
      <c r="GP121" s="546"/>
      <c r="GQ121" s="546"/>
      <c r="GR121" s="546"/>
      <c r="GS121" s="546"/>
      <c r="GT121" s="546"/>
      <c r="GU121" s="546"/>
      <c r="GV121" s="546"/>
      <c r="GW121" s="546"/>
      <c r="GX121" s="546"/>
      <c r="GY121" s="546"/>
      <c r="GZ121" s="546"/>
      <c r="HA121" s="546"/>
      <c r="HB121" s="546"/>
      <c r="HC121" s="546"/>
      <c r="HD121" s="546"/>
      <c r="HE121" s="546"/>
      <c r="HF121" s="546"/>
      <c r="HG121" s="546"/>
      <c r="HH121" s="546"/>
      <c r="HI121" s="546"/>
      <c r="HJ121" s="546"/>
    </row>
    <row r="122" spans="1:218" s="541" customFormat="1" ht="12.75" customHeight="1" x14ac:dyDescent="0.15">
      <c r="A122" s="588"/>
      <c r="B122" s="1210"/>
      <c r="C122" s="705"/>
      <c r="D122" s="1206" t="s">
        <v>302</v>
      </c>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63"/>
      <c r="AB122" s="1263"/>
      <c r="AC122" s="1263"/>
      <c r="AD122" s="1263"/>
      <c r="AE122" s="1263"/>
      <c r="AF122" s="1263"/>
      <c r="AG122" s="1263"/>
      <c r="AH122" s="1263"/>
      <c r="AI122" s="1263"/>
      <c r="AJ122" s="1263"/>
      <c r="AK122" s="1263"/>
      <c r="AL122" s="1263"/>
      <c r="AM122" s="1263"/>
      <c r="AN122" s="1206" t="s">
        <v>110</v>
      </c>
      <c r="AO122" s="1206"/>
      <c r="AP122" s="1206"/>
      <c r="AQ122" s="1206"/>
      <c r="AR122" s="1206"/>
      <c r="AS122" s="1206"/>
      <c r="AT122" s="1206"/>
      <c r="AU122" s="1206"/>
      <c r="AV122" s="1206"/>
      <c r="AW122" s="1206"/>
      <c r="AX122" s="1206"/>
      <c r="AY122" s="1206"/>
      <c r="AZ122" s="1206"/>
      <c r="BA122" s="1206"/>
      <c r="BB122" s="1206"/>
      <c r="BC122" s="1206"/>
      <c r="BD122" s="1206"/>
      <c r="BE122" s="1206"/>
      <c r="BF122" s="1206"/>
      <c r="BG122" s="1269"/>
      <c r="BH122" s="546"/>
      <c r="BI122" s="712"/>
      <c r="BJ122" s="712"/>
      <c r="BK122" s="712"/>
      <c r="BL122" s="712"/>
      <c r="BM122" s="713"/>
      <c r="BN122" s="546"/>
      <c r="BO122" s="566"/>
      <c r="BP122" s="566"/>
      <c r="BQ122" s="566"/>
      <c r="BR122" s="566"/>
      <c r="BS122" s="566"/>
      <c r="BT122" s="566"/>
      <c r="BU122" s="566"/>
      <c r="BV122" s="1243">
        <v>5</v>
      </c>
      <c r="BW122" s="1243"/>
      <c r="BX122" s="1252"/>
      <c r="BY122" s="1252"/>
      <c r="BZ122" s="1252"/>
      <c r="CA122" s="1242" t="s">
        <v>1092</v>
      </c>
      <c r="CB122" s="1242"/>
      <c r="CC122" s="1242"/>
      <c r="CD122" s="1242"/>
      <c r="CE122" s="1242" t="s">
        <v>162</v>
      </c>
      <c r="CF122" s="1242"/>
      <c r="CG122" s="1242"/>
      <c r="CH122" s="1242"/>
      <c r="CI122" s="1242"/>
      <c r="CJ122" s="1242"/>
      <c r="CK122" s="1242"/>
      <c r="CL122" s="1242"/>
      <c r="CM122" s="1242"/>
      <c r="CN122" s="1242" t="s">
        <v>504</v>
      </c>
      <c r="CO122" s="1242"/>
      <c r="CP122" s="1242"/>
      <c r="CQ122" s="1242"/>
      <c r="CR122" s="1242"/>
      <c r="CS122" s="1242"/>
      <c r="CT122" s="1242"/>
      <c r="CU122" s="1102" t="s">
        <v>464</v>
      </c>
      <c r="CV122" s="1116">
        <v>2.3199999999999998E-2</v>
      </c>
      <c r="CW122" s="1117">
        <f>IF(AND(BU11=5,devizanem="HUF",kamatfelartip="fix",HetelTipusa="önálló forgóeszközhitel"),1,0)</f>
        <v>0</v>
      </c>
      <c r="EJ122" s="546"/>
      <c r="EK122" s="546"/>
      <c r="EL122" s="546"/>
      <c r="EM122" s="546"/>
      <c r="EN122" s="546"/>
      <c r="EO122" s="546"/>
      <c r="EP122" s="546"/>
      <c r="EQ122" s="546"/>
      <c r="ER122" s="546"/>
      <c r="ES122" s="546"/>
      <c r="ET122" s="546"/>
      <c r="EU122" s="546"/>
      <c r="EV122" s="546"/>
      <c r="EW122" s="546"/>
      <c r="EX122" s="546"/>
      <c r="EY122" s="546"/>
      <c r="EZ122" s="546"/>
      <c r="FA122" s="546"/>
      <c r="FB122" s="546"/>
      <c r="FC122" s="546"/>
      <c r="FD122" s="546"/>
      <c r="FE122" s="546"/>
      <c r="FF122" s="546"/>
      <c r="FG122" s="546"/>
      <c r="FH122" s="546"/>
      <c r="FI122" s="546"/>
      <c r="FJ122" s="546"/>
      <c r="FK122" s="546"/>
      <c r="FL122" s="546"/>
      <c r="FM122" s="546"/>
      <c r="FN122" s="546"/>
      <c r="FO122" s="546"/>
      <c r="FP122" s="546"/>
      <c r="FQ122" s="546"/>
      <c r="FR122" s="546"/>
      <c r="FS122" s="546"/>
      <c r="FT122" s="546"/>
      <c r="FU122" s="546"/>
      <c r="FV122" s="546"/>
      <c r="FW122" s="546"/>
      <c r="FX122" s="546"/>
      <c r="FY122" s="546"/>
      <c r="FZ122" s="546"/>
      <c r="GA122" s="546"/>
      <c r="GB122" s="546"/>
      <c r="GC122" s="546"/>
      <c r="GD122" s="546"/>
      <c r="GE122" s="546"/>
      <c r="GF122" s="546"/>
      <c r="GG122" s="546"/>
      <c r="GH122" s="546"/>
      <c r="GI122" s="546"/>
      <c r="GJ122" s="546"/>
      <c r="GK122" s="546"/>
      <c r="GL122" s="546"/>
      <c r="GM122" s="546"/>
      <c r="GN122" s="546"/>
      <c r="GO122" s="546"/>
      <c r="GP122" s="546"/>
      <c r="GQ122" s="546"/>
      <c r="GR122" s="546"/>
      <c r="GS122" s="546"/>
      <c r="GT122" s="546"/>
      <c r="GU122" s="546"/>
      <c r="GV122" s="546"/>
      <c r="GW122" s="546"/>
      <c r="GX122" s="546"/>
      <c r="GY122" s="546"/>
      <c r="GZ122" s="546"/>
      <c r="HA122" s="546"/>
      <c r="HB122" s="546"/>
      <c r="HC122" s="546"/>
      <c r="HD122" s="546"/>
      <c r="HE122" s="546"/>
      <c r="HF122" s="546"/>
      <c r="HG122" s="546"/>
      <c r="HH122" s="546"/>
      <c r="HI122" s="546"/>
      <c r="HJ122" s="546"/>
    </row>
    <row r="123" spans="1:218" s="541" customFormat="1" ht="12.75" customHeight="1" x14ac:dyDescent="0.15">
      <c r="A123" s="588"/>
      <c r="B123" s="1210"/>
      <c r="C123" s="705"/>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1207"/>
      <c r="AL123" s="1207"/>
      <c r="AM123" s="1207"/>
      <c r="AN123" s="1207"/>
      <c r="AO123" s="1207"/>
      <c r="AP123" s="1207"/>
      <c r="AQ123" s="1207"/>
      <c r="AR123" s="1207"/>
      <c r="AS123" s="1207"/>
      <c r="AT123" s="1207"/>
      <c r="AU123" s="1207"/>
      <c r="AV123" s="1207"/>
      <c r="AW123" s="1207"/>
      <c r="AX123" s="1207"/>
      <c r="AY123" s="1207"/>
      <c r="AZ123" s="1207"/>
      <c r="BA123" s="1207"/>
      <c r="BB123" s="1207"/>
      <c r="BC123" s="1207"/>
      <c r="BD123" s="1207"/>
      <c r="BE123" s="1207"/>
      <c r="BF123" s="1207"/>
      <c r="BG123" s="1269"/>
      <c r="BH123" s="712"/>
      <c r="BI123" s="712"/>
      <c r="BJ123" s="712"/>
      <c r="BK123" s="712"/>
      <c r="BL123" s="712"/>
      <c r="BM123" s="713"/>
      <c r="BN123" s="546"/>
      <c r="BO123" s="566"/>
      <c r="BP123" s="566"/>
      <c r="BQ123" s="566"/>
      <c r="BR123" s="566"/>
      <c r="BS123" s="566"/>
      <c r="BT123" s="566"/>
      <c r="BU123" s="566"/>
      <c r="BV123" s="1243">
        <v>5</v>
      </c>
      <c r="BW123" s="1243"/>
      <c r="BX123" s="1252"/>
      <c r="BY123" s="1252"/>
      <c r="BZ123" s="1252"/>
      <c r="CA123" s="1242" t="s">
        <v>1092</v>
      </c>
      <c r="CB123" s="1242"/>
      <c r="CC123" s="1242"/>
      <c r="CD123" s="1242"/>
      <c r="CE123" s="1242" t="s">
        <v>0</v>
      </c>
      <c r="CF123" s="1242"/>
      <c r="CG123" s="1242"/>
      <c r="CH123" s="1242"/>
      <c r="CI123" s="1242"/>
      <c r="CJ123" s="1242"/>
      <c r="CK123" s="1242"/>
      <c r="CL123" s="1242"/>
      <c r="CM123" s="1242"/>
      <c r="CN123" s="1242" t="s">
        <v>506</v>
      </c>
      <c r="CO123" s="1242"/>
      <c r="CP123" s="1242"/>
      <c r="CQ123" s="1242"/>
      <c r="CR123" s="1242"/>
      <c r="CS123" s="1242"/>
      <c r="CT123" s="1242"/>
      <c r="CU123" s="1102" t="s">
        <v>464</v>
      </c>
      <c r="CV123" s="1116">
        <v>2.3599999999999999E-2</v>
      </c>
      <c r="CW123" s="1117">
        <f>IF(AND(BU11=5,devizanem="EUR",kamatfelartip="fix",HetelTipusa="önálló forgóeszközhitel"),1,0)</f>
        <v>0</v>
      </c>
      <c r="EJ123" s="546"/>
      <c r="EK123" s="546"/>
      <c r="EL123" s="546"/>
      <c r="EM123" s="546"/>
      <c r="EN123" s="546"/>
      <c r="EO123" s="546"/>
      <c r="EP123" s="546"/>
      <c r="EQ123" s="546"/>
      <c r="ER123" s="546"/>
      <c r="ES123" s="546"/>
      <c r="ET123" s="546"/>
      <c r="EU123" s="546"/>
      <c r="EV123" s="546"/>
      <c r="EW123" s="546"/>
      <c r="EX123" s="546"/>
      <c r="EY123" s="546"/>
      <c r="EZ123" s="546"/>
      <c r="FA123" s="546"/>
      <c r="FB123" s="546"/>
      <c r="FC123" s="546"/>
      <c r="FD123" s="546"/>
      <c r="FE123" s="546"/>
      <c r="FF123" s="546"/>
      <c r="FG123" s="546"/>
      <c r="FH123" s="546"/>
      <c r="FI123" s="546"/>
      <c r="FJ123" s="546"/>
      <c r="FK123" s="546"/>
      <c r="FL123" s="546"/>
      <c r="FM123" s="546"/>
      <c r="FN123" s="546"/>
      <c r="FO123" s="546"/>
      <c r="FP123" s="546"/>
      <c r="FQ123" s="546"/>
      <c r="FR123" s="546"/>
      <c r="FS123" s="546"/>
      <c r="FT123" s="546"/>
      <c r="FU123" s="546"/>
      <c r="FV123" s="546"/>
      <c r="FW123" s="546"/>
      <c r="FX123" s="546"/>
      <c r="FY123" s="546"/>
      <c r="FZ123" s="546"/>
      <c r="GA123" s="546"/>
      <c r="GB123" s="546"/>
      <c r="GC123" s="546"/>
      <c r="GD123" s="546"/>
      <c r="GE123" s="546"/>
      <c r="GF123" s="546"/>
      <c r="GG123" s="546"/>
      <c r="GH123" s="546"/>
      <c r="GI123" s="546"/>
      <c r="GJ123" s="546"/>
      <c r="GK123" s="546"/>
      <c r="GL123" s="546"/>
      <c r="GM123" s="546"/>
      <c r="GN123" s="546"/>
      <c r="GO123" s="546"/>
      <c r="GP123" s="546"/>
      <c r="GQ123" s="546"/>
      <c r="GR123" s="546"/>
      <c r="GS123" s="546"/>
      <c r="GT123" s="546"/>
      <c r="GU123" s="546"/>
      <c r="GV123" s="546"/>
      <c r="GW123" s="546"/>
      <c r="GX123" s="546"/>
      <c r="GY123" s="546"/>
      <c r="GZ123" s="546"/>
      <c r="HA123" s="546"/>
      <c r="HB123" s="546"/>
      <c r="HC123" s="546"/>
      <c r="HD123" s="546"/>
      <c r="HE123" s="546"/>
      <c r="HF123" s="546"/>
      <c r="HG123" s="546"/>
      <c r="HH123" s="546"/>
      <c r="HI123" s="546"/>
      <c r="HJ123" s="546"/>
    </row>
    <row r="124" spans="1:218" s="541" customFormat="1" ht="15" customHeight="1" x14ac:dyDescent="0.15">
      <c r="A124" s="588"/>
      <c r="B124" s="1210"/>
      <c r="C124" s="705"/>
      <c r="D124" s="1206" t="s">
        <v>303</v>
      </c>
      <c r="E124" s="1206"/>
      <c r="F124" s="1206"/>
      <c r="G124" s="1206"/>
      <c r="H124" s="1206"/>
      <c r="I124" s="1206"/>
      <c r="J124" s="1206"/>
      <c r="K124" s="1206"/>
      <c r="L124" s="1206"/>
      <c r="M124" s="1206"/>
      <c r="N124" s="1206"/>
      <c r="O124" s="1206"/>
      <c r="P124" s="1206"/>
      <c r="Q124" s="1206"/>
      <c r="R124" s="1206"/>
      <c r="S124" s="1206"/>
      <c r="T124" s="1206"/>
      <c r="U124" s="1206"/>
      <c r="V124" s="1206"/>
      <c r="W124" s="1206"/>
      <c r="X124" s="1206"/>
      <c r="Y124" s="1206"/>
      <c r="Z124" s="1206"/>
      <c r="AA124" s="1263"/>
      <c r="AB124" s="1263"/>
      <c r="AC124" s="1263"/>
      <c r="AD124" s="1263"/>
      <c r="AE124" s="1263"/>
      <c r="AF124" s="1263"/>
      <c r="AG124" s="1263"/>
      <c r="AH124" s="1263"/>
      <c r="AI124" s="1263"/>
      <c r="AJ124" s="1263"/>
      <c r="AK124" s="1263"/>
      <c r="AL124" s="1263"/>
      <c r="AM124" s="1263"/>
      <c r="AN124" s="1206" t="s">
        <v>304</v>
      </c>
      <c r="AO124" s="1206"/>
      <c r="AP124" s="1206"/>
      <c r="AQ124" s="1206"/>
      <c r="AR124" s="1206"/>
      <c r="AS124" s="1206"/>
      <c r="AT124" s="1206"/>
      <c r="AU124" s="1206"/>
      <c r="AV124" s="1206"/>
      <c r="AW124" s="1206"/>
      <c r="AX124" s="1206"/>
      <c r="AY124" s="1206"/>
      <c r="AZ124" s="1206"/>
      <c r="BA124" s="1206"/>
      <c r="BB124" s="1206"/>
      <c r="BC124" s="1206"/>
      <c r="BD124" s="1206"/>
      <c r="BE124" s="1206"/>
      <c r="BF124" s="1206"/>
      <c r="BG124" s="1269"/>
      <c r="BH124" s="712"/>
      <c r="BI124" s="546"/>
      <c r="BJ124" s="546"/>
      <c r="BK124" s="546"/>
      <c r="BL124" s="546"/>
      <c r="BM124" s="711"/>
      <c r="BN124" s="546"/>
      <c r="BO124" s="566"/>
      <c r="BP124" s="566"/>
      <c r="BQ124" s="566"/>
      <c r="BR124" s="566"/>
      <c r="BS124" s="566"/>
      <c r="BT124" s="566"/>
      <c r="BU124" s="566"/>
      <c r="BV124" s="1243">
        <v>5</v>
      </c>
      <c r="BW124" s="1243"/>
      <c r="BX124" s="1252"/>
      <c r="BY124" s="1252"/>
      <c r="BZ124" s="1252"/>
      <c r="CA124" s="1242" t="s">
        <v>1093</v>
      </c>
      <c r="CB124" s="1242"/>
      <c r="CC124" s="1242"/>
      <c r="CD124" s="1242"/>
      <c r="CE124" s="1242" t="s">
        <v>162</v>
      </c>
      <c r="CF124" s="1242"/>
      <c r="CG124" s="1242"/>
      <c r="CH124" s="1242"/>
      <c r="CI124" s="1242"/>
      <c r="CJ124" s="1242"/>
      <c r="CK124" s="1242"/>
      <c r="CL124" s="1242"/>
      <c r="CM124" s="1242"/>
      <c r="CN124" s="1242" t="s">
        <v>504</v>
      </c>
      <c r="CO124" s="1242"/>
      <c r="CP124" s="1242"/>
      <c r="CQ124" s="1242"/>
      <c r="CR124" s="1242"/>
      <c r="CS124" s="1242"/>
      <c r="CT124" s="1242"/>
      <c r="CU124" s="1102" t="s">
        <v>464</v>
      </c>
      <c r="CV124" s="1116">
        <v>3.1199999999999999E-2</v>
      </c>
      <c r="CW124" s="1117">
        <f>IF(AND(BU11=5,devizanem="HUF",kamatfelartip="fix",HetelTipusa="akvizíciós hitel"),1,0)</f>
        <v>0</v>
      </c>
      <c r="EJ124" s="546"/>
      <c r="EK124" s="546"/>
      <c r="EL124" s="546"/>
      <c r="EM124" s="546"/>
      <c r="EN124" s="546"/>
      <c r="EO124" s="546"/>
      <c r="EP124" s="546"/>
      <c r="EQ124" s="546"/>
      <c r="ER124" s="546"/>
      <c r="ES124" s="546"/>
      <c r="ET124" s="546"/>
      <c r="EU124" s="546"/>
      <c r="EV124" s="546"/>
      <c r="EW124" s="546"/>
      <c r="EX124" s="546"/>
      <c r="EY124" s="546"/>
      <c r="EZ124" s="546"/>
      <c r="FA124" s="546"/>
      <c r="FB124" s="546"/>
      <c r="FC124" s="546"/>
      <c r="FD124" s="546"/>
      <c r="FE124" s="546"/>
      <c r="FF124" s="546"/>
      <c r="FG124" s="546"/>
      <c r="FH124" s="546"/>
      <c r="FI124" s="546"/>
      <c r="FJ124" s="546"/>
      <c r="FK124" s="546"/>
      <c r="FL124" s="546"/>
      <c r="FM124" s="546"/>
      <c r="FN124" s="546"/>
      <c r="FO124" s="546"/>
      <c r="FP124" s="546"/>
      <c r="FQ124" s="546"/>
      <c r="FR124" s="546"/>
      <c r="FS124" s="546"/>
      <c r="FT124" s="546"/>
      <c r="FU124" s="546"/>
      <c r="FV124" s="546"/>
      <c r="FW124" s="546"/>
      <c r="FX124" s="546"/>
      <c r="FY124" s="546"/>
      <c r="FZ124" s="546"/>
      <c r="GA124" s="546"/>
      <c r="GB124" s="546"/>
      <c r="GC124" s="546"/>
      <c r="GD124" s="546"/>
      <c r="GE124" s="546"/>
      <c r="GF124" s="546"/>
      <c r="GG124" s="546"/>
      <c r="GH124" s="546"/>
      <c r="GI124" s="546"/>
      <c r="GJ124" s="546"/>
      <c r="GK124" s="546"/>
      <c r="GL124" s="546"/>
      <c r="GM124" s="546"/>
      <c r="GN124" s="546"/>
      <c r="GO124" s="546"/>
      <c r="GP124" s="546"/>
      <c r="GQ124" s="546"/>
      <c r="GR124" s="546"/>
      <c r="GS124" s="546"/>
      <c r="GT124" s="546"/>
      <c r="GU124" s="546"/>
      <c r="GV124" s="546"/>
      <c r="GW124" s="546"/>
      <c r="GX124" s="546"/>
      <c r="GY124" s="546"/>
      <c r="GZ124" s="546"/>
      <c r="HA124" s="546"/>
      <c r="HB124" s="546"/>
      <c r="HC124" s="546"/>
      <c r="HD124" s="546"/>
      <c r="HE124" s="546"/>
      <c r="HF124" s="546"/>
      <c r="HG124" s="546"/>
      <c r="HH124" s="546"/>
      <c r="HI124" s="546"/>
      <c r="HJ124" s="546"/>
    </row>
    <row r="125" spans="1:218" s="541" customFormat="1" ht="12" customHeight="1" x14ac:dyDescent="0.15">
      <c r="A125" s="588"/>
      <c r="B125" s="1210"/>
      <c r="C125" s="705"/>
      <c r="D125" s="1207"/>
      <c r="E125" s="1207"/>
      <c r="F125" s="1207"/>
      <c r="G125" s="1207"/>
      <c r="H125" s="1207"/>
      <c r="I125" s="1207"/>
      <c r="J125" s="1207"/>
      <c r="K125" s="1207"/>
      <c r="L125" s="1207"/>
      <c r="M125" s="1207"/>
      <c r="N125" s="1207"/>
      <c r="O125" s="1207"/>
      <c r="P125" s="1207"/>
      <c r="Q125" s="1207"/>
      <c r="R125" s="1207"/>
      <c r="S125" s="1207"/>
      <c r="T125" s="1207"/>
      <c r="U125" s="1207"/>
      <c r="V125" s="1207"/>
      <c r="W125" s="1207"/>
      <c r="X125" s="1207"/>
      <c r="Y125" s="1207"/>
      <c r="Z125" s="1207"/>
      <c r="AA125" s="1207"/>
      <c r="AB125" s="1207"/>
      <c r="AC125" s="1207"/>
      <c r="AD125" s="1207"/>
      <c r="AE125" s="1207"/>
      <c r="AF125" s="1207"/>
      <c r="AG125" s="1207"/>
      <c r="AH125" s="1207"/>
      <c r="AI125" s="1207"/>
      <c r="AJ125" s="1207"/>
      <c r="AK125" s="1207"/>
      <c r="AL125" s="1207"/>
      <c r="AM125" s="1207"/>
      <c r="AN125" s="1207"/>
      <c r="AO125" s="1207"/>
      <c r="AP125" s="1207"/>
      <c r="AQ125" s="1207"/>
      <c r="AR125" s="1207"/>
      <c r="AS125" s="1207"/>
      <c r="AT125" s="1207"/>
      <c r="AU125" s="1207"/>
      <c r="AV125" s="1207"/>
      <c r="AW125" s="1207"/>
      <c r="AX125" s="1207"/>
      <c r="AY125" s="1207"/>
      <c r="AZ125" s="1207"/>
      <c r="BA125" s="1207"/>
      <c r="BB125" s="1207"/>
      <c r="BC125" s="1207"/>
      <c r="BD125" s="1207"/>
      <c r="BE125" s="1207"/>
      <c r="BF125" s="1207"/>
      <c r="BG125" s="1269"/>
      <c r="BH125" s="712"/>
      <c r="BI125" s="546"/>
      <c r="BJ125" s="546"/>
      <c r="BK125" s="546"/>
      <c r="BL125" s="546"/>
      <c r="BM125" s="711"/>
      <c r="BN125" s="546"/>
      <c r="BO125" s="566"/>
      <c r="BP125" s="566"/>
      <c r="BQ125" s="566"/>
      <c r="BR125" s="566"/>
      <c r="BS125" s="566"/>
      <c r="BT125" s="566"/>
      <c r="BU125" s="566"/>
      <c r="BV125" s="1243">
        <v>5</v>
      </c>
      <c r="BW125" s="1243"/>
      <c r="BX125" s="1252"/>
      <c r="BY125" s="1252"/>
      <c r="BZ125" s="1252"/>
      <c r="CA125" s="1242" t="s">
        <v>1093</v>
      </c>
      <c r="CB125" s="1242"/>
      <c r="CC125" s="1242"/>
      <c r="CD125" s="1242"/>
      <c r="CE125" s="1242" t="s">
        <v>0</v>
      </c>
      <c r="CF125" s="1242"/>
      <c r="CG125" s="1242"/>
      <c r="CH125" s="1242"/>
      <c r="CI125" s="1242"/>
      <c r="CJ125" s="1242"/>
      <c r="CK125" s="1242"/>
      <c r="CL125" s="1242"/>
      <c r="CM125" s="1242"/>
      <c r="CN125" s="1242" t="s">
        <v>506</v>
      </c>
      <c r="CO125" s="1242"/>
      <c r="CP125" s="1242"/>
      <c r="CQ125" s="1242"/>
      <c r="CR125" s="1242"/>
      <c r="CS125" s="1242"/>
      <c r="CT125" s="1242"/>
      <c r="CU125" s="1102" t="s">
        <v>464</v>
      </c>
      <c r="CV125" s="1116">
        <v>3.0700000000000002E-2</v>
      </c>
      <c r="CW125" s="1117">
        <f>IF(AND(BU11=5,devizanem="EUR",kamatfelartip="fix",HetelTipusa="akvizíciós hitel"),1,0)</f>
        <v>0</v>
      </c>
      <c r="EJ125" s="546"/>
      <c r="EK125" s="546"/>
      <c r="EL125" s="546"/>
      <c r="EM125" s="546"/>
      <c r="EN125" s="546"/>
      <c r="EO125" s="546"/>
      <c r="EP125" s="546"/>
      <c r="EQ125" s="546"/>
      <c r="ER125" s="546"/>
      <c r="ES125" s="546"/>
      <c r="ET125" s="546"/>
      <c r="EU125" s="546"/>
      <c r="EV125" s="546"/>
      <c r="EW125" s="546"/>
      <c r="EX125" s="546"/>
      <c r="EY125" s="546"/>
      <c r="EZ125" s="546"/>
      <c r="FA125" s="546"/>
      <c r="FB125" s="546"/>
      <c r="FC125" s="546"/>
      <c r="FD125" s="546"/>
      <c r="FE125" s="546"/>
      <c r="FF125" s="546"/>
      <c r="FG125" s="546"/>
      <c r="FH125" s="546"/>
      <c r="FI125" s="546"/>
      <c r="FJ125" s="546"/>
      <c r="FK125" s="546"/>
      <c r="FL125" s="546"/>
      <c r="FM125" s="546"/>
      <c r="FN125" s="546"/>
      <c r="FO125" s="546"/>
      <c r="FP125" s="546"/>
      <c r="FQ125" s="546"/>
      <c r="FR125" s="546"/>
      <c r="FS125" s="546"/>
      <c r="FT125" s="546"/>
      <c r="FU125" s="546"/>
      <c r="FV125" s="546"/>
      <c r="FW125" s="546"/>
      <c r="FX125" s="546"/>
      <c r="FY125" s="546"/>
      <c r="FZ125" s="546"/>
      <c r="GA125" s="546"/>
      <c r="GB125" s="546"/>
      <c r="GC125" s="546"/>
      <c r="GD125" s="546"/>
      <c r="GE125" s="546"/>
      <c r="GF125" s="546"/>
      <c r="GG125" s="546"/>
      <c r="GH125" s="546"/>
      <c r="GI125" s="546"/>
      <c r="GJ125" s="546"/>
      <c r="GK125" s="546"/>
      <c r="GL125" s="546"/>
      <c r="GM125" s="546"/>
      <c r="GN125" s="546"/>
      <c r="GO125" s="546"/>
      <c r="GP125" s="546"/>
      <c r="GQ125" s="546"/>
      <c r="GR125" s="546"/>
      <c r="GS125" s="546"/>
      <c r="GT125" s="546"/>
      <c r="GU125" s="546"/>
      <c r="GV125" s="546"/>
      <c r="GW125" s="546"/>
      <c r="GX125" s="546"/>
      <c r="GY125" s="546"/>
      <c r="GZ125" s="546"/>
      <c r="HA125" s="546"/>
      <c r="HB125" s="546"/>
      <c r="HC125" s="546"/>
      <c r="HD125" s="546"/>
      <c r="HE125" s="546"/>
      <c r="HF125" s="546"/>
      <c r="HG125" s="546"/>
      <c r="HH125" s="546"/>
      <c r="HI125" s="546"/>
      <c r="HJ125" s="546"/>
    </row>
    <row r="126" spans="1:218" s="541" customFormat="1" ht="12" customHeight="1" x14ac:dyDescent="0.15">
      <c r="A126" s="588"/>
      <c r="B126" s="1210"/>
      <c r="C126" s="705"/>
      <c r="D126" s="1206" t="s">
        <v>305</v>
      </c>
      <c r="E126" s="1206"/>
      <c r="F126" s="1206"/>
      <c r="G126" s="1206"/>
      <c r="H126" s="1206"/>
      <c r="I126" s="1206"/>
      <c r="J126" s="1206"/>
      <c r="K126" s="1206"/>
      <c r="L126" s="1206"/>
      <c r="M126" s="1206"/>
      <c r="N126" s="1206"/>
      <c r="O126" s="1206"/>
      <c r="P126" s="1206"/>
      <c r="Q126" s="1206"/>
      <c r="R126" s="1206"/>
      <c r="S126" s="1206"/>
      <c r="T126" s="1206"/>
      <c r="U126" s="1206"/>
      <c r="V126" s="1206"/>
      <c r="W126" s="1206"/>
      <c r="X126" s="1206"/>
      <c r="Y126" s="1206"/>
      <c r="Z126" s="1206"/>
      <c r="AA126" s="1264"/>
      <c r="AB126" s="1264"/>
      <c r="AC126" s="1264"/>
      <c r="AD126" s="1264"/>
      <c r="AE126" s="1264"/>
      <c r="AF126" s="1264"/>
      <c r="AG126" s="1264"/>
      <c r="AH126" s="1264"/>
      <c r="AI126" s="1264"/>
      <c r="AJ126" s="1264"/>
      <c r="AK126" s="1264"/>
      <c r="AL126" s="1264"/>
      <c r="AM126" s="1264"/>
      <c r="AN126" s="1206" t="s">
        <v>306</v>
      </c>
      <c r="AO126" s="1206"/>
      <c r="AP126" s="1206"/>
      <c r="AQ126" s="1206"/>
      <c r="AR126" s="1206"/>
      <c r="AS126" s="1206"/>
      <c r="AT126" s="1206"/>
      <c r="AU126" s="1206"/>
      <c r="AV126" s="1206"/>
      <c r="AW126" s="1206"/>
      <c r="AX126" s="1206"/>
      <c r="AY126" s="1206"/>
      <c r="AZ126" s="1206"/>
      <c r="BA126" s="1206"/>
      <c r="BB126" s="1206"/>
      <c r="BC126" s="1206"/>
      <c r="BD126" s="1206"/>
      <c r="BE126" s="1206"/>
      <c r="BF126" s="1206"/>
      <c r="BG126" s="1269"/>
      <c r="BH126" s="546"/>
      <c r="BI126" s="546"/>
      <c r="BJ126" s="546"/>
      <c r="BK126" s="546"/>
      <c r="BL126" s="546"/>
      <c r="BM126" s="711"/>
      <c r="BN126" s="546"/>
      <c r="BO126" s="566"/>
      <c r="BP126" s="566"/>
      <c r="BQ126" s="566"/>
      <c r="BR126" s="566"/>
      <c r="BS126" s="566"/>
      <c r="BT126" s="566"/>
      <c r="BU126" s="566"/>
      <c r="BV126" s="1243"/>
      <c r="BW126" s="1243"/>
      <c r="BX126" s="1252"/>
      <c r="BY126" s="1252"/>
      <c r="BZ126" s="1252"/>
      <c r="CA126" s="1242"/>
      <c r="CB126" s="1242"/>
      <c r="CC126" s="1242"/>
      <c r="CD126" s="1242"/>
      <c r="CE126" s="1242"/>
      <c r="CF126" s="1242"/>
      <c r="CG126" s="1242"/>
      <c r="CH126" s="1242"/>
      <c r="CI126" s="1242"/>
      <c r="CJ126" s="1242"/>
      <c r="CK126" s="1242"/>
      <c r="CL126" s="1242"/>
      <c r="CM126" s="1242"/>
      <c r="CN126" s="1242"/>
      <c r="CO126" s="1242"/>
      <c r="CP126" s="1242"/>
      <c r="CQ126" s="1242"/>
      <c r="CR126" s="1242"/>
      <c r="CS126" s="1242"/>
      <c r="CT126" s="1242"/>
      <c r="CU126" s="708"/>
      <c r="CV126" s="708"/>
      <c r="CW126" s="554"/>
      <c r="EJ126" s="546"/>
      <c r="EK126" s="546"/>
      <c r="EL126" s="546"/>
      <c r="EM126" s="546"/>
      <c r="EN126" s="546"/>
      <c r="EO126" s="546"/>
      <c r="EP126" s="546"/>
      <c r="EQ126" s="546"/>
      <c r="ER126" s="546"/>
      <c r="ES126" s="546"/>
      <c r="ET126" s="546"/>
      <c r="EU126" s="546"/>
      <c r="EV126" s="546"/>
      <c r="EW126" s="546"/>
      <c r="EX126" s="546"/>
      <c r="EY126" s="546"/>
      <c r="EZ126" s="546"/>
      <c r="FA126" s="546"/>
      <c r="FB126" s="546"/>
      <c r="FC126" s="546"/>
      <c r="FD126" s="546"/>
      <c r="FE126" s="546"/>
      <c r="FF126" s="546"/>
      <c r="FG126" s="546"/>
      <c r="FH126" s="546"/>
      <c r="FI126" s="546"/>
      <c r="FJ126" s="546"/>
      <c r="FK126" s="546"/>
      <c r="FL126" s="546"/>
      <c r="FM126" s="546"/>
      <c r="FN126" s="546"/>
      <c r="FO126" s="546"/>
      <c r="FP126" s="546"/>
      <c r="FQ126" s="546"/>
      <c r="FR126" s="546"/>
      <c r="FS126" s="546"/>
      <c r="FT126" s="546"/>
      <c r="FU126" s="546"/>
      <c r="FV126" s="546"/>
      <c r="FW126" s="546"/>
      <c r="FX126" s="546"/>
      <c r="FY126" s="546"/>
      <c r="FZ126" s="546"/>
      <c r="GA126" s="546"/>
      <c r="GB126" s="546"/>
      <c r="GC126" s="546"/>
      <c r="GD126" s="546"/>
      <c r="GE126" s="546"/>
      <c r="GF126" s="546"/>
      <c r="GG126" s="546"/>
      <c r="GH126" s="546"/>
      <c r="GI126" s="546"/>
      <c r="GJ126" s="546"/>
      <c r="GK126" s="546"/>
      <c r="GL126" s="546"/>
      <c r="GM126" s="546"/>
      <c r="GN126" s="546"/>
      <c r="GO126" s="546"/>
      <c r="GP126" s="546"/>
      <c r="GQ126" s="546"/>
      <c r="GR126" s="546"/>
      <c r="GS126" s="546"/>
      <c r="GT126" s="546"/>
      <c r="GU126" s="546"/>
      <c r="GV126" s="546"/>
      <c r="GW126" s="546"/>
      <c r="GX126" s="546"/>
      <c r="GY126" s="546"/>
      <c r="GZ126" s="546"/>
      <c r="HA126" s="546"/>
      <c r="HB126" s="546"/>
      <c r="HC126" s="546"/>
      <c r="HD126" s="546"/>
      <c r="HE126" s="546"/>
      <c r="HF126" s="546"/>
      <c r="HG126" s="546"/>
      <c r="HH126" s="546"/>
      <c r="HI126" s="546"/>
      <c r="HJ126" s="546"/>
    </row>
    <row r="127" spans="1:218" s="541" customFormat="1" ht="12" customHeight="1" x14ac:dyDescent="0.15">
      <c r="A127" s="588"/>
      <c r="B127" s="1210"/>
      <c r="C127" s="705"/>
      <c r="D127" s="1207"/>
      <c r="E127" s="1207"/>
      <c r="F127" s="1207"/>
      <c r="G127" s="1207"/>
      <c r="H127" s="1207"/>
      <c r="I127" s="1207"/>
      <c r="J127" s="1207"/>
      <c r="K127" s="1207"/>
      <c r="L127" s="1207"/>
      <c r="M127" s="1207"/>
      <c r="N127" s="1207"/>
      <c r="O127" s="1207"/>
      <c r="P127" s="1207"/>
      <c r="Q127" s="1207"/>
      <c r="R127" s="1207"/>
      <c r="S127" s="1207"/>
      <c r="T127" s="1207"/>
      <c r="U127" s="1207"/>
      <c r="V127" s="1207"/>
      <c r="W127" s="1207"/>
      <c r="X127" s="1207"/>
      <c r="Y127" s="1207"/>
      <c r="Z127" s="1207"/>
      <c r="AA127" s="1207"/>
      <c r="AB127" s="1207"/>
      <c r="AC127" s="1207"/>
      <c r="AD127" s="1207"/>
      <c r="AE127" s="1207"/>
      <c r="AF127" s="1207"/>
      <c r="AG127" s="1207"/>
      <c r="AH127" s="1207"/>
      <c r="AI127" s="1207"/>
      <c r="AJ127" s="1207"/>
      <c r="AK127" s="1207"/>
      <c r="AL127" s="1207"/>
      <c r="AM127" s="1207"/>
      <c r="AN127" s="1207"/>
      <c r="AO127" s="1207"/>
      <c r="AP127" s="1207"/>
      <c r="AQ127" s="1207"/>
      <c r="AR127" s="1207"/>
      <c r="AS127" s="1207"/>
      <c r="AT127" s="1207"/>
      <c r="AU127" s="1207"/>
      <c r="AV127" s="1207"/>
      <c r="AW127" s="1207"/>
      <c r="AX127" s="1207"/>
      <c r="AY127" s="1207"/>
      <c r="AZ127" s="1207"/>
      <c r="BA127" s="1207"/>
      <c r="BB127" s="1207"/>
      <c r="BC127" s="1207"/>
      <c r="BD127" s="1207"/>
      <c r="BE127" s="1207"/>
      <c r="BF127" s="1207"/>
      <c r="BG127" s="1269"/>
      <c r="BH127" s="546"/>
      <c r="BI127" s="546"/>
      <c r="BJ127" s="546"/>
      <c r="BK127" s="546"/>
      <c r="BL127" s="546"/>
      <c r="BM127" s="711"/>
      <c r="BN127" s="546"/>
      <c r="BO127" s="566"/>
      <c r="BP127" s="566"/>
      <c r="BQ127" s="566"/>
      <c r="BR127" s="566"/>
      <c r="BS127" s="566"/>
      <c r="BT127" s="566"/>
      <c r="BU127" s="566"/>
      <c r="BV127" s="1243"/>
      <c r="BW127" s="1243"/>
      <c r="BX127" s="1252"/>
      <c r="BY127" s="1252"/>
      <c r="BZ127" s="1252"/>
      <c r="CA127" s="1242"/>
      <c r="CB127" s="1242"/>
      <c r="CC127" s="1242"/>
      <c r="CD127" s="1242"/>
      <c r="CE127" s="1242"/>
      <c r="CF127" s="1242"/>
      <c r="CG127" s="1242"/>
      <c r="CH127" s="1242"/>
      <c r="CI127" s="1242"/>
      <c r="CJ127" s="1242"/>
      <c r="CK127" s="1242"/>
      <c r="CL127" s="1242"/>
      <c r="CM127" s="1242"/>
      <c r="CN127" s="1242"/>
      <c r="CO127" s="1242"/>
      <c r="CP127" s="1242"/>
      <c r="CQ127" s="1242"/>
      <c r="CR127" s="1242"/>
      <c r="CS127" s="1242"/>
      <c r="CT127" s="1242"/>
      <c r="CU127" s="708"/>
      <c r="CV127" s="708"/>
      <c r="CW127" s="554"/>
      <c r="EJ127" s="546"/>
      <c r="EK127" s="546"/>
      <c r="EL127" s="546"/>
      <c r="EM127" s="546"/>
      <c r="EN127" s="546"/>
      <c r="EO127" s="546"/>
      <c r="EP127" s="546"/>
      <c r="EQ127" s="546"/>
      <c r="ER127" s="546"/>
      <c r="ES127" s="546"/>
      <c r="ET127" s="546"/>
      <c r="EU127" s="546"/>
      <c r="EV127" s="546"/>
      <c r="EW127" s="546"/>
      <c r="EX127" s="546"/>
      <c r="EY127" s="546"/>
      <c r="EZ127" s="546"/>
      <c r="FA127" s="546"/>
      <c r="FB127" s="546"/>
      <c r="FC127" s="546"/>
      <c r="FD127" s="546"/>
      <c r="FE127" s="546"/>
      <c r="FF127" s="546"/>
      <c r="FG127" s="546"/>
      <c r="FH127" s="546"/>
      <c r="FI127" s="546"/>
      <c r="FJ127" s="546"/>
      <c r="FK127" s="546"/>
      <c r="FL127" s="546"/>
      <c r="FM127" s="546"/>
      <c r="FN127" s="546"/>
      <c r="FO127" s="546"/>
      <c r="FP127" s="546"/>
      <c r="FQ127" s="546"/>
      <c r="FR127" s="546"/>
      <c r="FS127" s="546"/>
      <c r="FT127" s="546"/>
      <c r="FU127" s="546"/>
      <c r="FV127" s="546"/>
      <c r="FW127" s="546"/>
      <c r="FX127" s="546"/>
      <c r="FY127" s="546"/>
      <c r="FZ127" s="546"/>
      <c r="GA127" s="546"/>
      <c r="GB127" s="546"/>
      <c r="GC127" s="546"/>
      <c r="GD127" s="546"/>
      <c r="GE127" s="546"/>
      <c r="GF127" s="546"/>
      <c r="GG127" s="546"/>
      <c r="GH127" s="546"/>
      <c r="GI127" s="546"/>
      <c r="GJ127" s="546"/>
      <c r="GK127" s="546"/>
      <c r="GL127" s="546"/>
      <c r="GM127" s="546"/>
      <c r="GN127" s="546"/>
      <c r="GO127" s="546"/>
      <c r="GP127" s="546"/>
      <c r="GQ127" s="546"/>
      <c r="GR127" s="546"/>
      <c r="GS127" s="546"/>
      <c r="GT127" s="546"/>
      <c r="GU127" s="546"/>
      <c r="GV127" s="546"/>
      <c r="GW127" s="546"/>
      <c r="GX127" s="546"/>
      <c r="GY127" s="546"/>
      <c r="GZ127" s="546"/>
      <c r="HA127" s="546"/>
      <c r="HB127" s="546"/>
      <c r="HC127" s="546"/>
      <c r="HD127" s="546"/>
      <c r="HE127" s="546"/>
      <c r="HF127" s="546"/>
      <c r="HG127" s="546"/>
      <c r="HH127" s="546"/>
      <c r="HI127" s="546"/>
      <c r="HJ127" s="546"/>
    </row>
    <row r="128" spans="1:218" s="541" customFormat="1" ht="12" customHeight="1" x14ac:dyDescent="0.15">
      <c r="A128" s="588"/>
      <c r="B128" s="1210"/>
      <c r="C128" s="705"/>
      <c r="D128" s="1206" t="s">
        <v>307</v>
      </c>
      <c r="E128" s="1206"/>
      <c r="F128" s="1206"/>
      <c r="G128" s="1206"/>
      <c r="H128" s="1206"/>
      <c r="I128" s="1206"/>
      <c r="J128" s="1206"/>
      <c r="K128" s="1206"/>
      <c r="L128" s="1206"/>
      <c r="M128" s="1206"/>
      <c r="N128" s="1206"/>
      <c r="O128" s="1206"/>
      <c r="P128" s="1206"/>
      <c r="Q128" s="1206"/>
      <c r="R128" s="1206"/>
      <c r="S128" s="1206"/>
      <c r="T128" s="1206"/>
      <c r="U128" s="1206"/>
      <c r="V128" s="1206"/>
      <c r="W128" s="1206"/>
      <c r="X128" s="1206"/>
      <c r="Y128" s="1206"/>
      <c r="Z128" s="1206"/>
      <c r="AA128" s="1264"/>
      <c r="AB128" s="1264"/>
      <c r="AC128" s="1264"/>
      <c r="AD128" s="1264"/>
      <c r="AE128" s="1264"/>
      <c r="AF128" s="1264"/>
      <c r="AG128" s="1264"/>
      <c r="AH128" s="1264"/>
      <c r="AI128" s="1264"/>
      <c r="AJ128" s="1264"/>
      <c r="AK128" s="1264"/>
      <c r="AL128" s="1264"/>
      <c r="AM128" s="1264"/>
      <c r="AN128" s="1206" t="s">
        <v>306</v>
      </c>
      <c r="AO128" s="1206"/>
      <c r="AP128" s="1206"/>
      <c r="AQ128" s="1206"/>
      <c r="AR128" s="1206"/>
      <c r="AS128" s="1206"/>
      <c r="AT128" s="1206"/>
      <c r="AU128" s="1206"/>
      <c r="AV128" s="1206"/>
      <c r="AW128" s="1206"/>
      <c r="AX128" s="1206"/>
      <c r="AY128" s="1206"/>
      <c r="AZ128" s="1206"/>
      <c r="BA128" s="1206"/>
      <c r="BB128" s="1206"/>
      <c r="BC128" s="1206"/>
      <c r="BD128" s="1206"/>
      <c r="BE128" s="1206"/>
      <c r="BF128" s="1206"/>
      <c r="BG128" s="1269"/>
      <c r="BH128" s="546"/>
      <c r="BI128" s="546"/>
      <c r="BJ128" s="546"/>
      <c r="BK128" s="546"/>
      <c r="BL128" s="546"/>
      <c r="BM128" s="711"/>
      <c r="BN128" s="546"/>
      <c r="BO128" s="566"/>
      <c r="BP128" s="566"/>
      <c r="BQ128" s="566"/>
      <c r="BR128" s="566"/>
      <c r="BS128" s="566"/>
      <c r="BT128" s="566"/>
      <c r="BU128" s="566"/>
      <c r="BV128" s="1243"/>
      <c r="BW128" s="1243"/>
      <c r="BX128" s="1252"/>
      <c r="BY128" s="1252"/>
      <c r="BZ128" s="1252"/>
      <c r="CA128" s="1242"/>
      <c r="CB128" s="1242"/>
      <c r="CC128" s="1242"/>
      <c r="CD128" s="1242"/>
      <c r="CE128" s="1242"/>
      <c r="CF128" s="1242"/>
      <c r="CG128" s="1242"/>
      <c r="CH128" s="1242"/>
      <c r="CI128" s="1242"/>
      <c r="CJ128" s="1242"/>
      <c r="CK128" s="1242"/>
      <c r="CL128" s="1242"/>
      <c r="CM128" s="1242"/>
      <c r="CN128" s="1242"/>
      <c r="CO128" s="1242"/>
      <c r="CP128" s="1242"/>
      <c r="CQ128" s="1242"/>
      <c r="CR128" s="1242"/>
      <c r="CS128" s="1242"/>
      <c r="CT128" s="1242"/>
      <c r="CU128" s="708"/>
      <c r="CV128" s="708"/>
      <c r="CW128" s="554"/>
      <c r="EJ128" s="546"/>
      <c r="EK128" s="546"/>
      <c r="EL128" s="546"/>
      <c r="EM128" s="546"/>
      <c r="EN128" s="546"/>
      <c r="EO128" s="546"/>
      <c r="EP128" s="546"/>
      <c r="EQ128" s="546"/>
      <c r="ER128" s="546"/>
      <c r="ES128" s="546"/>
      <c r="ET128" s="546"/>
      <c r="EU128" s="546"/>
      <c r="EV128" s="546"/>
      <c r="EW128" s="546"/>
      <c r="EX128" s="546"/>
      <c r="EY128" s="546"/>
      <c r="EZ128" s="546"/>
      <c r="FA128" s="546"/>
      <c r="FB128" s="546"/>
      <c r="FC128" s="546"/>
      <c r="FD128" s="546"/>
      <c r="FE128" s="546"/>
      <c r="FF128" s="546"/>
      <c r="FG128" s="546"/>
      <c r="FH128" s="546"/>
      <c r="FI128" s="546"/>
      <c r="FJ128" s="546"/>
      <c r="FK128" s="546"/>
      <c r="FL128" s="546"/>
      <c r="FM128" s="546"/>
      <c r="FN128" s="546"/>
      <c r="FO128" s="546"/>
      <c r="FP128" s="546"/>
      <c r="FQ128" s="546"/>
      <c r="FR128" s="546"/>
      <c r="FS128" s="546"/>
      <c r="FT128" s="546"/>
      <c r="FU128" s="546"/>
      <c r="FV128" s="546"/>
      <c r="FW128" s="546"/>
      <c r="FX128" s="546"/>
      <c r="FY128" s="546"/>
      <c r="FZ128" s="546"/>
      <c r="GA128" s="546"/>
      <c r="GB128" s="546"/>
      <c r="GC128" s="546"/>
      <c r="GD128" s="546"/>
      <c r="GE128" s="546"/>
      <c r="GF128" s="546"/>
      <c r="GG128" s="546"/>
      <c r="GH128" s="546"/>
      <c r="GI128" s="546"/>
      <c r="GJ128" s="546"/>
      <c r="GK128" s="546"/>
      <c r="GL128" s="546"/>
      <c r="GM128" s="546"/>
      <c r="GN128" s="546"/>
      <c r="GO128" s="546"/>
      <c r="GP128" s="546"/>
      <c r="GQ128" s="546"/>
      <c r="GR128" s="546"/>
      <c r="GS128" s="546"/>
      <c r="GT128" s="546"/>
      <c r="GU128" s="546"/>
      <c r="GV128" s="546"/>
      <c r="GW128" s="546"/>
      <c r="GX128" s="546"/>
      <c r="GY128" s="546"/>
      <c r="GZ128" s="546"/>
      <c r="HA128" s="546"/>
      <c r="HB128" s="546"/>
      <c r="HC128" s="546"/>
      <c r="HD128" s="546"/>
      <c r="HE128" s="546"/>
      <c r="HF128" s="546"/>
      <c r="HG128" s="546"/>
      <c r="HH128" s="546"/>
      <c r="HI128" s="546"/>
      <c r="HJ128" s="546"/>
    </row>
    <row r="129" spans="1:218" s="541" customFormat="1" ht="12" customHeight="1" x14ac:dyDescent="0.15">
      <c r="A129" s="588"/>
      <c r="B129" s="1210"/>
      <c r="C129" s="705"/>
      <c r="D129" s="1207"/>
      <c r="E129" s="1207"/>
      <c r="F129" s="1207"/>
      <c r="G129" s="1207"/>
      <c r="H129" s="1207"/>
      <c r="I129" s="1207"/>
      <c r="J129" s="1207"/>
      <c r="K129" s="1207"/>
      <c r="L129" s="1207"/>
      <c r="M129" s="1207"/>
      <c r="N129" s="1207"/>
      <c r="O129" s="1207"/>
      <c r="P129" s="1207"/>
      <c r="Q129" s="1207"/>
      <c r="R129" s="1207"/>
      <c r="S129" s="1207"/>
      <c r="T129" s="1207"/>
      <c r="U129" s="120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07"/>
      <c r="BF129" s="1207"/>
      <c r="BG129" s="1269"/>
      <c r="BH129" s="546"/>
      <c r="BI129" s="546"/>
      <c r="BJ129" s="546"/>
      <c r="BK129" s="546"/>
      <c r="BL129" s="546"/>
      <c r="BM129" s="711"/>
      <c r="BN129" s="546"/>
      <c r="BO129" s="566"/>
      <c r="BP129" s="566"/>
      <c r="BQ129" s="566"/>
      <c r="BR129" s="566"/>
      <c r="BS129" s="566"/>
      <c r="BT129" s="566"/>
      <c r="BU129" s="566"/>
      <c r="BV129" s="1243"/>
      <c r="BW129" s="1243"/>
      <c r="BX129" s="1252"/>
      <c r="BY129" s="1252"/>
      <c r="BZ129" s="1252"/>
      <c r="CA129" s="1242"/>
      <c r="CB129" s="1242"/>
      <c r="CC129" s="1242"/>
      <c r="CD129" s="1242"/>
      <c r="CE129" s="1242"/>
      <c r="CF129" s="1242"/>
      <c r="CG129" s="1242"/>
      <c r="CH129" s="1242"/>
      <c r="CI129" s="1242"/>
      <c r="CJ129" s="1242"/>
      <c r="CK129" s="1242"/>
      <c r="CL129" s="1242"/>
      <c r="CM129" s="1242"/>
      <c r="CN129" s="1242"/>
      <c r="CO129" s="1242"/>
      <c r="CP129" s="1242"/>
      <c r="CQ129" s="1242"/>
      <c r="CR129" s="1242"/>
      <c r="CS129" s="1242"/>
      <c r="CT129" s="1242"/>
      <c r="CU129" s="708"/>
      <c r="CV129" s="708"/>
      <c r="CW129" s="554"/>
      <c r="EJ129" s="546"/>
      <c r="EK129" s="546"/>
      <c r="EL129" s="546"/>
      <c r="EM129" s="546"/>
      <c r="EN129" s="546"/>
      <c r="EO129" s="546"/>
      <c r="EP129" s="546"/>
      <c r="EQ129" s="546"/>
      <c r="ER129" s="546"/>
      <c r="ES129" s="546"/>
      <c r="ET129" s="546"/>
      <c r="EU129" s="546"/>
      <c r="EV129" s="546"/>
      <c r="EW129" s="546"/>
      <c r="EX129" s="546"/>
      <c r="EY129" s="546"/>
      <c r="EZ129" s="546"/>
      <c r="FA129" s="546"/>
      <c r="FB129" s="546"/>
      <c r="FC129" s="546"/>
      <c r="FD129" s="546"/>
      <c r="FE129" s="546"/>
      <c r="FF129" s="546"/>
      <c r="FG129" s="546"/>
      <c r="FH129" s="546"/>
      <c r="FI129" s="546"/>
      <c r="FJ129" s="546"/>
      <c r="FK129" s="546"/>
      <c r="FL129" s="546"/>
      <c r="FM129" s="546"/>
      <c r="FN129" s="546"/>
      <c r="FO129" s="546"/>
      <c r="FP129" s="546"/>
      <c r="FQ129" s="546"/>
      <c r="FR129" s="546"/>
      <c r="FS129" s="546"/>
      <c r="FT129" s="546"/>
      <c r="FU129" s="546"/>
      <c r="FV129" s="546"/>
      <c r="FW129" s="546"/>
      <c r="FX129" s="546"/>
      <c r="FY129" s="546"/>
      <c r="FZ129" s="546"/>
      <c r="GA129" s="546"/>
      <c r="GB129" s="546"/>
      <c r="GC129" s="546"/>
      <c r="GD129" s="546"/>
      <c r="GE129" s="546"/>
      <c r="GF129" s="546"/>
      <c r="GG129" s="546"/>
      <c r="GH129" s="546"/>
      <c r="GI129" s="546"/>
      <c r="GJ129" s="546"/>
      <c r="GK129" s="546"/>
      <c r="GL129" s="546"/>
      <c r="GM129" s="546"/>
      <c r="GN129" s="546"/>
      <c r="GO129" s="546"/>
      <c r="GP129" s="546"/>
      <c r="GQ129" s="546"/>
      <c r="GR129" s="546"/>
      <c r="GS129" s="546"/>
      <c r="GT129" s="546"/>
      <c r="GU129" s="546"/>
      <c r="GV129" s="546"/>
      <c r="GW129" s="546"/>
      <c r="GX129" s="546"/>
      <c r="GY129" s="546"/>
      <c r="GZ129" s="546"/>
      <c r="HA129" s="546"/>
      <c r="HB129" s="546"/>
      <c r="HC129" s="546"/>
      <c r="HD129" s="546"/>
      <c r="HE129" s="546"/>
      <c r="HF129" s="546"/>
      <c r="HG129" s="546"/>
      <c r="HH129" s="546"/>
      <c r="HI129" s="546"/>
      <c r="HJ129" s="546"/>
    </row>
    <row r="130" spans="1:218" s="541" customFormat="1" ht="12" customHeight="1" x14ac:dyDescent="0.15">
      <c r="A130" s="588"/>
      <c r="B130" s="1210"/>
      <c r="C130" s="705"/>
      <c r="D130" s="1206" t="s">
        <v>308</v>
      </c>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c r="AA130" s="1264"/>
      <c r="AB130" s="1264"/>
      <c r="AC130" s="1264"/>
      <c r="AD130" s="1264"/>
      <c r="AE130" s="1264"/>
      <c r="AF130" s="1264"/>
      <c r="AG130" s="1264"/>
      <c r="AH130" s="1264"/>
      <c r="AI130" s="1264"/>
      <c r="AJ130" s="1264"/>
      <c r="AK130" s="1264"/>
      <c r="AL130" s="1264"/>
      <c r="AM130" s="1264"/>
      <c r="AN130" s="1206" t="s">
        <v>306</v>
      </c>
      <c r="AO130" s="1206"/>
      <c r="AP130" s="1206"/>
      <c r="AQ130" s="1206"/>
      <c r="AR130" s="1206"/>
      <c r="AS130" s="1206"/>
      <c r="AT130" s="1206"/>
      <c r="AU130" s="1206"/>
      <c r="AV130" s="1206"/>
      <c r="AW130" s="1206"/>
      <c r="AX130" s="1206"/>
      <c r="AY130" s="1206"/>
      <c r="AZ130" s="1206"/>
      <c r="BA130" s="1206"/>
      <c r="BB130" s="1206"/>
      <c r="BC130" s="1206"/>
      <c r="BD130" s="1206"/>
      <c r="BE130" s="1206"/>
      <c r="BF130" s="1206"/>
      <c r="BG130" s="1269"/>
      <c r="BH130" s="546"/>
      <c r="BI130" s="546"/>
      <c r="BJ130" s="546"/>
      <c r="BK130" s="546"/>
      <c r="BL130" s="546"/>
      <c r="BM130" s="711"/>
      <c r="BN130" s="546"/>
      <c r="BO130" s="566"/>
      <c r="BP130" s="566"/>
      <c r="BQ130" s="566"/>
      <c r="BR130" s="566"/>
      <c r="BS130" s="566"/>
      <c r="BT130" s="566"/>
      <c r="BU130" s="566"/>
      <c r="BV130" s="1243"/>
      <c r="BW130" s="1243"/>
      <c r="BX130" s="1252"/>
      <c r="BY130" s="1252"/>
      <c r="BZ130" s="1252"/>
      <c r="CA130" s="1242"/>
      <c r="CB130" s="1242"/>
      <c r="CC130" s="1242"/>
      <c r="CD130" s="1242"/>
      <c r="CE130" s="1242"/>
      <c r="CF130" s="1242"/>
      <c r="CG130" s="1242"/>
      <c r="CH130" s="1242"/>
      <c r="CI130" s="1242"/>
      <c r="CJ130" s="1242"/>
      <c r="CK130" s="1242"/>
      <c r="CL130" s="1242"/>
      <c r="CM130" s="1242"/>
      <c r="CN130" s="1242"/>
      <c r="CO130" s="1242"/>
      <c r="CP130" s="1242"/>
      <c r="CQ130" s="1242"/>
      <c r="CR130" s="1242"/>
      <c r="CS130" s="1242"/>
      <c r="CT130" s="1242"/>
      <c r="CU130" s="708"/>
      <c r="CV130" s="708"/>
      <c r="CW130" s="554"/>
      <c r="EJ130" s="546"/>
      <c r="EK130" s="546"/>
      <c r="EL130" s="546"/>
      <c r="EM130" s="546"/>
      <c r="EN130" s="546"/>
      <c r="EO130" s="546"/>
      <c r="EP130" s="546"/>
      <c r="EQ130" s="546"/>
      <c r="ER130" s="546"/>
      <c r="ES130" s="546"/>
      <c r="ET130" s="546"/>
      <c r="EU130" s="546"/>
      <c r="EV130" s="546"/>
      <c r="EW130" s="546"/>
      <c r="EX130" s="546"/>
      <c r="EY130" s="546"/>
      <c r="EZ130" s="546"/>
      <c r="FA130" s="546"/>
      <c r="FB130" s="546"/>
      <c r="FC130" s="546"/>
      <c r="FD130" s="546"/>
      <c r="FE130" s="546"/>
      <c r="FF130" s="546"/>
      <c r="FG130" s="546"/>
      <c r="FH130" s="546"/>
      <c r="FI130" s="546"/>
      <c r="FJ130" s="546"/>
      <c r="FK130" s="546"/>
      <c r="FL130" s="546"/>
      <c r="FM130" s="546"/>
      <c r="FN130" s="546"/>
      <c r="FO130" s="546"/>
      <c r="FP130" s="546"/>
      <c r="FQ130" s="546"/>
      <c r="FR130" s="546"/>
      <c r="FS130" s="546"/>
      <c r="FT130" s="546"/>
      <c r="FU130" s="546"/>
      <c r="FV130" s="546"/>
      <c r="FW130" s="546"/>
      <c r="FX130" s="546"/>
      <c r="FY130" s="546"/>
      <c r="FZ130" s="546"/>
      <c r="GA130" s="546"/>
      <c r="GB130" s="546"/>
      <c r="GC130" s="546"/>
      <c r="GD130" s="546"/>
      <c r="GE130" s="546"/>
      <c r="GF130" s="546"/>
      <c r="GG130" s="546"/>
      <c r="GH130" s="546"/>
      <c r="GI130" s="546"/>
      <c r="GJ130" s="546"/>
      <c r="GK130" s="546"/>
      <c r="GL130" s="546"/>
      <c r="GM130" s="546"/>
      <c r="GN130" s="546"/>
      <c r="GO130" s="546"/>
      <c r="GP130" s="546"/>
      <c r="GQ130" s="546"/>
      <c r="GR130" s="546"/>
      <c r="GS130" s="546"/>
      <c r="GT130" s="546"/>
      <c r="GU130" s="546"/>
      <c r="GV130" s="546"/>
      <c r="GW130" s="546"/>
      <c r="GX130" s="546"/>
      <c r="GY130" s="546"/>
      <c r="GZ130" s="546"/>
      <c r="HA130" s="546"/>
      <c r="HB130" s="546"/>
      <c r="HC130" s="546"/>
      <c r="HD130" s="546"/>
      <c r="HE130" s="546"/>
      <c r="HF130" s="546"/>
      <c r="HG130" s="546"/>
      <c r="HH130" s="546"/>
      <c r="HI130" s="546"/>
      <c r="HJ130" s="546"/>
    </row>
    <row r="131" spans="1:218" s="541" customFormat="1" ht="12" customHeight="1" x14ac:dyDescent="0.15">
      <c r="A131" s="588"/>
      <c r="B131" s="1210"/>
      <c r="C131" s="705"/>
      <c r="D131" s="1207"/>
      <c r="E131" s="1207"/>
      <c r="F131" s="1207"/>
      <c r="G131" s="1207"/>
      <c r="H131" s="1207"/>
      <c r="I131" s="1207"/>
      <c r="J131" s="1207"/>
      <c r="K131" s="1207"/>
      <c r="L131" s="1207"/>
      <c r="M131" s="1207"/>
      <c r="N131" s="1207"/>
      <c r="O131" s="1207"/>
      <c r="P131" s="1207"/>
      <c r="Q131" s="1207"/>
      <c r="R131" s="1207"/>
      <c r="S131" s="1207"/>
      <c r="T131" s="1207"/>
      <c r="U131" s="1207"/>
      <c r="V131" s="1207"/>
      <c r="W131" s="1207"/>
      <c r="X131" s="1207"/>
      <c r="Y131" s="1207"/>
      <c r="Z131" s="1207"/>
      <c r="AA131" s="1207"/>
      <c r="AB131" s="1207"/>
      <c r="AC131" s="1207"/>
      <c r="AD131" s="1207"/>
      <c r="AE131" s="1207"/>
      <c r="AF131" s="1207"/>
      <c r="AG131" s="120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07"/>
      <c r="BF131" s="1207"/>
      <c r="BG131" s="1269"/>
      <c r="BH131" s="546"/>
      <c r="BI131" s="618"/>
      <c r="BJ131" s="618"/>
      <c r="BK131" s="618"/>
      <c r="BL131" s="618"/>
      <c r="BM131" s="715"/>
      <c r="BN131" s="546"/>
      <c r="BO131" s="566"/>
      <c r="BP131" s="566"/>
      <c r="BQ131" s="566"/>
      <c r="BR131" s="566"/>
      <c r="BS131" s="566"/>
      <c r="BT131" s="566"/>
      <c r="BU131" s="566"/>
      <c r="BV131" s="1243"/>
      <c r="BW131" s="1243"/>
      <c r="BX131" s="1252"/>
      <c r="BY131" s="1252"/>
      <c r="BZ131" s="1252"/>
      <c r="CA131" s="1242"/>
      <c r="CB131" s="1242"/>
      <c r="CC131" s="1242"/>
      <c r="CD131" s="1242"/>
      <c r="CE131" s="1242"/>
      <c r="CF131" s="1242"/>
      <c r="CG131" s="1242"/>
      <c r="CH131" s="1242"/>
      <c r="CI131" s="1242"/>
      <c r="CJ131" s="1242"/>
      <c r="CK131" s="1242"/>
      <c r="CL131" s="1242"/>
      <c r="CM131" s="1242"/>
      <c r="CN131" s="1242"/>
      <c r="CO131" s="1242"/>
      <c r="CP131" s="1242"/>
      <c r="CQ131" s="1242"/>
      <c r="CR131" s="1242"/>
      <c r="CS131" s="1242"/>
      <c r="CT131" s="1242"/>
      <c r="CU131" s="708"/>
      <c r="CV131" s="708"/>
      <c r="CW131" s="554"/>
      <c r="EJ131" s="546"/>
      <c r="EK131" s="546"/>
      <c r="EL131" s="546"/>
      <c r="EM131" s="546"/>
      <c r="EN131" s="546"/>
      <c r="EO131" s="546"/>
      <c r="EP131" s="546"/>
      <c r="EQ131" s="546"/>
      <c r="ER131" s="546"/>
      <c r="ES131" s="546"/>
      <c r="ET131" s="546"/>
      <c r="EU131" s="546"/>
      <c r="EV131" s="546"/>
      <c r="EW131" s="546"/>
      <c r="EX131" s="546"/>
      <c r="EY131" s="546"/>
      <c r="EZ131" s="546"/>
      <c r="FA131" s="546"/>
      <c r="FB131" s="546"/>
      <c r="FC131" s="546"/>
      <c r="FD131" s="546"/>
      <c r="FE131" s="546"/>
      <c r="FF131" s="546"/>
      <c r="FG131" s="546"/>
      <c r="FH131" s="546"/>
      <c r="FI131" s="546"/>
      <c r="FJ131" s="546"/>
      <c r="FK131" s="546"/>
      <c r="FL131" s="546"/>
      <c r="FM131" s="546"/>
      <c r="FN131" s="546"/>
      <c r="FO131" s="546"/>
      <c r="FP131" s="546"/>
      <c r="FQ131" s="546"/>
      <c r="FR131" s="546"/>
      <c r="FS131" s="546"/>
      <c r="FT131" s="546"/>
      <c r="FU131" s="546"/>
      <c r="FV131" s="546"/>
      <c r="FW131" s="546"/>
      <c r="FX131" s="546"/>
      <c r="FY131" s="546"/>
      <c r="FZ131" s="546"/>
      <c r="GA131" s="546"/>
      <c r="GB131" s="546"/>
      <c r="GC131" s="546"/>
      <c r="GD131" s="546"/>
      <c r="GE131" s="546"/>
      <c r="GF131" s="546"/>
      <c r="GG131" s="546"/>
      <c r="GH131" s="546"/>
      <c r="GI131" s="546"/>
      <c r="GJ131" s="546"/>
      <c r="GK131" s="546"/>
      <c r="GL131" s="546"/>
      <c r="GM131" s="546"/>
      <c r="GN131" s="546"/>
      <c r="GO131" s="546"/>
      <c r="GP131" s="546"/>
      <c r="GQ131" s="546"/>
      <c r="GR131" s="546"/>
      <c r="GS131" s="546"/>
      <c r="GT131" s="546"/>
      <c r="GU131" s="546"/>
      <c r="GV131" s="546"/>
      <c r="GW131" s="546"/>
      <c r="GX131" s="546"/>
      <c r="GY131" s="546"/>
      <c r="GZ131" s="546"/>
      <c r="HA131" s="546"/>
      <c r="HB131" s="546"/>
      <c r="HC131" s="546"/>
      <c r="HD131" s="546"/>
      <c r="HE131" s="546"/>
      <c r="HF131" s="546"/>
      <c r="HG131" s="546"/>
      <c r="HH131" s="546"/>
      <c r="HI131" s="546"/>
      <c r="HJ131" s="546"/>
    </row>
    <row r="132" spans="1:218" s="541" customFormat="1" ht="12" customHeight="1" x14ac:dyDescent="0.15">
      <c r="A132" s="588"/>
      <c r="B132" s="1210"/>
      <c r="C132" s="705"/>
      <c r="D132" s="1206" t="s">
        <v>309</v>
      </c>
      <c r="E132" s="1206"/>
      <c r="F132" s="1206"/>
      <c r="G132" s="1206"/>
      <c r="H132" s="1206"/>
      <c r="I132" s="1206"/>
      <c r="J132" s="1206"/>
      <c r="K132" s="1206"/>
      <c r="L132" s="1206"/>
      <c r="M132" s="1206"/>
      <c r="N132" s="1206"/>
      <c r="O132" s="1206"/>
      <c r="P132" s="1206"/>
      <c r="Q132" s="1206"/>
      <c r="R132" s="1206"/>
      <c r="S132" s="1206"/>
      <c r="T132" s="1206"/>
      <c r="U132" s="1206"/>
      <c r="V132" s="1206"/>
      <c r="W132" s="1206"/>
      <c r="X132" s="1206"/>
      <c r="Y132" s="1206"/>
      <c r="Z132" s="1206"/>
      <c r="AA132" s="1264"/>
      <c r="AB132" s="1264"/>
      <c r="AC132" s="1264"/>
      <c r="AD132" s="1264"/>
      <c r="AE132" s="1264"/>
      <c r="AF132" s="1264"/>
      <c r="AG132" s="1264"/>
      <c r="AH132" s="1264"/>
      <c r="AI132" s="1264"/>
      <c r="AJ132" s="1264"/>
      <c r="AK132" s="1264"/>
      <c r="AL132" s="1264"/>
      <c r="AM132" s="1264"/>
      <c r="AN132" s="1206" t="s">
        <v>306</v>
      </c>
      <c r="AO132" s="1206"/>
      <c r="AP132" s="1206"/>
      <c r="AQ132" s="1206"/>
      <c r="AR132" s="1206"/>
      <c r="AS132" s="1206"/>
      <c r="AT132" s="1206"/>
      <c r="AU132" s="1206"/>
      <c r="AV132" s="1206"/>
      <c r="AW132" s="1206"/>
      <c r="AX132" s="1206"/>
      <c r="AY132" s="1206"/>
      <c r="AZ132" s="1206"/>
      <c r="BA132" s="1206"/>
      <c r="BB132" s="1206"/>
      <c r="BC132" s="1206"/>
      <c r="BD132" s="1206"/>
      <c r="BE132" s="1206"/>
      <c r="BF132" s="1206"/>
      <c r="BG132" s="1269"/>
      <c r="BH132" s="546"/>
      <c r="BI132" s="618"/>
      <c r="BJ132" s="618"/>
      <c r="BK132" s="618"/>
      <c r="BL132" s="618"/>
      <c r="BM132" s="715"/>
      <c r="BN132" s="546"/>
      <c r="BO132" s="566"/>
      <c r="BP132" s="566"/>
      <c r="BQ132" s="566"/>
      <c r="BR132" s="566"/>
      <c r="BS132" s="566"/>
      <c r="BT132" s="566"/>
      <c r="BU132" s="566"/>
      <c r="BV132" s="1243"/>
      <c r="BW132" s="1243"/>
      <c r="BX132" s="1252"/>
      <c r="BY132" s="1252"/>
      <c r="BZ132" s="1252"/>
      <c r="CA132" s="1242"/>
      <c r="CB132" s="1242"/>
      <c r="CC132" s="1242"/>
      <c r="CD132" s="1242"/>
      <c r="CE132" s="1242"/>
      <c r="CF132" s="1242"/>
      <c r="CG132" s="1242"/>
      <c r="CH132" s="1242"/>
      <c r="CI132" s="1242"/>
      <c r="CJ132" s="1242"/>
      <c r="CK132" s="1242"/>
      <c r="CL132" s="1242"/>
      <c r="CM132" s="1242"/>
      <c r="CN132" s="1242"/>
      <c r="CO132" s="1242"/>
      <c r="CP132" s="1242"/>
      <c r="CQ132" s="1242"/>
      <c r="CR132" s="1242"/>
      <c r="CS132" s="1242"/>
      <c r="CT132" s="1242"/>
      <c r="CU132" s="708"/>
      <c r="CV132" s="708"/>
      <c r="CW132" s="554"/>
      <c r="EJ132" s="546"/>
      <c r="EK132" s="546"/>
      <c r="EL132" s="546"/>
      <c r="EM132" s="546"/>
      <c r="EN132" s="546"/>
      <c r="EO132" s="546"/>
      <c r="EP132" s="546"/>
      <c r="EQ132" s="546"/>
      <c r="ER132" s="546"/>
      <c r="ES132" s="546"/>
      <c r="ET132" s="546"/>
      <c r="EU132" s="546"/>
      <c r="EV132" s="546"/>
      <c r="EW132" s="546"/>
      <c r="EX132" s="546"/>
      <c r="EY132" s="546"/>
      <c r="EZ132" s="546"/>
      <c r="FA132" s="546"/>
      <c r="FB132" s="546"/>
      <c r="FC132" s="546"/>
      <c r="FD132" s="546"/>
      <c r="FE132" s="546"/>
      <c r="FF132" s="546"/>
      <c r="FG132" s="546"/>
      <c r="FH132" s="546"/>
      <c r="FI132" s="546"/>
      <c r="FJ132" s="546"/>
      <c r="FK132" s="546"/>
      <c r="FL132" s="546"/>
      <c r="FM132" s="546"/>
      <c r="FN132" s="546"/>
      <c r="FO132" s="546"/>
      <c r="FP132" s="546"/>
      <c r="FQ132" s="546"/>
      <c r="FR132" s="546"/>
      <c r="FS132" s="546"/>
      <c r="FT132" s="546"/>
      <c r="FU132" s="546"/>
      <c r="FV132" s="546"/>
      <c r="FW132" s="546"/>
      <c r="FX132" s="546"/>
      <c r="FY132" s="546"/>
      <c r="FZ132" s="546"/>
      <c r="GA132" s="546"/>
      <c r="GB132" s="546"/>
      <c r="GC132" s="546"/>
      <c r="GD132" s="546"/>
      <c r="GE132" s="546"/>
      <c r="GF132" s="546"/>
      <c r="GG132" s="546"/>
      <c r="GH132" s="546"/>
      <c r="GI132" s="546"/>
      <c r="GJ132" s="546"/>
      <c r="GK132" s="546"/>
      <c r="GL132" s="546"/>
      <c r="GM132" s="546"/>
      <c r="GN132" s="546"/>
      <c r="GO132" s="546"/>
      <c r="GP132" s="546"/>
      <c r="GQ132" s="546"/>
      <c r="GR132" s="546"/>
      <c r="GS132" s="546"/>
      <c r="GT132" s="546"/>
      <c r="GU132" s="546"/>
      <c r="GV132" s="546"/>
      <c r="GW132" s="546"/>
      <c r="GX132" s="546"/>
      <c r="GY132" s="546"/>
      <c r="GZ132" s="546"/>
      <c r="HA132" s="546"/>
      <c r="HB132" s="546"/>
      <c r="HC132" s="546"/>
      <c r="HD132" s="546"/>
      <c r="HE132" s="546"/>
      <c r="HF132" s="546"/>
      <c r="HG132" s="546"/>
      <c r="HH132" s="546"/>
      <c r="HI132" s="546"/>
      <c r="HJ132" s="546"/>
    </row>
    <row r="133" spans="1:218" s="541" customFormat="1" ht="12" customHeight="1" x14ac:dyDescent="0.15">
      <c r="A133" s="588"/>
      <c r="B133" s="1210"/>
      <c r="C133" s="705"/>
      <c r="D133" s="550"/>
      <c r="E133" s="550"/>
      <c r="F133" s="550"/>
      <c r="G133" s="550"/>
      <c r="H133" s="550"/>
      <c r="I133" s="550"/>
      <c r="J133" s="550"/>
      <c r="K133" s="550"/>
      <c r="L133" s="550"/>
      <c r="M133" s="550"/>
      <c r="N133" s="550"/>
      <c r="O133" s="550"/>
      <c r="P133" s="550"/>
      <c r="Q133" s="550"/>
      <c r="R133" s="550"/>
      <c r="S133" s="550"/>
      <c r="T133" s="550"/>
      <c r="U133" s="550"/>
      <c r="V133" s="550"/>
      <c r="W133" s="550"/>
      <c r="X133" s="550"/>
      <c r="Y133" s="550"/>
      <c r="Z133" s="550"/>
      <c r="AA133" s="714"/>
      <c r="AB133" s="714"/>
      <c r="AC133" s="714"/>
      <c r="AD133" s="714"/>
      <c r="AE133" s="714"/>
      <c r="AF133" s="714"/>
      <c r="AG133" s="714"/>
      <c r="AH133" s="714"/>
      <c r="AI133" s="714"/>
      <c r="AJ133" s="714"/>
      <c r="AK133" s="714"/>
      <c r="AL133" s="714"/>
      <c r="AM133" s="714"/>
      <c r="AN133" s="714"/>
      <c r="AO133" s="714"/>
      <c r="AP133" s="714"/>
      <c r="AQ133" s="714"/>
      <c r="AR133" s="714"/>
      <c r="AS133" s="714"/>
      <c r="AT133" s="714"/>
      <c r="AU133" s="714"/>
      <c r="AV133" s="714"/>
      <c r="AW133" s="714"/>
      <c r="AX133" s="714"/>
      <c r="AY133" s="550"/>
      <c r="AZ133" s="556"/>
      <c r="BA133" s="556"/>
      <c r="BB133" s="556"/>
      <c r="BC133" s="556"/>
      <c r="BD133" s="556"/>
      <c r="BE133" s="556"/>
      <c r="BF133" s="556"/>
      <c r="BG133" s="1269"/>
      <c r="BH133" s="618"/>
      <c r="BI133" s="618"/>
      <c r="BJ133" s="618"/>
      <c r="BK133" s="618"/>
      <c r="BL133" s="618"/>
      <c r="BM133" s="715"/>
      <c r="BN133" s="546"/>
      <c r="BO133" s="566"/>
      <c r="BP133" s="566"/>
      <c r="BQ133" s="566"/>
      <c r="BR133" s="566"/>
      <c r="BS133" s="566"/>
      <c r="BT133" s="566"/>
      <c r="BU133" s="566"/>
      <c r="BV133" s="1243"/>
      <c r="BW133" s="1243"/>
      <c r="BX133" s="1252"/>
      <c r="BY133" s="1252"/>
      <c r="BZ133" s="1252"/>
      <c r="CA133" s="1242"/>
      <c r="CB133" s="1242"/>
      <c r="CC133" s="1242"/>
      <c r="CD133" s="1242"/>
      <c r="CE133" s="1242"/>
      <c r="CF133" s="1242"/>
      <c r="CG133" s="1242"/>
      <c r="CH133" s="1242"/>
      <c r="CI133" s="1242"/>
      <c r="CJ133" s="1242"/>
      <c r="CK133" s="1242"/>
      <c r="CL133" s="1242"/>
      <c r="CM133" s="1242"/>
      <c r="CN133" s="1242"/>
      <c r="CO133" s="1242"/>
      <c r="CP133" s="1242"/>
      <c r="CQ133" s="1242"/>
      <c r="CR133" s="1242"/>
      <c r="CS133" s="1242"/>
      <c r="CT133" s="1242"/>
      <c r="CU133" s="708"/>
      <c r="CV133" s="708"/>
      <c r="CW133" s="554"/>
      <c r="EJ133" s="546"/>
      <c r="EK133" s="546"/>
      <c r="EL133" s="546"/>
      <c r="EM133" s="546"/>
      <c r="EN133" s="546"/>
      <c r="EO133" s="546"/>
      <c r="EP133" s="546"/>
      <c r="EQ133" s="546"/>
      <c r="ER133" s="546"/>
      <c r="ES133" s="546"/>
      <c r="ET133" s="546"/>
      <c r="EU133" s="546"/>
      <c r="EV133" s="546"/>
      <c r="EW133" s="546"/>
      <c r="EX133" s="546"/>
      <c r="EY133" s="546"/>
      <c r="EZ133" s="546"/>
      <c r="FA133" s="546"/>
      <c r="FB133" s="546"/>
      <c r="FC133" s="546"/>
      <c r="FD133" s="546"/>
      <c r="FE133" s="546"/>
      <c r="FF133" s="546"/>
      <c r="FG133" s="546"/>
      <c r="FH133" s="546"/>
      <c r="FI133" s="546"/>
      <c r="FJ133" s="546"/>
      <c r="FK133" s="546"/>
      <c r="FL133" s="546"/>
      <c r="FM133" s="546"/>
      <c r="FN133" s="546"/>
      <c r="FO133" s="546"/>
      <c r="FP133" s="546"/>
      <c r="FQ133" s="546"/>
      <c r="FR133" s="546"/>
      <c r="FS133" s="546"/>
      <c r="FT133" s="546"/>
      <c r="FU133" s="546"/>
      <c r="FV133" s="546"/>
      <c r="FW133" s="546"/>
      <c r="FX133" s="546"/>
      <c r="FY133" s="546"/>
      <c r="FZ133" s="546"/>
      <c r="GA133" s="546"/>
      <c r="GB133" s="546"/>
      <c r="GC133" s="546"/>
      <c r="GD133" s="546"/>
      <c r="GE133" s="546"/>
      <c r="GF133" s="546"/>
      <c r="GG133" s="546"/>
      <c r="GH133" s="546"/>
      <c r="GI133" s="546"/>
      <c r="GJ133" s="546"/>
      <c r="GK133" s="546"/>
      <c r="GL133" s="546"/>
      <c r="GM133" s="546"/>
      <c r="GN133" s="546"/>
      <c r="GO133" s="546"/>
      <c r="GP133" s="546"/>
      <c r="GQ133" s="546"/>
      <c r="GR133" s="546"/>
      <c r="GS133" s="546"/>
      <c r="GT133" s="546"/>
      <c r="GU133" s="546"/>
      <c r="GV133" s="546"/>
      <c r="GW133" s="546"/>
      <c r="GX133" s="546"/>
      <c r="GY133" s="546"/>
      <c r="GZ133" s="546"/>
      <c r="HA133" s="546"/>
      <c r="HB133" s="546"/>
      <c r="HC133" s="546"/>
      <c r="HD133" s="546"/>
      <c r="HE133" s="546"/>
      <c r="HF133" s="546"/>
      <c r="HG133" s="546"/>
      <c r="HH133" s="546"/>
      <c r="HI133" s="546"/>
      <c r="HJ133" s="546"/>
    </row>
    <row r="134" spans="1:218" s="541" customFormat="1" ht="12" customHeight="1" x14ac:dyDescent="0.15">
      <c r="A134" s="588"/>
      <c r="B134" s="1210"/>
      <c r="C134" s="705"/>
      <c r="D134" s="581" t="s">
        <v>912</v>
      </c>
      <c r="E134" s="581"/>
      <c r="F134" s="581"/>
      <c r="G134" s="581"/>
      <c r="H134" s="581"/>
      <c r="I134" s="581"/>
      <c r="J134" s="581"/>
      <c r="K134" s="581"/>
      <c r="L134" s="581"/>
      <c r="M134" s="581"/>
      <c r="N134" s="581"/>
      <c r="O134" s="581"/>
      <c r="P134" s="581"/>
      <c r="Q134" s="581"/>
      <c r="R134" s="581"/>
      <c r="S134" s="581"/>
      <c r="T134" s="581"/>
      <c r="U134" s="581"/>
      <c r="V134" s="581"/>
      <c r="W134" s="581"/>
      <c r="X134" s="581"/>
      <c r="Y134" s="581"/>
      <c r="Z134" s="581"/>
      <c r="AA134" s="1281" t="s">
        <v>163</v>
      </c>
      <c r="AB134" s="1281"/>
      <c r="AC134" s="1281"/>
      <c r="AD134" s="1281"/>
      <c r="AE134" s="1281"/>
      <c r="AF134" s="1281"/>
      <c r="AG134" s="1281"/>
      <c r="AH134" s="1281"/>
      <c r="AI134" s="1281"/>
      <c r="AJ134" s="1281"/>
      <c r="AK134" s="1281"/>
      <c r="AL134" s="1281"/>
      <c r="AM134" s="1281"/>
      <c r="AN134" s="581"/>
      <c r="AO134" s="1284" t="str">
        <f>+IF(AA134="igen","A saját erőnek el kell érnie a 40%-ot, vagy készfizető kezes (garantőr) szükséges, egyébként nem finanszírozható!","")</f>
        <v/>
      </c>
      <c r="AP134" s="1284"/>
      <c r="AQ134" s="1284"/>
      <c r="AR134" s="1284"/>
      <c r="AS134" s="1284"/>
      <c r="AT134" s="1284"/>
      <c r="AU134" s="1284"/>
      <c r="AV134" s="1284"/>
      <c r="AW134" s="1284"/>
      <c r="AX134" s="1284"/>
      <c r="AY134" s="1284"/>
      <c r="AZ134" s="1284"/>
      <c r="BA134" s="1284"/>
      <c r="BB134" s="1284"/>
      <c r="BC134" s="1284"/>
      <c r="BD134" s="1284"/>
      <c r="BE134" s="1284"/>
      <c r="BF134" s="1284"/>
      <c r="BG134" s="716"/>
      <c r="BH134" s="618"/>
      <c r="BI134" s="618"/>
      <c r="BJ134" s="618"/>
      <c r="BK134" s="618"/>
      <c r="BL134" s="618"/>
      <c r="BM134" s="715"/>
      <c r="BN134" s="546"/>
      <c r="BO134" s="566"/>
      <c r="BP134" s="566"/>
      <c r="BQ134" s="566"/>
      <c r="BR134" s="566"/>
      <c r="BS134" s="566"/>
      <c r="BT134" s="566"/>
      <c r="BU134" s="566"/>
      <c r="BV134" s="1243"/>
      <c r="BW134" s="1243"/>
      <c r="BX134" s="1252"/>
      <c r="BY134" s="1252"/>
      <c r="BZ134" s="1252"/>
      <c r="CA134" s="1242"/>
      <c r="CB134" s="1242"/>
      <c r="CC134" s="1242"/>
      <c r="CD134" s="1242"/>
      <c r="CE134" s="1242"/>
      <c r="CF134" s="1242"/>
      <c r="CG134" s="1242"/>
      <c r="CH134" s="1242"/>
      <c r="CI134" s="1242"/>
      <c r="CJ134" s="1242"/>
      <c r="CK134" s="1242"/>
      <c r="CL134" s="1242"/>
      <c r="CM134" s="1242"/>
      <c r="CN134" s="1242"/>
      <c r="CO134" s="1242"/>
      <c r="CP134" s="1242"/>
      <c r="CQ134" s="1242"/>
      <c r="CR134" s="1242"/>
      <c r="CS134" s="1242"/>
      <c r="CT134" s="1242"/>
      <c r="CU134" s="708"/>
      <c r="CV134" s="708"/>
      <c r="CW134" s="554"/>
      <c r="EJ134" s="546"/>
      <c r="EK134" s="546"/>
      <c r="EL134" s="546"/>
      <c r="EM134" s="546"/>
      <c r="EN134" s="546"/>
      <c r="EO134" s="546"/>
      <c r="EP134" s="546"/>
      <c r="EQ134" s="546"/>
      <c r="ER134" s="546"/>
      <c r="ES134" s="546"/>
      <c r="ET134" s="546"/>
      <c r="EU134" s="546"/>
      <c r="EV134" s="546"/>
      <c r="EW134" s="546"/>
      <c r="EX134" s="546"/>
      <c r="EY134" s="546"/>
      <c r="EZ134" s="546"/>
      <c r="FA134" s="546"/>
      <c r="FB134" s="546"/>
      <c r="FC134" s="546"/>
      <c r="FD134" s="546"/>
      <c r="FE134" s="546"/>
      <c r="FF134" s="546"/>
      <c r="FG134" s="546"/>
      <c r="FH134" s="546"/>
      <c r="FI134" s="546"/>
      <c r="FJ134" s="546"/>
      <c r="FK134" s="546"/>
      <c r="FL134" s="546"/>
      <c r="FM134" s="546"/>
      <c r="FN134" s="546"/>
      <c r="FO134" s="546"/>
      <c r="FP134" s="546"/>
      <c r="FQ134" s="546"/>
      <c r="FR134" s="546"/>
      <c r="FS134" s="546"/>
      <c r="FT134" s="546"/>
      <c r="FU134" s="546"/>
      <c r="FV134" s="546"/>
      <c r="FW134" s="546"/>
      <c r="FX134" s="546"/>
      <c r="FY134" s="546"/>
      <c r="FZ134" s="546"/>
      <c r="GA134" s="546"/>
      <c r="GB134" s="546"/>
      <c r="GC134" s="546"/>
      <c r="GD134" s="546"/>
      <c r="GE134" s="546"/>
      <c r="GF134" s="546"/>
      <c r="GG134" s="546"/>
      <c r="GH134" s="546"/>
      <c r="GI134" s="546"/>
      <c r="GJ134" s="546"/>
      <c r="GK134" s="546"/>
      <c r="GL134" s="546"/>
      <c r="GM134" s="546"/>
      <c r="GN134" s="546"/>
      <c r="GO134" s="546"/>
      <c r="GP134" s="546"/>
      <c r="GQ134" s="546"/>
      <c r="GR134" s="546"/>
      <c r="GS134" s="546"/>
      <c r="GT134" s="546"/>
      <c r="GU134" s="546"/>
      <c r="GV134" s="546"/>
      <c r="GW134" s="546"/>
      <c r="GX134" s="546"/>
      <c r="GY134" s="546"/>
      <c r="GZ134" s="546"/>
      <c r="HA134" s="546"/>
      <c r="HB134" s="546"/>
      <c r="HC134" s="546"/>
      <c r="HD134" s="546"/>
      <c r="HE134" s="546"/>
      <c r="HF134" s="546"/>
      <c r="HG134" s="546"/>
      <c r="HH134" s="546"/>
      <c r="HI134" s="546"/>
      <c r="HJ134" s="546"/>
    </row>
    <row r="135" spans="1:218" s="541" customFormat="1" ht="12" customHeight="1" x14ac:dyDescent="0.15">
      <c r="A135" s="588"/>
      <c r="B135" s="717"/>
      <c r="C135" s="606"/>
      <c r="D135" s="606"/>
      <c r="E135" s="606"/>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c r="AJ135" s="606"/>
      <c r="AK135" s="606"/>
      <c r="AL135" s="606"/>
      <c r="AM135" s="606"/>
      <c r="AN135" s="606"/>
      <c r="AO135" s="1285"/>
      <c r="AP135" s="1285"/>
      <c r="AQ135" s="1285"/>
      <c r="AR135" s="1285"/>
      <c r="AS135" s="1285"/>
      <c r="AT135" s="1285"/>
      <c r="AU135" s="1285"/>
      <c r="AV135" s="1285"/>
      <c r="AW135" s="1285"/>
      <c r="AX135" s="1285"/>
      <c r="AY135" s="1285"/>
      <c r="AZ135" s="1285"/>
      <c r="BA135" s="1285"/>
      <c r="BB135" s="1285"/>
      <c r="BC135" s="1285"/>
      <c r="BD135" s="1285"/>
      <c r="BE135" s="1285"/>
      <c r="BF135" s="1285"/>
      <c r="BG135" s="718"/>
      <c r="BH135" s="618"/>
      <c r="BI135" s="618"/>
      <c r="BJ135" s="618"/>
      <c r="BK135" s="618"/>
      <c r="BL135" s="618"/>
      <c r="BM135" s="715"/>
      <c r="BN135" s="546"/>
      <c r="BO135" s="566"/>
      <c r="BP135" s="566"/>
      <c r="BQ135" s="566"/>
      <c r="BR135" s="566"/>
      <c r="BS135" s="566"/>
      <c r="BT135" s="566"/>
      <c r="BU135" s="566"/>
      <c r="BV135" s="1243"/>
      <c r="BW135" s="1243"/>
      <c r="BX135" s="1252"/>
      <c r="BY135" s="1252"/>
      <c r="BZ135" s="1252"/>
      <c r="CA135" s="1242"/>
      <c r="CB135" s="1242"/>
      <c r="CC135" s="1242"/>
      <c r="CD135" s="1242"/>
      <c r="CE135" s="1242"/>
      <c r="CF135" s="1242"/>
      <c r="CG135" s="1242"/>
      <c r="CH135" s="1242"/>
      <c r="CI135" s="1242"/>
      <c r="CJ135" s="1242"/>
      <c r="CK135" s="1242"/>
      <c r="CL135" s="1242"/>
      <c r="CM135" s="1242"/>
      <c r="CN135" s="1242"/>
      <c r="CO135" s="1242"/>
      <c r="CP135" s="1242"/>
      <c r="CQ135" s="1242"/>
      <c r="CR135" s="1242"/>
      <c r="CS135" s="1242"/>
      <c r="CT135" s="1242"/>
      <c r="CU135" s="708"/>
      <c r="CV135" s="708"/>
      <c r="CW135" s="554"/>
      <c r="EJ135" s="546"/>
      <c r="EK135" s="546"/>
      <c r="EL135" s="546"/>
      <c r="EM135" s="546"/>
      <c r="EN135" s="546"/>
      <c r="EO135" s="546"/>
      <c r="EP135" s="546"/>
      <c r="EQ135" s="546"/>
      <c r="ER135" s="546"/>
      <c r="ES135" s="546"/>
      <c r="ET135" s="546"/>
      <c r="EU135" s="546"/>
      <c r="EV135" s="546"/>
      <c r="EW135" s="546"/>
      <c r="EX135" s="546"/>
      <c r="EY135" s="546"/>
      <c r="EZ135" s="546"/>
      <c r="FA135" s="546"/>
      <c r="FB135" s="546"/>
      <c r="FC135" s="546"/>
      <c r="FD135" s="546"/>
      <c r="FE135" s="546"/>
      <c r="FF135" s="546"/>
      <c r="FG135" s="546"/>
      <c r="FH135" s="546"/>
      <c r="FI135" s="546"/>
      <c r="FJ135" s="546"/>
      <c r="FK135" s="546"/>
      <c r="FL135" s="546"/>
      <c r="FM135" s="546"/>
      <c r="FN135" s="546"/>
      <c r="FO135" s="546"/>
      <c r="FP135" s="546"/>
      <c r="FQ135" s="546"/>
      <c r="FR135" s="546"/>
      <c r="FS135" s="546"/>
      <c r="FT135" s="546"/>
      <c r="FU135" s="546"/>
      <c r="FV135" s="546"/>
      <c r="FW135" s="546"/>
      <c r="FX135" s="546"/>
      <c r="FY135" s="546"/>
      <c r="FZ135" s="546"/>
      <c r="GA135" s="546"/>
      <c r="GB135" s="546"/>
      <c r="GC135" s="546"/>
      <c r="GD135" s="546"/>
      <c r="GE135" s="546"/>
      <c r="GF135" s="546"/>
      <c r="GG135" s="546"/>
      <c r="GH135" s="546"/>
      <c r="GI135" s="546"/>
      <c r="GJ135" s="546"/>
      <c r="GK135" s="546"/>
      <c r="GL135" s="546"/>
      <c r="GM135" s="546"/>
      <c r="GN135" s="546"/>
      <c r="GO135" s="546"/>
      <c r="GP135" s="546"/>
      <c r="GQ135" s="546"/>
      <c r="GR135" s="546"/>
      <c r="GS135" s="546"/>
      <c r="GT135" s="546"/>
      <c r="GU135" s="546"/>
      <c r="GV135" s="546"/>
      <c r="GW135" s="546"/>
      <c r="GX135" s="546"/>
      <c r="GY135" s="546"/>
      <c r="GZ135" s="546"/>
      <c r="HA135" s="546"/>
      <c r="HB135" s="546"/>
      <c r="HC135" s="546"/>
      <c r="HD135" s="546"/>
      <c r="HE135" s="546"/>
      <c r="HF135" s="546"/>
      <c r="HG135" s="546"/>
      <c r="HH135" s="546"/>
      <c r="HI135" s="546"/>
      <c r="HJ135" s="546"/>
    </row>
    <row r="136" spans="1:218" s="541" customFormat="1" ht="27" customHeight="1" x14ac:dyDescent="0.15">
      <c r="A136" s="588"/>
      <c r="B136" s="1278" t="s">
        <v>862</v>
      </c>
      <c r="C136" s="1279"/>
      <c r="D136" s="1279"/>
      <c r="E136" s="1279"/>
      <c r="F136" s="1279"/>
      <c r="G136" s="1279"/>
      <c r="H136" s="1279"/>
      <c r="I136" s="1279"/>
      <c r="J136" s="1279"/>
      <c r="K136" s="1279"/>
      <c r="L136" s="1279"/>
      <c r="M136" s="1279"/>
      <c r="N136" s="1279"/>
      <c r="O136" s="1279"/>
      <c r="P136" s="1279"/>
      <c r="Q136" s="1279"/>
      <c r="R136" s="1279"/>
      <c r="S136" s="1279"/>
      <c r="T136" s="1279"/>
      <c r="U136" s="1279"/>
      <c r="V136" s="1279"/>
      <c r="W136" s="1279"/>
      <c r="X136" s="1279"/>
      <c r="Y136" s="1279"/>
      <c r="Z136" s="1279"/>
      <c r="AA136" s="1279"/>
      <c r="AB136" s="1279"/>
      <c r="AC136" s="1279"/>
      <c r="AD136" s="1279"/>
      <c r="AE136" s="1279"/>
      <c r="AF136" s="1279"/>
      <c r="AG136" s="1279"/>
      <c r="AH136" s="1279"/>
      <c r="AI136" s="1279"/>
      <c r="AJ136" s="1279"/>
      <c r="AK136" s="1279"/>
      <c r="AL136" s="1279"/>
      <c r="AM136" s="1279"/>
      <c r="AN136" s="1279"/>
      <c r="AO136" s="1279"/>
      <c r="AP136" s="1279"/>
      <c r="AQ136" s="1279"/>
      <c r="AR136" s="1279"/>
      <c r="AS136" s="1279"/>
      <c r="AT136" s="1279"/>
      <c r="AU136" s="1279"/>
      <c r="AV136" s="1279"/>
      <c r="AW136" s="1279"/>
      <c r="AX136" s="1279"/>
      <c r="AY136" s="1279"/>
      <c r="AZ136" s="1279"/>
      <c r="BA136" s="1279"/>
      <c r="BB136" s="1279"/>
      <c r="BC136" s="1279"/>
      <c r="BD136" s="1279"/>
      <c r="BE136" s="1279"/>
      <c r="BF136" s="1279"/>
      <c r="BG136" s="1280"/>
      <c r="BH136" s="618"/>
      <c r="BI136" s="618"/>
      <c r="BJ136" s="618"/>
      <c r="BK136" s="618"/>
      <c r="BL136" s="618"/>
      <c r="BM136" s="715"/>
      <c r="BN136" s="546"/>
      <c r="BO136" s="566"/>
      <c r="BP136" s="566"/>
      <c r="BQ136" s="566"/>
      <c r="BR136" s="566"/>
      <c r="BS136" s="566"/>
      <c r="BT136" s="566"/>
      <c r="BU136" s="566"/>
      <c r="BV136" s="1243"/>
      <c r="BW136" s="1243"/>
      <c r="BX136" s="1252"/>
      <c r="BY136" s="1252"/>
      <c r="BZ136" s="1252"/>
      <c r="CA136" s="1242"/>
      <c r="CB136" s="1242"/>
      <c r="CC136" s="1242"/>
      <c r="CD136" s="1242"/>
      <c r="CE136" s="1242"/>
      <c r="CF136" s="1242"/>
      <c r="CG136" s="1242"/>
      <c r="CH136" s="1242"/>
      <c r="CI136" s="1242"/>
      <c r="CJ136" s="1242"/>
      <c r="CK136" s="1242"/>
      <c r="CL136" s="1242"/>
      <c r="CM136" s="1242"/>
      <c r="CN136" s="1242"/>
      <c r="CO136" s="1242"/>
      <c r="CP136" s="1242"/>
      <c r="CQ136" s="1242"/>
      <c r="CR136" s="1242"/>
      <c r="CS136" s="1242"/>
      <c r="CT136" s="1242"/>
      <c r="CU136" s="708"/>
      <c r="CV136" s="708"/>
      <c r="CW136" s="554"/>
      <c r="EJ136" s="546"/>
      <c r="EK136" s="546"/>
      <c r="EL136" s="546"/>
      <c r="EM136" s="546"/>
      <c r="EN136" s="546"/>
      <c r="EO136" s="546"/>
      <c r="EP136" s="546"/>
      <c r="EQ136" s="546"/>
      <c r="ER136" s="546"/>
      <c r="ES136" s="546"/>
      <c r="ET136" s="546"/>
      <c r="EU136" s="546"/>
      <c r="EV136" s="546"/>
      <c r="EW136" s="546"/>
      <c r="EX136" s="546"/>
      <c r="EY136" s="546"/>
      <c r="EZ136" s="546"/>
      <c r="FA136" s="546"/>
      <c r="FB136" s="546"/>
      <c r="FC136" s="546"/>
      <c r="FD136" s="546"/>
      <c r="FE136" s="546"/>
      <c r="FF136" s="546"/>
      <c r="FG136" s="546"/>
      <c r="FH136" s="546"/>
      <c r="FI136" s="546"/>
      <c r="FJ136" s="546"/>
      <c r="FK136" s="546"/>
      <c r="FL136" s="546"/>
      <c r="FM136" s="546"/>
      <c r="FN136" s="546"/>
      <c r="FO136" s="546"/>
      <c r="FP136" s="546"/>
      <c r="FQ136" s="546"/>
      <c r="FR136" s="546"/>
      <c r="FS136" s="546"/>
      <c r="FT136" s="546"/>
      <c r="FU136" s="546"/>
      <c r="FV136" s="546"/>
      <c r="FW136" s="546"/>
      <c r="FX136" s="546"/>
      <c r="FY136" s="546"/>
      <c r="FZ136" s="546"/>
      <c r="GA136" s="546"/>
      <c r="GB136" s="546"/>
      <c r="GC136" s="546"/>
      <c r="GD136" s="546"/>
      <c r="GE136" s="546"/>
      <c r="GF136" s="546"/>
      <c r="GG136" s="546"/>
      <c r="GH136" s="546"/>
      <c r="GI136" s="546"/>
      <c r="GJ136" s="546"/>
      <c r="GK136" s="546"/>
      <c r="GL136" s="546"/>
      <c r="GM136" s="546"/>
      <c r="GN136" s="546"/>
      <c r="GO136" s="546"/>
      <c r="GP136" s="546"/>
      <c r="GQ136" s="546"/>
      <c r="GR136" s="546"/>
      <c r="GS136" s="546"/>
      <c r="GT136" s="546"/>
      <c r="GU136" s="546"/>
      <c r="GV136" s="546"/>
      <c r="GW136" s="546"/>
      <c r="GX136" s="546"/>
      <c r="GY136" s="546"/>
      <c r="GZ136" s="546"/>
      <c r="HA136" s="546"/>
      <c r="HB136" s="546"/>
      <c r="HC136" s="546"/>
      <c r="HD136" s="546"/>
      <c r="HE136" s="546"/>
      <c r="HF136" s="546"/>
      <c r="HG136" s="546"/>
      <c r="HH136" s="546"/>
      <c r="HI136" s="546"/>
      <c r="HJ136" s="546"/>
    </row>
    <row r="137" spans="1:218" s="541" customFormat="1" ht="12" customHeight="1" x14ac:dyDescent="0.15">
      <c r="A137" s="588"/>
      <c r="B137" s="1254" t="s">
        <v>467</v>
      </c>
      <c r="C137" s="1255"/>
      <c r="D137" s="1255"/>
      <c r="E137" s="1255"/>
      <c r="F137" s="1255"/>
      <c r="G137" s="1255"/>
      <c r="H137" s="1255"/>
      <c r="I137" s="1255"/>
      <c r="J137" s="1255"/>
      <c r="K137" s="1255"/>
      <c r="L137" s="1255"/>
      <c r="M137" s="1255"/>
      <c r="N137" s="1255"/>
      <c r="O137" s="1255"/>
      <c r="P137" s="1255"/>
      <c r="Q137" s="1255"/>
      <c r="R137" s="1255"/>
      <c r="S137" s="1255"/>
      <c r="T137" s="1255"/>
      <c r="U137" s="1255"/>
      <c r="V137" s="1255"/>
      <c r="W137" s="1255"/>
      <c r="X137" s="1255"/>
      <c r="Y137" s="1255"/>
      <c r="Z137" s="1255"/>
      <c r="AA137" s="1255"/>
      <c r="AB137" s="1255"/>
      <c r="AC137" s="1255"/>
      <c r="AD137" s="1255"/>
      <c r="AE137" s="1255"/>
      <c r="AF137" s="1255"/>
      <c r="AG137" s="1255"/>
      <c r="AH137" s="1255"/>
      <c r="AI137" s="1255"/>
      <c r="AJ137" s="1255"/>
      <c r="AK137" s="1255"/>
      <c r="AL137" s="1255"/>
      <c r="AM137" s="1255"/>
      <c r="AN137" s="1255"/>
      <c r="AO137" s="1255"/>
      <c r="AP137" s="1255"/>
      <c r="AQ137" s="1255"/>
      <c r="AR137" s="1255"/>
      <c r="AS137" s="1255"/>
      <c r="AT137" s="1255"/>
      <c r="AU137" s="1255"/>
      <c r="AV137" s="1255"/>
      <c r="AW137" s="1255"/>
      <c r="AX137" s="1255"/>
      <c r="AY137" s="1255"/>
      <c r="AZ137" s="1255"/>
      <c r="BA137" s="1255"/>
      <c r="BB137" s="1255"/>
      <c r="BC137" s="1255"/>
      <c r="BD137" s="1255"/>
      <c r="BE137" s="1255"/>
      <c r="BF137" s="1255"/>
      <c r="BG137" s="1256"/>
      <c r="BH137" s="618"/>
      <c r="BI137" s="618"/>
      <c r="BJ137" s="618"/>
      <c r="BK137" s="618"/>
      <c r="BL137" s="618"/>
      <c r="BM137" s="715"/>
      <c r="BN137" s="546"/>
      <c r="BP137" s="566"/>
      <c r="BQ137" s="566"/>
      <c r="BR137" s="566"/>
      <c r="BS137" s="566"/>
      <c r="BU137" s="566"/>
      <c r="BV137" s="1243"/>
      <c r="BW137" s="1243"/>
      <c r="BX137" s="1252"/>
      <c r="BY137" s="1252"/>
      <c r="BZ137" s="1252"/>
      <c r="CA137" s="1242"/>
      <c r="CB137" s="1242"/>
      <c r="CC137" s="1242"/>
      <c r="CD137" s="1242"/>
      <c r="CE137" s="1242"/>
      <c r="CF137" s="1242"/>
      <c r="CG137" s="1242"/>
      <c r="CH137" s="1242"/>
      <c r="CI137" s="1242"/>
      <c r="CJ137" s="1242"/>
      <c r="CK137" s="1242"/>
      <c r="CL137" s="1242"/>
      <c r="CM137" s="1242"/>
      <c r="CN137" s="1242"/>
      <c r="CO137" s="1242"/>
      <c r="CP137" s="1242"/>
      <c r="CQ137" s="1242"/>
      <c r="CR137" s="1242"/>
      <c r="CS137" s="1242"/>
      <c r="CT137" s="1242"/>
      <c r="CU137" s="708"/>
      <c r="CV137" s="708"/>
      <c r="CW137" s="554"/>
      <c r="EJ137" s="546"/>
      <c r="EK137" s="546"/>
      <c r="EL137" s="546"/>
      <c r="EM137" s="546"/>
      <c r="EN137" s="546"/>
      <c r="EO137" s="546"/>
      <c r="EP137" s="546"/>
      <c r="EQ137" s="546"/>
      <c r="ER137" s="546"/>
      <c r="ES137" s="546"/>
      <c r="ET137" s="546"/>
      <c r="EU137" s="546"/>
      <c r="EV137" s="546"/>
      <c r="EW137" s="546"/>
      <c r="EX137" s="546"/>
      <c r="EY137" s="546"/>
      <c r="EZ137" s="546"/>
      <c r="FA137" s="546"/>
      <c r="FB137" s="546"/>
      <c r="FC137" s="546"/>
      <c r="FD137" s="546"/>
      <c r="FE137" s="546"/>
      <c r="FF137" s="546"/>
      <c r="FG137" s="546"/>
      <c r="FH137" s="546"/>
      <c r="FI137" s="546"/>
      <c r="FJ137" s="546"/>
      <c r="FK137" s="546"/>
      <c r="FL137" s="546"/>
      <c r="FM137" s="546"/>
      <c r="FN137" s="546"/>
      <c r="FO137" s="546"/>
      <c r="FP137" s="546"/>
      <c r="FQ137" s="546"/>
      <c r="FR137" s="546"/>
      <c r="FS137" s="546"/>
      <c r="FT137" s="546"/>
      <c r="FU137" s="546"/>
      <c r="FV137" s="546"/>
      <c r="FW137" s="546"/>
      <c r="FX137" s="546"/>
      <c r="FY137" s="546"/>
      <c r="FZ137" s="546"/>
      <c r="GA137" s="546"/>
      <c r="GB137" s="546"/>
      <c r="GC137" s="546"/>
      <c r="GD137" s="546"/>
      <c r="GE137" s="546"/>
      <c r="GF137" s="546"/>
      <c r="GG137" s="546"/>
      <c r="GH137" s="546"/>
      <c r="GI137" s="546"/>
      <c r="GJ137" s="546"/>
      <c r="GK137" s="546"/>
      <c r="GL137" s="546"/>
      <c r="GM137" s="546"/>
      <c r="GN137" s="546"/>
      <c r="GO137" s="546"/>
      <c r="GP137" s="546"/>
      <c r="GQ137" s="546"/>
      <c r="GR137" s="546"/>
      <c r="GS137" s="546"/>
      <c r="GT137" s="546"/>
      <c r="GU137" s="546"/>
      <c r="GV137" s="546"/>
      <c r="GW137" s="546"/>
      <c r="GX137" s="546"/>
      <c r="GY137" s="546"/>
      <c r="GZ137" s="546"/>
      <c r="HA137" s="546"/>
      <c r="HB137" s="546"/>
      <c r="HC137" s="546"/>
      <c r="HD137" s="546"/>
      <c r="HE137" s="546"/>
      <c r="HF137" s="546"/>
      <c r="HG137" s="546"/>
      <c r="HH137" s="546"/>
      <c r="HI137" s="546"/>
      <c r="HJ137" s="546"/>
    </row>
    <row r="138" spans="1:218" s="541" customFormat="1" ht="15" customHeight="1" x14ac:dyDescent="0.15">
      <c r="A138" s="588"/>
      <c r="B138" s="1260"/>
      <c r="C138" s="1261"/>
      <c r="D138" s="1261"/>
      <c r="E138" s="1261"/>
      <c r="F138" s="1261"/>
      <c r="G138" s="1261"/>
      <c r="H138" s="1261"/>
      <c r="I138" s="1261"/>
      <c r="J138" s="1261"/>
      <c r="K138" s="1261"/>
      <c r="L138" s="1261"/>
      <c r="M138" s="1261"/>
      <c r="N138" s="1261"/>
      <c r="O138" s="1261"/>
      <c r="P138" s="1261"/>
      <c r="Q138" s="1261"/>
      <c r="R138" s="1261"/>
      <c r="S138" s="1261"/>
      <c r="T138" s="1261"/>
      <c r="U138" s="1261"/>
      <c r="V138" s="1261"/>
      <c r="W138" s="1261"/>
      <c r="X138" s="1261"/>
      <c r="Y138" s="1261"/>
      <c r="Z138" s="1261"/>
      <c r="AA138" s="1261"/>
      <c r="AB138" s="1261"/>
      <c r="AC138" s="1261"/>
      <c r="AD138" s="1261"/>
      <c r="AE138" s="1261"/>
      <c r="AF138" s="1261"/>
      <c r="AG138" s="1261"/>
      <c r="AH138" s="1261"/>
      <c r="AI138" s="1261"/>
      <c r="AJ138" s="1261"/>
      <c r="AK138" s="1261"/>
      <c r="AL138" s="1261"/>
      <c r="AM138" s="1261"/>
      <c r="AN138" s="1261"/>
      <c r="AO138" s="1261"/>
      <c r="AP138" s="1261"/>
      <c r="AQ138" s="1261"/>
      <c r="AR138" s="1261"/>
      <c r="AS138" s="1261"/>
      <c r="AT138" s="1261"/>
      <c r="AU138" s="1261"/>
      <c r="AV138" s="1261"/>
      <c r="AW138" s="1261"/>
      <c r="AX138" s="1261"/>
      <c r="AY138" s="1261"/>
      <c r="AZ138" s="1261"/>
      <c r="BA138" s="1261"/>
      <c r="BB138" s="1261"/>
      <c r="BC138" s="1261"/>
      <c r="BD138" s="1261"/>
      <c r="BE138" s="1261"/>
      <c r="BF138" s="1261"/>
      <c r="BG138" s="1262"/>
      <c r="BH138" s="618"/>
      <c r="BI138" s="618"/>
      <c r="BJ138" s="618"/>
      <c r="BK138" s="618"/>
      <c r="BL138" s="618"/>
      <c r="BM138" s="715"/>
      <c r="BN138" s="546"/>
      <c r="BP138" s="566"/>
      <c r="BQ138" s="566"/>
      <c r="BR138" s="566"/>
      <c r="BS138" s="566"/>
      <c r="BU138" s="566"/>
      <c r="BV138" s="1243"/>
      <c r="BW138" s="1243"/>
      <c r="BX138" s="1252"/>
      <c r="BY138" s="1252"/>
      <c r="BZ138" s="1252"/>
      <c r="CA138" s="1242"/>
      <c r="CB138" s="1242"/>
      <c r="CC138" s="1242"/>
      <c r="CD138" s="1242"/>
      <c r="CE138" s="1242"/>
      <c r="CF138" s="1242"/>
      <c r="CG138" s="1242"/>
      <c r="CH138" s="1242"/>
      <c r="CI138" s="1242"/>
      <c r="CJ138" s="1242"/>
      <c r="CK138" s="1242"/>
      <c r="CL138" s="1242"/>
      <c r="CM138" s="1242"/>
      <c r="CN138" s="1242"/>
      <c r="CO138" s="1242"/>
      <c r="CP138" s="1242"/>
      <c r="CQ138" s="1242"/>
      <c r="CR138" s="1242"/>
      <c r="CS138" s="1242"/>
      <c r="CT138" s="1242"/>
      <c r="CU138" s="708"/>
      <c r="CV138" s="708"/>
      <c r="CW138" s="554"/>
      <c r="EJ138" s="546"/>
      <c r="EK138" s="546"/>
      <c r="EL138" s="546"/>
      <c r="EM138" s="546"/>
      <c r="EN138" s="546"/>
      <c r="EO138" s="546"/>
      <c r="EP138" s="546"/>
      <c r="EQ138" s="546"/>
      <c r="ER138" s="546"/>
      <c r="ES138" s="546"/>
      <c r="ET138" s="546"/>
      <c r="EU138" s="546"/>
      <c r="EV138" s="546"/>
      <c r="EW138" s="546"/>
      <c r="EX138" s="546"/>
      <c r="EY138" s="546"/>
      <c r="EZ138" s="546"/>
      <c r="FA138" s="546"/>
      <c r="FB138" s="546"/>
      <c r="FC138" s="546"/>
      <c r="FD138" s="546"/>
      <c r="FE138" s="546"/>
      <c r="FF138" s="546"/>
      <c r="FG138" s="546"/>
      <c r="FH138" s="546"/>
      <c r="FI138" s="546"/>
      <c r="FJ138" s="546"/>
      <c r="FK138" s="546"/>
      <c r="FL138" s="546"/>
      <c r="FM138" s="546"/>
      <c r="FN138" s="546"/>
      <c r="FO138" s="546"/>
      <c r="FP138" s="546"/>
      <c r="FQ138" s="546"/>
      <c r="FR138" s="546"/>
      <c r="FS138" s="546"/>
      <c r="FT138" s="546"/>
      <c r="FU138" s="546"/>
      <c r="FV138" s="546"/>
      <c r="FW138" s="546"/>
      <c r="FX138" s="546"/>
      <c r="FY138" s="546"/>
      <c r="FZ138" s="546"/>
      <c r="GA138" s="546"/>
      <c r="GB138" s="546"/>
      <c r="GC138" s="546"/>
      <c r="GD138" s="546"/>
      <c r="GE138" s="546"/>
      <c r="GF138" s="546"/>
      <c r="GG138" s="546"/>
      <c r="GH138" s="546"/>
      <c r="GI138" s="546"/>
      <c r="GJ138" s="546"/>
      <c r="GK138" s="546"/>
      <c r="GL138" s="546"/>
      <c r="GM138" s="546"/>
      <c r="GN138" s="546"/>
      <c r="GO138" s="546"/>
      <c r="GP138" s="546"/>
      <c r="GQ138" s="546"/>
      <c r="GR138" s="546"/>
      <c r="GS138" s="546"/>
      <c r="GT138" s="546"/>
      <c r="GU138" s="546"/>
      <c r="GV138" s="546"/>
      <c r="GW138" s="546"/>
      <c r="GX138" s="546"/>
      <c r="GY138" s="546"/>
      <c r="GZ138" s="546"/>
      <c r="HA138" s="546"/>
      <c r="HB138" s="546"/>
      <c r="HC138" s="546"/>
      <c r="HD138" s="546"/>
      <c r="HE138" s="546"/>
      <c r="HF138" s="546"/>
      <c r="HG138" s="546"/>
      <c r="HH138" s="546"/>
      <c r="HI138" s="546"/>
      <c r="HJ138" s="546"/>
    </row>
    <row r="139" spans="1:218" s="541" customFormat="1" ht="16.5" customHeight="1" x14ac:dyDescent="0.15">
      <c r="A139" s="588"/>
      <c r="B139" s="719"/>
      <c r="C139" s="720"/>
      <c r="D139" s="721"/>
      <c r="E139" s="722"/>
      <c r="F139" s="722"/>
      <c r="G139" s="722"/>
      <c r="H139" s="722"/>
      <c r="I139" s="722"/>
      <c r="J139" s="722"/>
      <c r="K139" s="722"/>
      <c r="L139" s="722"/>
      <c r="M139" s="722"/>
      <c r="N139" s="722"/>
      <c r="O139" s="722"/>
      <c r="P139" s="722"/>
      <c r="Q139" s="722"/>
      <c r="R139" s="722"/>
      <c r="S139" s="722"/>
      <c r="T139" s="722"/>
      <c r="U139" s="722"/>
      <c r="V139" s="720"/>
      <c r="W139" s="720"/>
      <c r="X139" s="720"/>
      <c r="Y139" s="720"/>
      <c r="Z139" s="720"/>
      <c r="AA139" s="720"/>
      <c r="AB139" s="720"/>
      <c r="AC139" s="720"/>
      <c r="AD139" s="720"/>
      <c r="AE139" s="720"/>
      <c r="AF139" s="720"/>
      <c r="AG139" s="720"/>
      <c r="AH139" s="720"/>
      <c r="AI139" s="720"/>
      <c r="AJ139" s="720"/>
      <c r="AK139" s="720"/>
      <c r="AL139" s="720"/>
      <c r="AM139" s="720"/>
      <c r="AN139" s="720"/>
      <c r="AO139" s="720"/>
      <c r="AP139" s="720"/>
      <c r="AQ139" s="720"/>
      <c r="AR139" s="720"/>
      <c r="AS139" s="720"/>
      <c r="AT139" s="720"/>
      <c r="AU139" s="720"/>
      <c r="AV139" s="720"/>
      <c r="AW139" s="720"/>
      <c r="AX139" s="720"/>
      <c r="AY139" s="720"/>
      <c r="AZ139" s="720"/>
      <c r="BA139" s="720"/>
      <c r="BB139" s="720"/>
      <c r="BC139" s="720"/>
      <c r="BD139" s="720"/>
      <c r="BE139" s="720"/>
      <c r="BF139" s="720"/>
      <c r="BG139" s="723"/>
      <c r="BH139" s="618"/>
      <c r="BI139" s="546"/>
      <c r="BJ139" s="546"/>
      <c r="BK139" s="546"/>
      <c r="BL139" s="546"/>
      <c r="BM139" s="711"/>
      <c r="BN139" s="546"/>
      <c r="BP139" s="566"/>
      <c r="BQ139" s="566"/>
      <c r="BR139" s="566"/>
      <c r="BS139" s="566"/>
      <c r="BU139" s="566"/>
      <c r="BV139" s="1243"/>
      <c r="BW139" s="1243"/>
      <c r="BX139" s="1252"/>
      <c r="BY139" s="1252"/>
      <c r="BZ139" s="1252"/>
      <c r="CA139" s="1242"/>
      <c r="CB139" s="1242"/>
      <c r="CC139" s="1242"/>
      <c r="CD139" s="1242"/>
      <c r="CE139" s="1242"/>
      <c r="CF139" s="1242"/>
      <c r="CG139" s="1242"/>
      <c r="CH139" s="1242"/>
      <c r="CI139" s="1242"/>
      <c r="CJ139" s="1242"/>
      <c r="CK139" s="1242"/>
      <c r="CL139" s="1242"/>
      <c r="CM139" s="1242"/>
      <c r="CN139" s="1242"/>
      <c r="CO139" s="1242"/>
      <c r="CP139" s="1242"/>
      <c r="CQ139" s="1242"/>
      <c r="CR139" s="1242"/>
      <c r="CS139" s="1242"/>
      <c r="CT139" s="1242"/>
      <c r="CU139" s="708"/>
      <c r="CV139" s="708"/>
      <c r="CW139" s="554"/>
      <c r="EJ139" s="546"/>
      <c r="EK139" s="546"/>
      <c r="EL139" s="546"/>
      <c r="EM139" s="546"/>
      <c r="EN139" s="546"/>
      <c r="EO139" s="546"/>
      <c r="EP139" s="546"/>
      <c r="EQ139" s="546"/>
      <c r="ER139" s="546"/>
      <c r="ES139" s="546"/>
      <c r="ET139" s="546"/>
      <c r="EU139" s="546"/>
      <c r="EV139" s="546"/>
      <c r="EW139" s="546"/>
      <c r="EX139" s="546"/>
      <c r="EY139" s="546"/>
      <c r="EZ139" s="546"/>
      <c r="FA139" s="546"/>
      <c r="FB139" s="546"/>
      <c r="FC139" s="546"/>
      <c r="FD139" s="546"/>
      <c r="FE139" s="546"/>
      <c r="FF139" s="546"/>
      <c r="FG139" s="546"/>
      <c r="FH139" s="546"/>
      <c r="FI139" s="546"/>
      <c r="FJ139" s="546"/>
      <c r="FK139" s="546"/>
      <c r="FL139" s="546"/>
      <c r="FM139" s="546"/>
      <c r="FN139" s="546"/>
      <c r="FO139" s="546"/>
      <c r="FP139" s="546"/>
      <c r="FQ139" s="546"/>
      <c r="FR139" s="546"/>
      <c r="FS139" s="546"/>
      <c r="FT139" s="546"/>
      <c r="FU139" s="546"/>
      <c r="FV139" s="546"/>
      <c r="FW139" s="546"/>
      <c r="FX139" s="546"/>
      <c r="FY139" s="546"/>
      <c r="FZ139" s="546"/>
      <c r="GA139" s="546"/>
      <c r="GB139" s="546"/>
      <c r="GC139" s="546"/>
      <c r="GD139" s="546"/>
      <c r="GE139" s="546"/>
      <c r="GF139" s="546"/>
      <c r="GG139" s="546"/>
      <c r="GH139" s="546"/>
      <c r="GI139" s="546"/>
      <c r="GJ139" s="546"/>
      <c r="GK139" s="546"/>
      <c r="GL139" s="546"/>
      <c r="GM139" s="546"/>
      <c r="GN139" s="546"/>
      <c r="GO139" s="546"/>
      <c r="GP139" s="546"/>
      <c r="GQ139" s="546"/>
      <c r="GR139" s="546"/>
      <c r="GS139" s="546"/>
      <c r="GT139" s="546"/>
      <c r="GU139" s="546"/>
      <c r="GV139" s="546"/>
      <c r="GW139" s="546"/>
      <c r="GX139" s="546"/>
      <c r="GY139" s="546"/>
      <c r="GZ139" s="546"/>
      <c r="HA139" s="546"/>
      <c r="HB139" s="546"/>
      <c r="HC139" s="546"/>
      <c r="HD139" s="546"/>
      <c r="HE139" s="546"/>
      <c r="HF139" s="546"/>
      <c r="HG139" s="546"/>
      <c r="HH139" s="546"/>
      <c r="HI139" s="546"/>
      <c r="HJ139" s="546"/>
    </row>
    <row r="140" spans="1:218" s="541" customFormat="1" ht="18" customHeight="1" x14ac:dyDescent="0.15">
      <c r="A140" s="550"/>
      <c r="B140" s="597"/>
      <c r="C140" s="550"/>
      <c r="D140" s="724" t="s">
        <v>152</v>
      </c>
      <c r="E140" s="725"/>
      <c r="F140" s="725"/>
      <c r="G140" s="725"/>
      <c r="H140" s="725"/>
      <c r="I140" s="725"/>
      <c r="J140" s="725"/>
      <c r="K140" s="725"/>
      <c r="L140" s="726"/>
      <c r="M140" s="726"/>
      <c r="N140" s="726"/>
      <c r="O140" s="726"/>
      <c r="P140" s="726"/>
      <c r="Q140" s="726"/>
      <c r="R140" s="726"/>
      <c r="S140" s="726"/>
      <c r="T140" s="726"/>
      <c r="U140" s="726"/>
      <c r="V140" s="725"/>
      <c r="W140" s="725"/>
      <c r="X140" s="725"/>
      <c r="Y140" s="727"/>
      <c r="Z140" s="1268" t="s">
        <v>1005</v>
      </c>
      <c r="AA140" s="1268"/>
      <c r="AB140" s="1268"/>
      <c r="AC140" s="1268"/>
      <c r="AD140" s="1268"/>
      <c r="AE140" s="1268"/>
      <c r="AF140" s="1268"/>
      <c r="AG140" s="1268"/>
      <c r="AH140" s="939"/>
      <c r="AI140" s="1268" t="s">
        <v>110</v>
      </c>
      <c r="AJ140" s="1268"/>
      <c r="AK140" s="1268"/>
      <c r="AL140" s="1268"/>
      <c r="AM140" s="1268"/>
      <c r="AN140" s="1268"/>
      <c r="AO140" s="938"/>
      <c r="AP140" s="1268" t="s">
        <v>110</v>
      </c>
      <c r="AQ140" s="1268"/>
      <c r="AR140" s="1268"/>
      <c r="AS140" s="1268"/>
      <c r="AT140" s="728"/>
      <c r="AU140" s="728"/>
      <c r="AV140" s="728"/>
      <c r="AW140" s="728"/>
      <c r="AX140" s="729"/>
      <c r="AY140" s="725"/>
      <c r="AZ140" s="1287" t="s">
        <v>153</v>
      </c>
      <c r="BA140" s="1287"/>
      <c r="BB140" s="1287"/>
      <c r="BC140" s="1287"/>
      <c r="BD140" s="727"/>
      <c r="BE140" s="727"/>
      <c r="BF140" s="727"/>
      <c r="BG140" s="598"/>
      <c r="BH140" s="618"/>
      <c r="BI140" s="546"/>
      <c r="BJ140" s="546"/>
      <c r="BK140" s="546"/>
      <c r="BL140" s="546"/>
      <c r="BM140" s="711"/>
      <c r="BN140" s="546"/>
      <c r="BV140" s="1243"/>
      <c r="BW140" s="1243"/>
      <c r="BX140" s="1252"/>
      <c r="BY140" s="1252"/>
      <c r="BZ140" s="1252"/>
      <c r="CA140" s="1242"/>
      <c r="CB140" s="1242"/>
      <c r="CC140" s="1242"/>
      <c r="CD140" s="1242"/>
      <c r="CE140" s="1242"/>
      <c r="CF140" s="1242"/>
      <c r="CG140" s="1242"/>
      <c r="CH140" s="1242"/>
      <c r="CI140" s="1242"/>
      <c r="CJ140" s="1242"/>
      <c r="CK140" s="1242"/>
      <c r="CL140" s="1242"/>
      <c r="CM140" s="1242"/>
      <c r="CN140" s="1242"/>
      <c r="CO140" s="1242"/>
      <c r="CP140" s="1242"/>
      <c r="CQ140" s="1242"/>
      <c r="CR140" s="1242"/>
      <c r="CS140" s="1242"/>
      <c r="CT140" s="1242"/>
      <c r="CU140" s="708"/>
      <c r="CV140" s="708"/>
      <c r="CW140" s="554"/>
      <c r="EJ140" s="546"/>
      <c r="EK140" s="546"/>
      <c r="EL140" s="546"/>
      <c r="EM140" s="546"/>
      <c r="EN140" s="546"/>
      <c r="EO140" s="546"/>
      <c r="EP140" s="546"/>
      <c r="EQ140" s="546"/>
      <c r="ER140" s="546"/>
      <c r="ES140" s="546"/>
      <c r="ET140" s="546"/>
      <c r="EU140" s="546"/>
      <c r="EV140" s="546"/>
      <c r="EW140" s="546"/>
      <c r="EX140" s="546"/>
      <c r="EY140" s="546"/>
      <c r="EZ140" s="546"/>
      <c r="FA140" s="546"/>
      <c r="FB140" s="546"/>
      <c r="FC140" s="546"/>
      <c r="FD140" s="546"/>
      <c r="FE140" s="546"/>
      <c r="FF140" s="546"/>
      <c r="FG140" s="546"/>
      <c r="FH140" s="546"/>
      <c r="FI140" s="546"/>
      <c r="FJ140" s="546"/>
      <c r="FK140" s="546"/>
      <c r="FL140" s="546"/>
      <c r="FM140" s="546"/>
      <c r="FN140" s="546"/>
      <c r="FO140" s="546"/>
      <c r="FP140" s="546"/>
      <c r="FQ140" s="546"/>
      <c r="FR140" s="546"/>
      <c r="FS140" s="546"/>
      <c r="FT140" s="546"/>
      <c r="FU140" s="546"/>
      <c r="FV140" s="546"/>
      <c r="FW140" s="546"/>
      <c r="FX140" s="546"/>
      <c r="FY140" s="546"/>
      <c r="FZ140" s="546"/>
      <c r="GA140" s="546"/>
      <c r="GB140" s="546"/>
      <c r="GC140" s="546"/>
      <c r="GD140" s="546"/>
      <c r="GE140" s="546"/>
      <c r="GF140" s="546"/>
      <c r="GG140" s="546"/>
      <c r="GH140" s="546"/>
      <c r="GI140" s="546"/>
      <c r="GJ140" s="546"/>
      <c r="GK140" s="546"/>
      <c r="GL140" s="546"/>
      <c r="GM140" s="546"/>
      <c r="GN140" s="546"/>
      <c r="GO140" s="546"/>
      <c r="GP140" s="546"/>
      <c r="GQ140" s="546"/>
      <c r="GR140" s="546"/>
      <c r="GS140" s="546"/>
      <c r="GT140" s="546"/>
      <c r="GU140" s="546"/>
      <c r="GV140" s="546"/>
      <c r="GW140" s="546"/>
      <c r="GX140" s="546"/>
      <c r="GY140" s="546"/>
      <c r="GZ140" s="546"/>
      <c r="HA140" s="546"/>
      <c r="HB140" s="546"/>
      <c r="HC140" s="546"/>
      <c r="HD140" s="546"/>
      <c r="HE140" s="546"/>
      <c r="HF140" s="546"/>
      <c r="HG140" s="546"/>
      <c r="HH140" s="546"/>
      <c r="HI140" s="546"/>
      <c r="HJ140" s="546"/>
    </row>
    <row r="141" spans="1:218" s="541" customFormat="1" ht="14" x14ac:dyDescent="0.15">
      <c r="A141" s="550"/>
      <c r="B141" s="597"/>
      <c r="C141" s="550"/>
      <c r="D141" s="724"/>
      <c r="E141" s="725"/>
      <c r="F141" s="725"/>
      <c r="G141" s="725"/>
      <c r="H141" s="725"/>
      <c r="I141" s="725"/>
      <c r="J141" s="725"/>
      <c r="K141" s="725"/>
      <c r="L141" s="726"/>
      <c r="M141" s="726"/>
      <c r="N141" s="726"/>
      <c r="O141" s="726"/>
      <c r="P141" s="726"/>
      <c r="Q141" s="726"/>
      <c r="R141" s="726"/>
      <c r="S141" s="726"/>
      <c r="T141" s="726"/>
      <c r="U141" s="726"/>
      <c r="V141" s="725"/>
      <c r="W141" s="725"/>
      <c r="X141" s="725"/>
      <c r="Y141" s="1129"/>
      <c r="Z141" s="1130"/>
      <c r="AA141" s="1130"/>
      <c r="AB141" s="1130"/>
      <c r="AC141" s="1130"/>
      <c r="AD141" s="1130"/>
      <c r="AE141" s="1130"/>
      <c r="AF141" s="1130"/>
      <c r="AG141" s="1130"/>
      <c r="AH141" s="939"/>
      <c r="AI141" s="1130"/>
      <c r="AJ141" s="1130"/>
      <c r="AK141" s="1130"/>
      <c r="AL141" s="1130"/>
      <c r="AM141" s="1130"/>
      <c r="AN141" s="1130"/>
      <c r="AO141" s="938"/>
      <c r="AP141" s="1130"/>
      <c r="AQ141" s="1130"/>
      <c r="AR141" s="1130"/>
      <c r="AS141" s="1130"/>
      <c r="AT141" s="728"/>
      <c r="AU141" s="728"/>
      <c r="AV141" s="728"/>
      <c r="AW141" s="728"/>
      <c r="AX141" s="729"/>
      <c r="AY141" s="725"/>
      <c r="AZ141" s="1129"/>
      <c r="BA141" s="1129"/>
      <c r="BB141" s="1129"/>
      <c r="BC141" s="1129"/>
      <c r="BD141" s="1129"/>
      <c r="BE141" s="1129"/>
      <c r="BF141" s="1129"/>
      <c r="BG141" s="598"/>
      <c r="BH141" s="546"/>
      <c r="BM141" s="599"/>
      <c r="BN141" s="566"/>
      <c r="BP141" s="566"/>
      <c r="BQ141" s="566"/>
      <c r="BR141" s="566"/>
      <c r="BS141" s="566"/>
      <c r="BU141" s="566"/>
      <c r="BV141" s="1243"/>
      <c r="BW141" s="1243"/>
      <c r="BX141" s="1252"/>
      <c r="BY141" s="1252"/>
      <c r="BZ141" s="1252"/>
      <c r="CA141" s="1242"/>
      <c r="CB141" s="1242"/>
      <c r="CC141" s="1242"/>
      <c r="CD141" s="1242"/>
      <c r="CE141" s="1242"/>
      <c r="CF141" s="1242"/>
      <c r="CG141" s="1242"/>
      <c r="CH141" s="1242"/>
      <c r="CI141" s="1242"/>
      <c r="CJ141" s="1242"/>
      <c r="CK141" s="1242"/>
      <c r="CL141" s="1242"/>
      <c r="CM141" s="1242"/>
      <c r="CN141" s="1242"/>
      <c r="CO141" s="1242"/>
      <c r="CP141" s="1242"/>
      <c r="CQ141" s="1242"/>
      <c r="CR141" s="1242"/>
      <c r="CS141" s="1242"/>
      <c r="CT141" s="1242"/>
      <c r="CU141" s="708"/>
      <c r="CV141" s="708"/>
      <c r="CW141" s="554"/>
      <c r="EJ141" s="546"/>
      <c r="EK141" s="546"/>
      <c r="EL141" s="546"/>
      <c r="EM141" s="546"/>
      <c r="EN141" s="546"/>
      <c r="EO141" s="546"/>
      <c r="EP141" s="546"/>
      <c r="EQ141" s="546"/>
      <c r="ER141" s="546"/>
      <c r="ES141" s="546"/>
      <c r="ET141" s="546"/>
      <c r="EU141" s="546"/>
      <c r="EV141" s="546"/>
      <c r="EW141" s="546"/>
      <c r="EX141" s="546"/>
      <c r="EY141" s="546"/>
      <c r="EZ141" s="546"/>
      <c r="FA141" s="546"/>
      <c r="FB141" s="546"/>
      <c r="FC141" s="546"/>
      <c r="FD141" s="546"/>
      <c r="FE141" s="546"/>
      <c r="FF141" s="546"/>
      <c r="FG141" s="546"/>
      <c r="FH141" s="546"/>
      <c r="FI141" s="546"/>
      <c r="FJ141" s="546"/>
      <c r="FK141" s="546"/>
      <c r="FL141" s="546"/>
      <c r="FM141" s="546"/>
      <c r="FN141" s="546"/>
      <c r="FO141" s="546"/>
      <c r="FP141" s="546"/>
      <c r="FQ141" s="546"/>
      <c r="FR141" s="546"/>
      <c r="FS141" s="546"/>
      <c r="FT141" s="546"/>
      <c r="FU141" s="546"/>
      <c r="FV141" s="546"/>
      <c r="FW141" s="546"/>
      <c r="FX141" s="546"/>
      <c r="FY141" s="546"/>
      <c r="FZ141" s="546"/>
      <c r="GA141" s="546"/>
      <c r="GB141" s="546"/>
      <c r="GC141" s="546"/>
      <c r="GD141" s="546"/>
      <c r="GE141" s="546"/>
      <c r="GF141" s="546"/>
      <c r="GG141" s="546"/>
      <c r="GH141" s="546"/>
      <c r="GI141" s="546"/>
      <c r="GJ141" s="546"/>
      <c r="GK141" s="546"/>
      <c r="GL141" s="546"/>
      <c r="GM141" s="546"/>
      <c r="GN141" s="546"/>
      <c r="GO141" s="546"/>
      <c r="GP141" s="546"/>
      <c r="GQ141" s="546"/>
      <c r="GR141" s="546"/>
      <c r="GS141" s="546"/>
      <c r="GT141" s="546"/>
      <c r="GU141" s="546"/>
      <c r="GV141" s="546"/>
      <c r="GW141" s="546"/>
      <c r="GX141" s="546"/>
      <c r="GY141" s="546"/>
      <c r="GZ141" s="546"/>
      <c r="HA141" s="546"/>
      <c r="HB141" s="546"/>
      <c r="HC141" s="546"/>
      <c r="HD141" s="546"/>
      <c r="HE141" s="546"/>
      <c r="HF141" s="546"/>
      <c r="HG141" s="546"/>
      <c r="HH141" s="546"/>
      <c r="HI141" s="546"/>
      <c r="HJ141" s="546"/>
    </row>
    <row r="142" spans="1:218" s="541" customFormat="1" ht="14" x14ac:dyDescent="0.15">
      <c r="A142" s="550"/>
      <c r="B142" s="597"/>
      <c r="C142" s="550"/>
      <c r="D142" s="731" t="s">
        <v>1143</v>
      </c>
      <c r="E142" s="725"/>
      <c r="F142" s="725"/>
      <c r="G142" s="725"/>
      <c r="H142" s="725"/>
      <c r="I142" s="725"/>
      <c r="J142" s="725"/>
      <c r="K142" s="725"/>
      <c r="L142" s="726"/>
      <c r="M142" s="726"/>
      <c r="N142" s="726"/>
      <c r="O142" s="726"/>
      <c r="P142" s="726"/>
      <c r="Q142" s="726"/>
      <c r="R142" s="726"/>
      <c r="S142" s="726"/>
      <c r="T142" s="726"/>
      <c r="U142" s="726"/>
      <c r="V142" s="725"/>
      <c r="W142" s="725"/>
      <c r="X142" s="725"/>
      <c r="Y142" s="1129"/>
      <c r="Z142" s="1253"/>
      <c r="AA142" s="1253"/>
      <c r="AB142" s="1253"/>
      <c r="AC142" s="1253"/>
      <c r="AD142" s="1253"/>
      <c r="AE142" s="1253"/>
      <c r="AF142" s="1253"/>
      <c r="AG142" s="1253"/>
      <c r="AH142" s="939"/>
      <c r="AI142" s="1267"/>
      <c r="AJ142" s="1267"/>
      <c r="AK142" s="1267"/>
      <c r="AL142" s="1267"/>
      <c r="AM142" s="1267"/>
      <c r="AN142" s="1267"/>
      <c r="AO142" s="938"/>
      <c r="AP142" s="1253"/>
      <c r="AQ142" s="1253"/>
      <c r="AR142" s="1253"/>
      <c r="AS142" s="1253"/>
      <c r="AT142" s="728"/>
      <c r="AU142" s="728"/>
      <c r="AV142" s="728"/>
      <c r="AW142" s="728"/>
      <c r="AX142" s="729"/>
      <c r="AY142" s="1266">
        <f>Z142+AI142+AP142</f>
        <v>0</v>
      </c>
      <c r="AZ142" s="1266"/>
      <c r="BA142" s="1266"/>
      <c r="BB142" s="1266"/>
      <c r="BC142" s="1266"/>
      <c r="BD142" s="1266"/>
      <c r="BE142" s="1266"/>
      <c r="BF142" s="1129"/>
      <c r="BG142" s="598"/>
      <c r="BH142" s="546"/>
      <c r="BM142" s="599"/>
      <c r="BN142" s="566"/>
      <c r="BP142" s="566"/>
      <c r="BQ142" s="566"/>
      <c r="BR142" s="566"/>
      <c r="BS142" s="566"/>
      <c r="BU142" s="566"/>
      <c r="BV142" s="1243"/>
      <c r="BW142" s="1243"/>
      <c r="BX142" s="1252"/>
      <c r="BY142" s="1252"/>
      <c r="BZ142" s="1252"/>
      <c r="CA142" s="1242"/>
      <c r="CB142" s="1242"/>
      <c r="CC142" s="1242"/>
      <c r="CD142" s="1242"/>
      <c r="CE142" s="1242"/>
      <c r="CF142" s="1242"/>
      <c r="CG142" s="1242"/>
      <c r="CH142" s="1242"/>
      <c r="CI142" s="1242"/>
      <c r="CJ142" s="1242"/>
      <c r="CK142" s="1242"/>
      <c r="CL142" s="1242"/>
      <c r="CM142" s="1242"/>
      <c r="CN142" s="1242"/>
      <c r="CO142" s="1242"/>
      <c r="CP142" s="1242"/>
      <c r="CQ142" s="1242"/>
      <c r="CR142" s="1242"/>
      <c r="CS142" s="1242"/>
      <c r="CT142" s="1242"/>
      <c r="CU142" s="708"/>
      <c r="CV142" s="708"/>
      <c r="CW142" s="554"/>
      <c r="EJ142" s="546"/>
      <c r="EK142" s="546"/>
      <c r="EL142" s="546"/>
      <c r="EM142" s="546"/>
      <c r="EN142" s="546"/>
      <c r="EO142" s="546"/>
      <c r="EP142" s="546"/>
      <c r="EQ142" s="546"/>
      <c r="ER142" s="546"/>
      <c r="ES142" s="546"/>
      <c r="ET142" s="546"/>
      <c r="EU142" s="546"/>
      <c r="EV142" s="546"/>
      <c r="EW142" s="546"/>
      <c r="EX142" s="546"/>
      <c r="EY142" s="546"/>
      <c r="EZ142" s="546"/>
      <c r="FA142" s="546"/>
      <c r="FB142" s="546"/>
      <c r="FC142" s="546"/>
      <c r="FD142" s="546"/>
      <c r="FE142" s="546"/>
      <c r="FF142" s="546"/>
      <c r="FG142" s="546"/>
      <c r="FH142" s="546"/>
      <c r="FI142" s="546"/>
      <c r="FJ142" s="546"/>
      <c r="FK142" s="546"/>
      <c r="FL142" s="546"/>
      <c r="FM142" s="546"/>
      <c r="FN142" s="546"/>
      <c r="FO142" s="546"/>
      <c r="FP142" s="546"/>
      <c r="FQ142" s="546"/>
      <c r="FR142" s="546"/>
      <c r="FS142" s="546"/>
      <c r="FT142" s="546"/>
      <c r="FU142" s="546"/>
      <c r="FV142" s="546"/>
      <c r="FW142" s="546"/>
      <c r="FX142" s="546"/>
      <c r="FY142" s="546"/>
      <c r="FZ142" s="546"/>
      <c r="GA142" s="546"/>
      <c r="GB142" s="546"/>
      <c r="GC142" s="546"/>
      <c r="GD142" s="546"/>
      <c r="GE142" s="546"/>
      <c r="GF142" s="546"/>
      <c r="GG142" s="546"/>
      <c r="GH142" s="546"/>
      <c r="GI142" s="546"/>
      <c r="GJ142" s="546"/>
      <c r="GK142" s="546"/>
      <c r="GL142" s="546"/>
      <c r="GM142" s="546"/>
      <c r="GN142" s="546"/>
      <c r="GO142" s="546"/>
      <c r="GP142" s="546"/>
      <c r="GQ142" s="546"/>
      <c r="GR142" s="546"/>
      <c r="GS142" s="546"/>
      <c r="GT142" s="546"/>
      <c r="GU142" s="546"/>
      <c r="GV142" s="546"/>
      <c r="GW142" s="546"/>
      <c r="GX142" s="546"/>
      <c r="GY142" s="546"/>
      <c r="GZ142" s="546"/>
      <c r="HA142" s="546"/>
      <c r="HB142" s="546"/>
      <c r="HC142" s="546"/>
      <c r="HD142" s="546"/>
      <c r="HE142" s="546"/>
      <c r="HF142" s="546"/>
      <c r="HG142" s="546"/>
      <c r="HH142" s="546"/>
      <c r="HI142" s="546"/>
      <c r="HJ142" s="546"/>
    </row>
    <row r="143" spans="1:218" s="541" customFormat="1" ht="17.25" customHeight="1" x14ac:dyDescent="0.15">
      <c r="A143" s="550"/>
      <c r="B143" s="597"/>
      <c r="C143" s="550"/>
      <c r="D143" s="730"/>
      <c r="E143" s="730"/>
      <c r="F143" s="730"/>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0"/>
      <c r="AQ143" s="730"/>
      <c r="AR143" s="730"/>
      <c r="AS143" s="730"/>
      <c r="AT143" s="730"/>
      <c r="AU143" s="730"/>
      <c r="AV143" s="730"/>
      <c r="AW143" s="730"/>
      <c r="AX143" s="730"/>
      <c r="AY143" s="730"/>
      <c r="AZ143" s="730"/>
      <c r="BA143" s="730"/>
      <c r="BB143" s="730"/>
      <c r="BC143" s="730"/>
      <c r="BD143" s="730"/>
      <c r="BE143" s="730"/>
      <c r="BF143" s="730"/>
      <c r="BG143" s="598"/>
      <c r="BM143" s="599"/>
      <c r="BV143" s="1243"/>
      <c r="BW143" s="1243"/>
      <c r="BX143" s="1252"/>
      <c r="BY143" s="1252"/>
      <c r="BZ143" s="1252"/>
      <c r="CA143" s="1242"/>
      <c r="CB143" s="1242"/>
      <c r="CC143" s="1242"/>
      <c r="CD143" s="1242"/>
      <c r="CE143" s="1242"/>
      <c r="CF143" s="1242"/>
      <c r="CG143" s="1242"/>
      <c r="CH143" s="1242"/>
      <c r="CI143" s="1242"/>
      <c r="CJ143" s="1242"/>
      <c r="CK143" s="1242"/>
      <c r="CL143" s="1242"/>
      <c r="CM143" s="1242"/>
      <c r="CN143" s="1242"/>
      <c r="CO143" s="1242"/>
      <c r="CP143" s="1242"/>
      <c r="CQ143" s="1242"/>
      <c r="CR143" s="1242"/>
      <c r="CS143" s="1242"/>
      <c r="CT143" s="1242"/>
      <c r="CU143" s="708"/>
      <c r="CV143" s="708"/>
      <c r="CW143" s="554"/>
      <c r="EJ143" s="546"/>
      <c r="EK143" s="546"/>
      <c r="EL143" s="546"/>
      <c r="EM143" s="546"/>
      <c r="EN143" s="546"/>
      <c r="EO143" s="546"/>
      <c r="EP143" s="546"/>
      <c r="EQ143" s="546"/>
      <c r="ER143" s="546"/>
      <c r="ES143" s="546"/>
      <c r="ET143" s="546"/>
      <c r="EU143" s="546"/>
      <c r="EV143" s="546"/>
      <c r="EW143" s="546"/>
      <c r="EX143" s="546"/>
      <c r="EY143" s="546"/>
      <c r="EZ143" s="546"/>
      <c r="FA143" s="546"/>
      <c r="FB143" s="546"/>
      <c r="FC143" s="546"/>
      <c r="FD143" s="546"/>
      <c r="FE143" s="546"/>
      <c r="FF143" s="546"/>
      <c r="FG143" s="546"/>
      <c r="FH143" s="546"/>
      <c r="FI143" s="546"/>
      <c r="FJ143" s="546"/>
      <c r="FK143" s="546"/>
      <c r="FL143" s="546"/>
      <c r="FM143" s="546"/>
      <c r="FN143" s="546"/>
      <c r="FO143" s="546"/>
      <c r="FP143" s="546"/>
      <c r="FQ143" s="546"/>
      <c r="FR143" s="546"/>
      <c r="FS143" s="546"/>
      <c r="FT143" s="546"/>
      <c r="FU143" s="546"/>
      <c r="FV143" s="546"/>
      <c r="FW143" s="546"/>
      <c r="FX143" s="546"/>
      <c r="FY143" s="546"/>
      <c r="FZ143" s="546"/>
      <c r="GA143" s="546"/>
      <c r="GB143" s="546"/>
      <c r="GC143" s="546"/>
      <c r="GD143" s="546"/>
      <c r="GE143" s="546"/>
      <c r="GF143" s="546"/>
      <c r="GG143" s="546"/>
      <c r="GH143" s="546"/>
      <c r="GI143" s="546"/>
      <c r="GJ143" s="546"/>
      <c r="GK143" s="546"/>
      <c r="GL143" s="546"/>
      <c r="GM143" s="546"/>
      <c r="GN143" s="546"/>
      <c r="GO143" s="546"/>
      <c r="GP143" s="546"/>
      <c r="GQ143" s="546"/>
      <c r="GR143" s="546"/>
      <c r="GS143" s="546"/>
      <c r="GT143" s="546"/>
      <c r="GU143" s="546"/>
      <c r="GV143" s="546"/>
      <c r="GW143" s="546"/>
      <c r="GX143" s="546"/>
      <c r="GY143" s="546"/>
      <c r="GZ143" s="546"/>
      <c r="HA143" s="546"/>
      <c r="HB143" s="546"/>
      <c r="HC143" s="546"/>
      <c r="HD143" s="546"/>
      <c r="HE143" s="546"/>
      <c r="HF143" s="546"/>
      <c r="HG143" s="546"/>
      <c r="HH143" s="546"/>
      <c r="HI143" s="546"/>
      <c r="HJ143" s="546"/>
    </row>
    <row r="144" spans="1:218" s="541" customFormat="1" ht="12" customHeight="1" x14ac:dyDescent="0.15">
      <c r="A144" s="550"/>
      <c r="B144" s="597"/>
      <c r="C144" s="550"/>
      <c r="D144" s="731" t="s">
        <v>568</v>
      </c>
      <c r="E144" s="731"/>
      <c r="F144" s="731"/>
      <c r="G144" s="731"/>
      <c r="H144" s="731"/>
      <c r="I144" s="731"/>
      <c r="J144" s="731"/>
      <c r="K144" s="731"/>
      <c r="L144" s="732"/>
      <c r="M144" s="731"/>
      <c r="N144" s="732"/>
      <c r="O144" s="731"/>
      <c r="P144" s="732"/>
      <c r="Q144" s="731"/>
      <c r="R144" s="731"/>
      <c r="S144" s="732"/>
      <c r="T144" s="731"/>
      <c r="U144" s="733"/>
      <c r="V144" s="733"/>
      <c r="W144" s="733"/>
      <c r="X144" s="734"/>
      <c r="Y144" s="734"/>
      <c r="Z144" s="1253"/>
      <c r="AA144" s="1253"/>
      <c r="AB144" s="1253"/>
      <c r="AC144" s="1253"/>
      <c r="AD144" s="1253"/>
      <c r="AE144" s="1253"/>
      <c r="AF144" s="1253"/>
      <c r="AG144" s="1253"/>
      <c r="AH144" s="735"/>
      <c r="AI144" s="1267"/>
      <c r="AJ144" s="1267"/>
      <c r="AK144" s="1267"/>
      <c r="AL144" s="1267"/>
      <c r="AM144" s="1267"/>
      <c r="AN144" s="1267"/>
      <c r="AO144" s="735"/>
      <c r="AP144" s="1253"/>
      <c r="AQ144" s="1253"/>
      <c r="AR144" s="1253"/>
      <c r="AS144" s="1253"/>
      <c r="AT144" s="734"/>
      <c r="AU144" s="734"/>
      <c r="AV144" s="734"/>
      <c r="AW144" s="734"/>
      <c r="AX144" s="735"/>
      <c r="AY144" s="1265">
        <f>Z144+AI144+AP144</f>
        <v>0</v>
      </c>
      <c r="AZ144" s="1265"/>
      <c r="BA144" s="1265"/>
      <c r="BB144" s="1265"/>
      <c r="BC144" s="1265"/>
      <c r="BD144" s="1265"/>
      <c r="BE144" s="1265"/>
      <c r="BF144" s="736"/>
      <c r="BG144" s="598"/>
      <c r="BM144" s="599"/>
      <c r="BV144" s="1243"/>
      <c r="BW144" s="1243"/>
      <c r="BX144" s="1252"/>
      <c r="BY144" s="1252"/>
      <c r="BZ144" s="1252"/>
      <c r="CA144" s="1242"/>
      <c r="CB144" s="1242"/>
      <c r="CC144" s="1242"/>
      <c r="CD144" s="1242"/>
      <c r="CE144" s="1242"/>
      <c r="CF144" s="1242"/>
      <c r="CG144" s="1242"/>
      <c r="CH144" s="1242"/>
      <c r="CI144" s="1242"/>
      <c r="CJ144" s="1242"/>
      <c r="CK144" s="1242"/>
      <c r="CL144" s="1242"/>
      <c r="CM144" s="1242"/>
      <c r="CN144" s="1242"/>
      <c r="CO144" s="1242"/>
      <c r="CP144" s="1242"/>
      <c r="CQ144" s="1242"/>
      <c r="CR144" s="1242"/>
      <c r="CS144" s="1242"/>
      <c r="CT144" s="1242"/>
      <c r="CU144" s="708"/>
      <c r="CV144" s="708"/>
      <c r="CW144" s="554"/>
      <c r="EJ144" s="546"/>
      <c r="EK144" s="546"/>
      <c r="EL144" s="546"/>
      <c r="EM144" s="546"/>
      <c r="EN144" s="546"/>
      <c r="EO144" s="546"/>
      <c r="EP144" s="546"/>
      <c r="EQ144" s="546"/>
      <c r="ER144" s="546"/>
      <c r="ES144" s="546"/>
      <c r="ET144" s="546"/>
      <c r="EU144" s="546"/>
      <c r="EV144" s="546"/>
      <c r="EW144" s="546"/>
      <c r="EX144" s="546"/>
      <c r="EY144" s="546"/>
      <c r="EZ144" s="546"/>
      <c r="FA144" s="546"/>
      <c r="FB144" s="546"/>
      <c r="FC144" s="546"/>
      <c r="FD144" s="546"/>
      <c r="FE144" s="546"/>
      <c r="FF144" s="546"/>
      <c r="FG144" s="546"/>
      <c r="FH144" s="546"/>
      <c r="FI144" s="546"/>
      <c r="FJ144" s="546"/>
      <c r="FK144" s="546"/>
      <c r="FL144" s="546"/>
      <c r="FM144" s="546"/>
      <c r="FN144" s="546"/>
      <c r="FO144" s="546"/>
      <c r="FP144" s="546"/>
      <c r="FQ144" s="546"/>
      <c r="FR144" s="546"/>
      <c r="FS144" s="546"/>
      <c r="FT144" s="546"/>
      <c r="FU144" s="546"/>
      <c r="FV144" s="546"/>
      <c r="FW144" s="546"/>
      <c r="FX144" s="546"/>
      <c r="FY144" s="546"/>
      <c r="FZ144" s="546"/>
      <c r="GA144" s="546"/>
      <c r="GB144" s="546"/>
      <c r="GC144" s="546"/>
      <c r="GD144" s="546"/>
      <c r="GE144" s="546"/>
      <c r="GF144" s="546"/>
      <c r="GG144" s="546"/>
      <c r="GH144" s="546"/>
      <c r="GI144" s="546"/>
      <c r="GJ144" s="546"/>
      <c r="GK144" s="546"/>
      <c r="GL144" s="546"/>
      <c r="GM144" s="546"/>
      <c r="GN144" s="546"/>
      <c r="GO144" s="546"/>
      <c r="GP144" s="546"/>
      <c r="GQ144" s="546"/>
      <c r="GR144" s="546"/>
      <c r="GS144" s="546"/>
      <c r="GT144" s="546"/>
      <c r="GU144" s="546"/>
      <c r="GV144" s="546"/>
      <c r="GW144" s="546"/>
      <c r="GX144" s="546"/>
      <c r="GY144" s="546"/>
      <c r="GZ144" s="546"/>
      <c r="HA144" s="546"/>
      <c r="HB144" s="546"/>
      <c r="HC144" s="546"/>
      <c r="HD144" s="546"/>
      <c r="HE144" s="546"/>
      <c r="HF144" s="546"/>
      <c r="HG144" s="546"/>
      <c r="HH144" s="546"/>
      <c r="HI144" s="546"/>
      <c r="HJ144" s="546"/>
    </row>
    <row r="145" spans="1:218" s="541" customFormat="1" ht="15" customHeight="1" x14ac:dyDescent="0.15">
      <c r="A145" s="550"/>
      <c r="B145" s="597"/>
      <c r="C145" s="550"/>
      <c r="D145" s="731"/>
      <c r="E145" s="731"/>
      <c r="F145" s="731"/>
      <c r="G145" s="731"/>
      <c r="H145" s="731"/>
      <c r="I145" s="731"/>
      <c r="J145" s="731"/>
      <c r="K145" s="731"/>
      <c r="L145" s="731"/>
      <c r="M145" s="731"/>
      <c r="N145" s="731"/>
      <c r="O145" s="731"/>
      <c r="P145" s="731"/>
      <c r="Q145" s="731"/>
      <c r="R145" s="731"/>
      <c r="S145" s="731"/>
      <c r="T145" s="731"/>
      <c r="U145" s="733"/>
      <c r="V145" s="733"/>
      <c r="W145" s="733"/>
      <c r="X145" s="734"/>
      <c r="Y145" s="734"/>
      <c r="Z145" s="734"/>
      <c r="AA145" s="734"/>
      <c r="AB145" s="734"/>
      <c r="AC145" s="734"/>
      <c r="AD145" s="734"/>
      <c r="AE145" s="734"/>
      <c r="AF145" s="734"/>
      <c r="AG145" s="735"/>
      <c r="AH145" s="735"/>
      <c r="AI145" s="735"/>
      <c r="AJ145" s="735"/>
      <c r="AK145" s="735"/>
      <c r="AL145" s="735"/>
      <c r="AM145" s="735"/>
      <c r="AN145" s="735"/>
      <c r="AO145" s="735"/>
      <c r="AP145" s="735"/>
      <c r="AQ145" s="735"/>
      <c r="AR145" s="735"/>
      <c r="AS145" s="735"/>
      <c r="AT145" s="735"/>
      <c r="AU145" s="735"/>
      <c r="AV145" s="735"/>
      <c r="AW145" s="735"/>
      <c r="AX145" s="735"/>
      <c r="AY145" s="735"/>
      <c r="AZ145" s="735"/>
      <c r="BA145" s="735"/>
      <c r="BB145" s="735"/>
      <c r="BC145" s="735"/>
      <c r="BD145" s="735"/>
      <c r="BE145" s="735"/>
      <c r="BF145" s="736"/>
      <c r="BG145" s="598"/>
      <c r="BI145" s="550"/>
      <c r="BJ145" s="550"/>
      <c r="BK145" s="550"/>
      <c r="BL145" s="550"/>
      <c r="BM145" s="551"/>
      <c r="BV145" s="1243"/>
      <c r="BW145" s="1243"/>
      <c r="BX145" s="1252"/>
      <c r="BY145" s="1252"/>
      <c r="BZ145" s="1252"/>
      <c r="CA145" s="1242"/>
      <c r="CB145" s="1242"/>
      <c r="CC145" s="1242"/>
      <c r="CD145" s="1242"/>
      <c r="CE145" s="1242"/>
      <c r="CF145" s="1242"/>
      <c r="CG145" s="1242"/>
      <c r="CH145" s="1242"/>
      <c r="CI145" s="1242"/>
      <c r="CJ145" s="1242"/>
      <c r="CK145" s="1242"/>
      <c r="CL145" s="1242"/>
      <c r="CM145" s="1242"/>
      <c r="CN145" s="1242"/>
      <c r="CO145" s="1242"/>
      <c r="CP145" s="1242"/>
      <c r="CQ145" s="1242"/>
      <c r="CR145" s="1242"/>
      <c r="CS145" s="1242"/>
      <c r="CT145" s="1242"/>
      <c r="CU145" s="708"/>
      <c r="CV145" s="708"/>
      <c r="CW145" s="554"/>
      <c r="EJ145" s="546"/>
      <c r="EK145" s="546"/>
      <c r="EL145" s="546"/>
      <c r="EM145" s="546"/>
      <c r="EN145" s="546"/>
      <c r="EO145" s="546"/>
      <c r="EP145" s="546"/>
      <c r="EQ145" s="546"/>
      <c r="ER145" s="546"/>
      <c r="ES145" s="546"/>
      <c r="ET145" s="546"/>
      <c r="EU145" s="546"/>
      <c r="EV145" s="546"/>
      <c r="EW145" s="546"/>
      <c r="EX145" s="546"/>
      <c r="EY145" s="546"/>
      <c r="EZ145" s="546"/>
      <c r="FA145" s="546"/>
      <c r="FB145" s="546"/>
      <c r="FC145" s="546"/>
      <c r="FD145" s="546"/>
      <c r="FE145" s="546"/>
      <c r="FF145" s="546"/>
      <c r="FG145" s="546"/>
      <c r="FH145" s="546"/>
      <c r="FI145" s="546"/>
      <c r="FJ145" s="546"/>
      <c r="FK145" s="546"/>
      <c r="FL145" s="546"/>
      <c r="FM145" s="546"/>
      <c r="FN145" s="546"/>
      <c r="FO145" s="546"/>
      <c r="FP145" s="546"/>
      <c r="FQ145" s="546"/>
      <c r="FR145" s="546"/>
      <c r="FS145" s="546"/>
      <c r="FT145" s="546"/>
      <c r="FU145" s="546"/>
      <c r="FV145" s="546"/>
      <c r="FW145" s="546"/>
      <c r="FX145" s="546"/>
      <c r="FY145" s="546"/>
      <c r="FZ145" s="546"/>
      <c r="GA145" s="546"/>
      <c r="GB145" s="546"/>
      <c r="GC145" s="546"/>
      <c r="GD145" s="546"/>
      <c r="GE145" s="546"/>
      <c r="GF145" s="546"/>
      <c r="GG145" s="546"/>
      <c r="GH145" s="546"/>
      <c r="GI145" s="546"/>
      <c r="GJ145" s="546"/>
      <c r="GK145" s="546"/>
      <c r="GL145" s="546"/>
      <c r="GM145" s="546"/>
      <c r="GN145" s="546"/>
      <c r="GO145" s="546"/>
      <c r="GP145" s="546"/>
      <c r="GQ145" s="546"/>
      <c r="GR145" s="546"/>
      <c r="GS145" s="546"/>
      <c r="GT145" s="546"/>
      <c r="GU145" s="546"/>
      <c r="GV145" s="546"/>
      <c r="GW145" s="546"/>
      <c r="GX145" s="546"/>
      <c r="GY145" s="546"/>
      <c r="GZ145" s="546"/>
      <c r="HA145" s="546"/>
      <c r="HB145" s="546"/>
      <c r="HC145" s="546"/>
      <c r="HD145" s="546"/>
      <c r="HE145" s="546"/>
      <c r="HF145" s="546"/>
      <c r="HG145" s="546"/>
      <c r="HH145" s="546"/>
      <c r="HI145" s="546"/>
      <c r="HJ145" s="546"/>
    </row>
    <row r="146" spans="1:218" s="541" customFormat="1" ht="14.25" customHeight="1" x14ac:dyDescent="0.15">
      <c r="A146" s="550"/>
      <c r="B146" s="597"/>
      <c r="C146" s="550"/>
      <c r="D146" s="731" t="s">
        <v>569</v>
      </c>
      <c r="E146" s="731"/>
      <c r="F146" s="731"/>
      <c r="G146" s="731"/>
      <c r="H146" s="731"/>
      <c r="I146" s="731"/>
      <c r="J146" s="731"/>
      <c r="K146" s="731"/>
      <c r="L146" s="732"/>
      <c r="M146" s="731"/>
      <c r="N146" s="732"/>
      <c r="O146" s="731"/>
      <c r="P146" s="732"/>
      <c r="Q146" s="731"/>
      <c r="R146" s="731"/>
      <c r="S146" s="732"/>
      <c r="T146" s="731"/>
      <c r="U146" s="733"/>
      <c r="V146" s="733"/>
      <c r="W146" s="733"/>
      <c r="X146" s="734"/>
      <c r="Y146" s="734"/>
      <c r="Z146" s="1253"/>
      <c r="AA146" s="1253"/>
      <c r="AB146" s="1253"/>
      <c r="AC146" s="1253"/>
      <c r="AD146" s="1253"/>
      <c r="AE146" s="1253"/>
      <c r="AF146" s="1253"/>
      <c r="AG146" s="1253"/>
      <c r="AH146" s="735"/>
      <c r="AI146" s="1253"/>
      <c r="AJ146" s="1253"/>
      <c r="AK146" s="1253"/>
      <c r="AL146" s="1253"/>
      <c r="AM146" s="1253"/>
      <c r="AN146" s="1253"/>
      <c r="AO146" s="735"/>
      <c r="AP146" s="1253"/>
      <c r="AQ146" s="1253"/>
      <c r="AR146" s="1253"/>
      <c r="AS146" s="1253"/>
      <c r="AT146" s="734"/>
      <c r="AU146" s="734"/>
      <c r="AV146" s="734"/>
      <c r="AW146" s="734"/>
      <c r="AX146" s="735"/>
      <c r="AY146" s="1265">
        <f>Z146+AI146+AP146</f>
        <v>0</v>
      </c>
      <c r="AZ146" s="1265"/>
      <c r="BA146" s="1265"/>
      <c r="BB146" s="1265"/>
      <c r="BC146" s="1265"/>
      <c r="BD146" s="1265"/>
      <c r="BE146" s="1265"/>
      <c r="BF146" s="736"/>
      <c r="BG146" s="598"/>
      <c r="BI146" s="550"/>
      <c r="BJ146" s="550"/>
      <c r="BK146" s="550"/>
      <c r="BL146" s="550"/>
      <c r="BM146" s="551"/>
      <c r="BV146" s="1243"/>
      <c r="BW146" s="1243"/>
      <c r="BX146" s="1252"/>
      <c r="BY146" s="1252"/>
      <c r="BZ146" s="1252"/>
      <c r="CA146" s="1242"/>
      <c r="CB146" s="1242"/>
      <c r="CC146" s="1242"/>
      <c r="CD146" s="1242"/>
      <c r="CE146" s="1242"/>
      <c r="CF146" s="1242"/>
      <c r="CG146" s="1242"/>
      <c r="CH146" s="1242"/>
      <c r="CI146" s="1242"/>
      <c r="CJ146" s="1242"/>
      <c r="CK146" s="1242"/>
      <c r="CL146" s="1242"/>
      <c r="CM146" s="1242"/>
      <c r="CN146" s="1242"/>
      <c r="CO146" s="1242"/>
      <c r="CP146" s="1242"/>
      <c r="CQ146" s="1242"/>
      <c r="CR146" s="1242"/>
      <c r="CS146" s="1242"/>
      <c r="CT146" s="1242"/>
      <c r="CU146" s="708"/>
      <c r="CV146" s="708"/>
      <c r="CW146" s="554"/>
      <c r="EJ146" s="546"/>
      <c r="EK146" s="546"/>
      <c r="EL146" s="546"/>
      <c r="EM146" s="546"/>
      <c r="EN146" s="546"/>
      <c r="EO146" s="546"/>
      <c r="EP146" s="546"/>
      <c r="EQ146" s="546"/>
      <c r="ER146" s="546"/>
      <c r="ES146" s="546"/>
      <c r="ET146" s="546"/>
      <c r="EU146" s="546"/>
      <c r="EV146" s="546"/>
      <c r="EW146" s="546"/>
      <c r="EX146" s="546"/>
      <c r="EY146" s="546"/>
      <c r="EZ146" s="546"/>
      <c r="FA146" s="546"/>
      <c r="FB146" s="546"/>
      <c r="FC146" s="546"/>
      <c r="FD146" s="546"/>
      <c r="FE146" s="546"/>
      <c r="FF146" s="546"/>
      <c r="FG146" s="546"/>
      <c r="FH146" s="546"/>
      <c r="FI146" s="546"/>
      <c r="FJ146" s="546"/>
      <c r="FK146" s="546"/>
      <c r="FL146" s="546"/>
      <c r="FM146" s="546"/>
      <c r="FN146" s="546"/>
      <c r="FO146" s="546"/>
      <c r="FP146" s="546"/>
      <c r="FQ146" s="546"/>
      <c r="FR146" s="546"/>
      <c r="FS146" s="546"/>
      <c r="FT146" s="546"/>
      <c r="FU146" s="546"/>
      <c r="FV146" s="546"/>
      <c r="FW146" s="546"/>
      <c r="FX146" s="546"/>
      <c r="FY146" s="546"/>
      <c r="FZ146" s="546"/>
      <c r="GA146" s="546"/>
      <c r="GB146" s="546"/>
      <c r="GC146" s="546"/>
      <c r="GD146" s="546"/>
      <c r="GE146" s="546"/>
      <c r="GF146" s="546"/>
      <c r="GG146" s="546"/>
      <c r="GH146" s="546"/>
      <c r="GI146" s="546"/>
      <c r="GJ146" s="546"/>
      <c r="GK146" s="546"/>
      <c r="GL146" s="546"/>
      <c r="GM146" s="546"/>
      <c r="GN146" s="546"/>
      <c r="GO146" s="546"/>
      <c r="GP146" s="546"/>
      <c r="GQ146" s="546"/>
      <c r="GR146" s="546"/>
      <c r="GS146" s="546"/>
      <c r="GT146" s="546"/>
      <c r="GU146" s="546"/>
      <c r="GV146" s="546"/>
      <c r="GW146" s="546"/>
      <c r="GX146" s="546"/>
      <c r="GY146" s="546"/>
      <c r="GZ146" s="546"/>
      <c r="HA146" s="546"/>
      <c r="HB146" s="546"/>
      <c r="HC146" s="546"/>
      <c r="HD146" s="546"/>
      <c r="HE146" s="546"/>
      <c r="HF146" s="546"/>
      <c r="HG146" s="546"/>
      <c r="HH146" s="546"/>
      <c r="HI146" s="546"/>
      <c r="HJ146" s="546"/>
    </row>
    <row r="147" spans="1:218" s="541" customFormat="1" ht="15" customHeight="1" x14ac:dyDescent="0.15">
      <c r="A147" s="550"/>
      <c r="B147" s="597"/>
      <c r="C147" s="550"/>
      <c r="D147" s="731"/>
      <c r="E147" s="731"/>
      <c r="F147" s="731"/>
      <c r="G147" s="731"/>
      <c r="H147" s="731"/>
      <c r="I147" s="731"/>
      <c r="J147" s="731"/>
      <c r="K147" s="731"/>
      <c r="L147" s="732"/>
      <c r="M147" s="731"/>
      <c r="N147" s="732"/>
      <c r="O147" s="731"/>
      <c r="P147" s="732"/>
      <c r="Q147" s="731"/>
      <c r="R147" s="731"/>
      <c r="S147" s="732"/>
      <c r="T147" s="731"/>
      <c r="U147" s="733"/>
      <c r="V147" s="733"/>
      <c r="W147" s="733"/>
      <c r="X147" s="733"/>
      <c r="Y147" s="733"/>
      <c r="Z147" s="734"/>
      <c r="AA147" s="734"/>
      <c r="AB147" s="734"/>
      <c r="AC147" s="734"/>
      <c r="AD147" s="734"/>
      <c r="AE147" s="734"/>
      <c r="AF147" s="734"/>
      <c r="AG147" s="734"/>
      <c r="AH147" s="735"/>
      <c r="AI147" s="737"/>
      <c r="AJ147" s="737"/>
      <c r="AK147" s="737"/>
      <c r="AL147" s="737"/>
      <c r="AM147" s="737"/>
      <c r="AN147" s="737"/>
      <c r="AO147" s="735"/>
      <c r="AP147" s="734"/>
      <c r="AQ147" s="734"/>
      <c r="AR147" s="734"/>
      <c r="AS147" s="734"/>
      <c r="AT147" s="734"/>
      <c r="AU147" s="734"/>
      <c r="AV147" s="734"/>
      <c r="AW147" s="734"/>
      <c r="AX147" s="735"/>
      <c r="AY147" s="734"/>
      <c r="AZ147" s="738"/>
      <c r="BA147" s="738"/>
      <c r="BB147" s="738"/>
      <c r="BC147" s="738"/>
      <c r="BD147" s="738"/>
      <c r="BE147" s="738"/>
      <c r="BF147" s="736"/>
      <c r="BG147" s="598"/>
      <c r="BH147" s="550"/>
      <c r="BI147" s="550"/>
      <c r="BJ147" s="550"/>
      <c r="BK147" s="550"/>
      <c r="BL147" s="550"/>
      <c r="BM147" s="551"/>
      <c r="BV147" s="1243"/>
      <c r="BW147" s="1243"/>
      <c r="BX147" s="1252"/>
      <c r="BY147" s="1252"/>
      <c r="BZ147" s="1252"/>
      <c r="CA147" s="1242"/>
      <c r="CB147" s="1242"/>
      <c r="CC147" s="1242"/>
      <c r="CD147" s="1242"/>
      <c r="CE147" s="1242"/>
      <c r="CF147" s="1242"/>
      <c r="CG147" s="1242"/>
      <c r="CH147" s="1242"/>
      <c r="CI147" s="1242"/>
      <c r="CJ147" s="1242"/>
      <c r="CK147" s="1242"/>
      <c r="CL147" s="1242"/>
      <c r="CM147" s="1242"/>
      <c r="CN147" s="1242"/>
      <c r="CO147" s="1242"/>
      <c r="CP147" s="1242"/>
      <c r="CQ147" s="1242"/>
      <c r="CR147" s="1242"/>
      <c r="CS147" s="1242"/>
      <c r="CT147" s="1242"/>
      <c r="CU147" s="708"/>
      <c r="CV147" s="708"/>
      <c r="CW147" s="554"/>
      <c r="EJ147" s="546"/>
      <c r="EK147" s="546"/>
      <c r="EL147" s="546"/>
      <c r="EM147" s="546"/>
      <c r="EN147" s="546"/>
      <c r="EO147" s="546"/>
      <c r="EP147" s="546"/>
      <c r="EQ147" s="546"/>
      <c r="ER147" s="546"/>
      <c r="ES147" s="546"/>
      <c r="ET147" s="546"/>
      <c r="EU147" s="546"/>
      <c r="EV147" s="546"/>
      <c r="EW147" s="546"/>
      <c r="EX147" s="546"/>
      <c r="EY147" s="546"/>
      <c r="EZ147" s="546"/>
      <c r="FA147" s="546"/>
      <c r="FB147" s="546"/>
      <c r="FC147" s="546"/>
      <c r="FD147" s="546"/>
      <c r="FE147" s="546"/>
      <c r="FF147" s="546"/>
      <c r="FG147" s="546"/>
      <c r="FH147" s="546"/>
      <c r="FI147" s="546"/>
      <c r="FJ147" s="546"/>
      <c r="FK147" s="546"/>
      <c r="FL147" s="546"/>
      <c r="FM147" s="546"/>
      <c r="FN147" s="546"/>
      <c r="FO147" s="546"/>
      <c r="FP147" s="546"/>
      <c r="FQ147" s="546"/>
      <c r="FR147" s="546"/>
      <c r="FS147" s="546"/>
      <c r="FT147" s="546"/>
      <c r="FU147" s="546"/>
      <c r="FV147" s="546"/>
      <c r="FW147" s="546"/>
      <c r="FX147" s="546"/>
      <c r="FY147" s="546"/>
      <c r="FZ147" s="546"/>
      <c r="GA147" s="546"/>
      <c r="GB147" s="546"/>
      <c r="GC147" s="546"/>
      <c r="GD147" s="546"/>
      <c r="GE147" s="546"/>
      <c r="GF147" s="546"/>
      <c r="GG147" s="546"/>
      <c r="GH147" s="546"/>
      <c r="GI147" s="546"/>
      <c r="GJ147" s="546"/>
      <c r="GK147" s="546"/>
      <c r="GL147" s="546"/>
      <c r="GM147" s="546"/>
      <c r="GN147" s="546"/>
      <c r="GO147" s="546"/>
      <c r="GP147" s="546"/>
      <c r="GQ147" s="546"/>
      <c r="GR147" s="546"/>
      <c r="GS147" s="546"/>
      <c r="GT147" s="546"/>
      <c r="GU147" s="546"/>
      <c r="GV147" s="546"/>
      <c r="GW147" s="546"/>
      <c r="GX147" s="546"/>
      <c r="GY147" s="546"/>
      <c r="GZ147" s="546"/>
      <c r="HA147" s="546"/>
      <c r="HB147" s="546"/>
      <c r="HC147" s="546"/>
      <c r="HD147" s="546"/>
      <c r="HE147" s="546"/>
      <c r="HF147" s="546"/>
      <c r="HG147" s="546"/>
      <c r="HH147" s="546"/>
      <c r="HI147" s="546"/>
      <c r="HJ147" s="546"/>
    </row>
    <row r="148" spans="1:218" s="541" customFormat="1" ht="14" x14ac:dyDescent="0.15">
      <c r="A148" s="550"/>
      <c r="B148" s="597"/>
      <c r="C148" s="550"/>
      <c r="D148" s="731" t="s">
        <v>570</v>
      </c>
      <c r="E148" s="731"/>
      <c r="F148" s="731"/>
      <c r="G148" s="731"/>
      <c r="H148" s="731"/>
      <c r="I148" s="731"/>
      <c r="J148" s="731"/>
      <c r="K148" s="731"/>
      <c r="L148" s="732"/>
      <c r="M148" s="731"/>
      <c r="N148" s="732"/>
      <c r="O148" s="731"/>
      <c r="P148" s="732"/>
      <c r="Q148" s="731"/>
      <c r="R148" s="731"/>
      <c r="S148" s="732"/>
      <c r="T148" s="731"/>
      <c r="U148" s="733"/>
      <c r="V148" s="733"/>
      <c r="W148" s="733"/>
      <c r="X148" s="734"/>
      <c r="Y148" s="734"/>
      <c r="Z148" s="1267"/>
      <c r="AA148" s="1267"/>
      <c r="AB148" s="1267"/>
      <c r="AC148" s="1267"/>
      <c r="AD148" s="1267"/>
      <c r="AE148" s="1267"/>
      <c r="AF148" s="1267"/>
      <c r="AG148" s="1267"/>
      <c r="AH148" s="735"/>
      <c r="AI148" s="1267"/>
      <c r="AJ148" s="1267"/>
      <c r="AK148" s="1267"/>
      <c r="AL148" s="1267"/>
      <c r="AM148" s="1267"/>
      <c r="AN148" s="1267"/>
      <c r="AO148" s="735"/>
      <c r="AP148" s="1253"/>
      <c r="AQ148" s="1253"/>
      <c r="AR148" s="1253"/>
      <c r="AS148" s="1253"/>
      <c r="AT148" s="734">
        <v>1</v>
      </c>
      <c r="AU148" s="734"/>
      <c r="AV148" s="734"/>
      <c r="AW148" s="734"/>
      <c r="AX148" s="735"/>
      <c r="AY148" s="1265">
        <f>Z148+AI148+AP148</f>
        <v>0</v>
      </c>
      <c r="AZ148" s="1265"/>
      <c r="BA148" s="1265"/>
      <c r="BB148" s="1265"/>
      <c r="BC148" s="1265"/>
      <c r="BD148" s="1265"/>
      <c r="BE148" s="1265"/>
      <c r="BF148" s="736"/>
      <c r="BG148" s="598"/>
      <c r="BH148" s="550"/>
      <c r="BI148" s="550"/>
      <c r="BJ148" s="550"/>
      <c r="BK148" s="550"/>
      <c r="BL148" s="550"/>
      <c r="BM148" s="551"/>
      <c r="BV148" s="1243"/>
      <c r="BW148" s="1243"/>
      <c r="BX148" s="1252"/>
      <c r="BY148" s="1252"/>
      <c r="BZ148" s="1252"/>
      <c r="CA148" s="1242"/>
      <c r="CB148" s="1242"/>
      <c r="CC148" s="1242"/>
      <c r="CD148" s="1242"/>
      <c r="CE148" s="1242"/>
      <c r="CF148" s="1242"/>
      <c r="CG148" s="1242"/>
      <c r="CH148" s="1242"/>
      <c r="CI148" s="1242"/>
      <c r="CJ148" s="1242"/>
      <c r="CK148" s="1242"/>
      <c r="CL148" s="1242"/>
      <c r="CM148" s="1242"/>
      <c r="CN148" s="1242"/>
      <c r="CO148" s="1242"/>
      <c r="CP148" s="1242"/>
      <c r="CQ148" s="1242"/>
      <c r="CR148" s="1242"/>
      <c r="CS148" s="1242"/>
      <c r="CT148" s="1242"/>
      <c r="CU148" s="708"/>
      <c r="CV148" s="708"/>
      <c r="CW148" s="554"/>
      <c r="EJ148" s="546"/>
      <c r="EK148" s="546"/>
      <c r="EL148" s="546"/>
      <c r="EM148" s="546"/>
      <c r="EN148" s="546"/>
      <c r="EO148" s="546"/>
      <c r="EP148" s="546"/>
      <c r="EQ148" s="546"/>
      <c r="ER148" s="546"/>
      <c r="ES148" s="546"/>
      <c r="ET148" s="546"/>
      <c r="EU148" s="546"/>
      <c r="EV148" s="546"/>
      <c r="EW148" s="546"/>
      <c r="EX148" s="546"/>
      <c r="EY148" s="546"/>
      <c r="EZ148" s="546"/>
      <c r="FA148" s="546"/>
      <c r="FB148" s="546"/>
      <c r="FC148" s="546"/>
      <c r="FD148" s="546"/>
      <c r="FE148" s="546"/>
      <c r="FF148" s="546"/>
      <c r="FG148" s="546"/>
      <c r="FH148" s="546"/>
      <c r="FI148" s="546"/>
      <c r="FJ148" s="546"/>
      <c r="FK148" s="546"/>
      <c r="FL148" s="546"/>
      <c r="FM148" s="546"/>
      <c r="FN148" s="546"/>
      <c r="FO148" s="546"/>
      <c r="FP148" s="546"/>
      <c r="FQ148" s="546"/>
      <c r="FR148" s="546"/>
      <c r="FS148" s="546"/>
      <c r="FT148" s="546"/>
      <c r="FU148" s="546"/>
      <c r="FV148" s="546"/>
      <c r="FW148" s="546"/>
      <c r="FX148" s="546"/>
      <c r="FY148" s="546"/>
      <c r="FZ148" s="546"/>
      <c r="GA148" s="546"/>
      <c r="GB148" s="546"/>
      <c r="GC148" s="546"/>
      <c r="GD148" s="546"/>
      <c r="GE148" s="546"/>
      <c r="GF148" s="546"/>
      <c r="GG148" s="546"/>
      <c r="GH148" s="546"/>
      <c r="GI148" s="546"/>
      <c r="GJ148" s="546"/>
      <c r="GK148" s="546"/>
      <c r="GL148" s="546"/>
      <c r="GM148" s="546"/>
      <c r="GN148" s="546"/>
      <c r="GO148" s="546"/>
      <c r="GP148" s="546"/>
      <c r="GQ148" s="546"/>
      <c r="GR148" s="546"/>
      <c r="GS148" s="546"/>
      <c r="GT148" s="546"/>
      <c r="GU148" s="546"/>
      <c r="GV148" s="546"/>
      <c r="GW148" s="546"/>
      <c r="GX148" s="546"/>
      <c r="GY148" s="546"/>
      <c r="GZ148" s="546"/>
      <c r="HA148" s="546"/>
      <c r="HB148" s="546"/>
      <c r="HC148" s="546"/>
      <c r="HD148" s="546"/>
      <c r="HE148" s="546"/>
      <c r="HF148" s="546"/>
      <c r="HG148" s="546"/>
      <c r="HH148" s="546"/>
      <c r="HI148" s="546"/>
      <c r="HJ148" s="546"/>
    </row>
    <row r="149" spans="1:218" s="541" customFormat="1" ht="15" customHeight="1" thickBot="1" x14ac:dyDescent="0.2">
      <c r="A149" s="550"/>
      <c r="B149" s="597"/>
      <c r="C149" s="550"/>
      <c r="D149" s="731"/>
      <c r="E149" s="731"/>
      <c r="F149" s="731"/>
      <c r="G149" s="731"/>
      <c r="H149" s="731"/>
      <c r="I149" s="731"/>
      <c r="J149" s="731"/>
      <c r="K149" s="731"/>
      <c r="L149" s="731"/>
      <c r="M149" s="731"/>
      <c r="N149" s="731"/>
      <c r="O149" s="731"/>
      <c r="P149" s="731"/>
      <c r="Q149" s="731"/>
      <c r="R149" s="731"/>
      <c r="S149" s="731"/>
      <c r="T149" s="731"/>
      <c r="U149" s="733"/>
      <c r="V149" s="733"/>
      <c r="W149" s="733"/>
      <c r="X149" s="733"/>
      <c r="Y149" s="733"/>
      <c r="Z149" s="735"/>
      <c r="AA149" s="735"/>
      <c r="AB149" s="735"/>
      <c r="AC149" s="735"/>
      <c r="AD149" s="735"/>
      <c r="AE149" s="735"/>
      <c r="AF149" s="739"/>
      <c r="AG149" s="735"/>
      <c r="AH149" s="735"/>
      <c r="AI149" s="735"/>
      <c r="AJ149" s="735"/>
      <c r="AK149" s="735"/>
      <c r="AL149" s="735"/>
      <c r="AM149" s="735"/>
      <c r="AN149" s="735"/>
      <c r="AO149" s="735"/>
      <c r="AP149" s="735"/>
      <c r="AQ149" s="735"/>
      <c r="AR149" s="735"/>
      <c r="AS149" s="735"/>
      <c r="AT149" s="735"/>
      <c r="AU149" s="735"/>
      <c r="AV149" s="735"/>
      <c r="AW149" s="735"/>
      <c r="AX149" s="735"/>
      <c r="AY149" s="735"/>
      <c r="AZ149" s="735"/>
      <c r="BA149" s="735"/>
      <c r="BB149" s="735"/>
      <c r="BC149" s="735"/>
      <c r="BD149" s="735"/>
      <c r="BE149" s="735"/>
      <c r="BF149" s="736"/>
      <c r="BG149" s="598"/>
      <c r="BH149" s="550"/>
      <c r="BI149" s="550"/>
      <c r="BJ149" s="550"/>
      <c r="BK149" s="550"/>
      <c r="BL149" s="550"/>
      <c r="BM149" s="551"/>
      <c r="BV149" s="1243"/>
      <c r="BW149" s="1243"/>
      <c r="BX149" s="1252"/>
      <c r="BY149" s="1252"/>
      <c r="BZ149" s="1252"/>
      <c r="CA149" s="1242"/>
      <c r="CB149" s="1242"/>
      <c r="CC149" s="1242"/>
      <c r="CD149" s="1242"/>
      <c r="CE149" s="1242"/>
      <c r="CF149" s="1242"/>
      <c r="CG149" s="1242"/>
      <c r="CH149" s="1242"/>
      <c r="CI149" s="1242"/>
      <c r="CJ149" s="1242"/>
      <c r="CK149" s="1242"/>
      <c r="CL149" s="1242"/>
      <c r="CM149" s="1242"/>
      <c r="CN149" s="1242"/>
      <c r="CO149" s="1242"/>
      <c r="CP149" s="1242"/>
      <c r="CQ149" s="1242"/>
      <c r="CR149" s="1242"/>
      <c r="CS149" s="1242"/>
      <c r="CT149" s="1242"/>
      <c r="CU149" s="708"/>
      <c r="CV149" s="708"/>
      <c r="CW149" s="554"/>
      <c r="EJ149" s="546"/>
      <c r="EK149" s="546"/>
      <c r="EL149" s="546"/>
      <c r="EM149" s="546"/>
      <c r="EN149" s="546"/>
      <c r="EO149" s="546"/>
      <c r="EP149" s="546"/>
      <c r="EQ149" s="546"/>
      <c r="ER149" s="546"/>
      <c r="ES149" s="546"/>
      <c r="ET149" s="546"/>
      <c r="EU149" s="546"/>
      <c r="EV149" s="546"/>
      <c r="EW149" s="546"/>
      <c r="EX149" s="546"/>
      <c r="EY149" s="546"/>
      <c r="EZ149" s="546"/>
      <c r="FA149" s="546"/>
      <c r="FB149" s="546"/>
      <c r="FC149" s="546"/>
      <c r="FD149" s="546"/>
      <c r="FE149" s="546"/>
      <c r="FF149" s="546"/>
      <c r="FG149" s="546"/>
      <c r="FH149" s="546"/>
      <c r="FI149" s="546"/>
      <c r="FJ149" s="546"/>
      <c r="FK149" s="546"/>
      <c r="FL149" s="546"/>
      <c r="FM149" s="546"/>
      <c r="FN149" s="546"/>
      <c r="FO149" s="546"/>
      <c r="FP149" s="546"/>
      <c r="FQ149" s="546"/>
      <c r="FR149" s="546"/>
      <c r="FS149" s="546"/>
      <c r="FT149" s="546"/>
      <c r="FU149" s="546"/>
      <c r="FV149" s="546"/>
      <c r="FW149" s="546"/>
      <c r="FX149" s="546"/>
      <c r="FY149" s="546"/>
      <c r="FZ149" s="546"/>
      <c r="GA149" s="546"/>
      <c r="GB149" s="546"/>
      <c r="GC149" s="546"/>
      <c r="GD149" s="546"/>
      <c r="GE149" s="546"/>
      <c r="GF149" s="546"/>
      <c r="GG149" s="546"/>
      <c r="GH149" s="546"/>
      <c r="GI149" s="546"/>
      <c r="GJ149" s="546"/>
      <c r="GK149" s="546"/>
      <c r="GL149" s="546"/>
      <c r="GM149" s="546"/>
      <c r="GN149" s="546"/>
      <c r="GO149" s="546"/>
      <c r="GP149" s="546"/>
      <c r="GQ149" s="546"/>
      <c r="GR149" s="546"/>
      <c r="GS149" s="546"/>
      <c r="GT149" s="546"/>
      <c r="GU149" s="546"/>
      <c r="GV149" s="546"/>
      <c r="GW149" s="546"/>
      <c r="GX149" s="546"/>
      <c r="GY149" s="546"/>
      <c r="GZ149" s="546"/>
      <c r="HA149" s="546"/>
      <c r="HB149" s="546"/>
      <c r="HC149" s="546"/>
      <c r="HD149" s="546"/>
      <c r="HE149" s="546"/>
      <c r="HF149" s="546"/>
      <c r="HG149" s="546"/>
      <c r="HH149" s="546"/>
      <c r="HI149" s="546"/>
      <c r="HJ149" s="546"/>
    </row>
    <row r="150" spans="1:218" s="541" customFormat="1" ht="15" customHeight="1" thickBot="1" x14ac:dyDescent="0.2">
      <c r="A150" s="550"/>
      <c r="B150" s="597"/>
      <c r="C150" s="550"/>
      <c r="D150" s="731" t="s">
        <v>571</v>
      </c>
      <c r="E150" s="731"/>
      <c r="F150" s="731"/>
      <c r="G150" s="731"/>
      <c r="H150" s="731"/>
      <c r="I150" s="731"/>
      <c r="J150" s="731"/>
      <c r="K150" s="731"/>
      <c r="L150" s="732"/>
      <c r="M150" s="731"/>
      <c r="N150" s="732"/>
      <c r="O150" s="731"/>
      <c r="P150" s="732"/>
      <c r="Q150" s="731"/>
      <c r="R150" s="731"/>
      <c r="S150" s="732"/>
      <c r="T150" s="733"/>
      <c r="U150" s="733"/>
      <c r="V150" s="733"/>
      <c r="W150" s="733"/>
      <c r="X150" s="731"/>
      <c r="Y150" s="731"/>
      <c r="Z150" s="1273"/>
      <c r="AA150" s="1273"/>
      <c r="AB150" s="1273"/>
      <c r="AC150" s="1273"/>
      <c r="AD150" s="1273"/>
      <c r="AE150" s="1273"/>
      <c r="AF150" s="1273"/>
      <c r="AG150" s="1273"/>
      <c r="AH150" s="735"/>
      <c r="AI150" s="1267"/>
      <c r="AJ150" s="1267"/>
      <c r="AK150" s="1267"/>
      <c r="AL150" s="1267"/>
      <c r="AM150" s="1267"/>
      <c r="AN150" s="1267"/>
      <c r="AO150" s="735"/>
      <c r="AP150" s="1253"/>
      <c r="AQ150" s="1253"/>
      <c r="AR150" s="1253"/>
      <c r="AS150" s="1253"/>
      <c r="AT150" s="734"/>
      <c r="AU150" s="734"/>
      <c r="AV150" s="734"/>
      <c r="AW150" s="734"/>
      <c r="AX150" s="735"/>
      <c r="AY150" s="1265">
        <f>Z150+AI150+AP150</f>
        <v>0</v>
      </c>
      <c r="AZ150" s="1265"/>
      <c r="BA150" s="1265"/>
      <c r="BB150" s="1265"/>
      <c r="BC150" s="1265"/>
      <c r="BD150" s="1265"/>
      <c r="BE150" s="1265"/>
      <c r="BF150" s="736"/>
      <c r="BG150" s="598"/>
      <c r="BH150" s="550"/>
      <c r="BI150" s="550"/>
      <c r="BJ150" s="550"/>
      <c r="BK150" s="550"/>
      <c r="BL150" s="550"/>
      <c r="BM150" s="1414" t="s">
        <v>516</v>
      </c>
      <c r="BN150" s="1415"/>
      <c r="BO150" s="1415"/>
      <c r="BP150" s="1415"/>
      <c r="BQ150" s="1415"/>
      <c r="BR150" s="1415"/>
      <c r="BS150" s="1415"/>
      <c r="BT150" s="1415"/>
      <c r="BU150" s="1415"/>
      <c r="BV150" s="1415"/>
      <c r="BW150" s="1415"/>
      <c r="BX150" s="1415"/>
      <c r="BY150" s="1415"/>
      <c r="BZ150" s="1415"/>
      <c r="CA150" s="1415"/>
      <c r="CB150" s="1415"/>
      <c r="CC150" s="1415"/>
      <c r="CD150" s="1415"/>
      <c r="CE150" s="1415"/>
      <c r="CF150" s="1415"/>
      <c r="CG150" s="1415"/>
      <c r="CH150" s="1415"/>
      <c r="CI150" s="1415"/>
      <c r="CJ150" s="1415"/>
      <c r="CK150" s="1415"/>
      <c r="CL150" s="1415"/>
      <c r="CM150" s="1415"/>
      <c r="CN150" s="1415"/>
      <c r="CO150" s="1415"/>
      <c r="CP150" s="1415"/>
      <c r="CQ150" s="1415"/>
      <c r="CR150" s="1415"/>
      <c r="CS150" s="1415"/>
      <c r="CT150" s="1415"/>
      <c r="CU150" s="1415"/>
      <c r="CV150" s="1415"/>
      <c r="CW150" s="1416"/>
      <c r="EJ150" s="546"/>
      <c r="EK150" s="546"/>
      <c r="EL150" s="546"/>
      <c r="EM150" s="546"/>
      <c r="EN150" s="546"/>
      <c r="EO150" s="546"/>
      <c r="EP150" s="546"/>
      <c r="EQ150" s="546"/>
      <c r="ER150" s="546"/>
      <c r="ES150" s="546"/>
      <c r="ET150" s="546"/>
      <c r="EU150" s="546"/>
      <c r="EV150" s="546"/>
      <c r="EW150" s="546"/>
      <c r="EX150" s="546"/>
      <c r="EY150" s="546"/>
      <c r="EZ150" s="546"/>
      <c r="FA150" s="546"/>
      <c r="FB150" s="546"/>
      <c r="FC150" s="546"/>
      <c r="FD150" s="546"/>
      <c r="FE150" s="546"/>
      <c r="FF150" s="546"/>
      <c r="FG150" s="546"/>
      <c r="FH150" s="546"/>
      <c r="FI150" s="546"/>
      <c r="FJ150" s="546"/>
      <c r="FK150" s="546"/>
      <c r="FL150" s="546"/>
      <c r="FM150" s="546"/>
      <c r="FN150" s="546"/>
      <c r="FO150" s="546"/>
      <c r="FP150" s="546"/>
      <c r="FQ150" s="546"/>
      <c r="FR150" s="546"/>
      <c r="FS150" s="546"/>
      <c r="FT150" s="546"/>
      <c r="FU150" s="546"/>
      <c r="FV150" s="546"/>
      <c r="FW150" s="546"/>
      <c r="FX150" s="546"/>
      <c r="FY150" s="546"/>
      <c r="FZ150" s="546"/>
      <c r="GA150" s="546"/>
      <c r="GB150" s="546"/>
      <c r="GC150" s="546"/>
      <c r="GD150" s="546"/>
      <c r="GE150" s="546"/>
      <c r="GF150" s="546"/>
      <c r="GG150" s="546"/>
      <c r="GH150" s="546"/>
      <c r="GI150" s="546"/>
      <c r="GJ150" s="546"/>
      <c r="GK150" s="546"/>
      <c r="GL150" s="546"/>
      <c r="GM150" s="546"/>
      <c r="GN150" s="546"/>
      <c r="GO150" s="546"/>
      <c r="GP150" s="546"/>
      <c r="GQ150" s="546"/>
      <c r="GR150" s="546"/>
      <c r="GS150" s="546"/>
      <c r="GT150" s="546"/>
      <c r="GU150" s="546"/>
      <c r="GV150" s="546"/>
      <c r="GW150" s="546"/>
      <c r="GX150" s="546"/>
      <c r="GY150" s="546"/>
      <c r="GZ150" s="546"/>
      <c r="HA150" s="546"/>
      <c r="HB150" s="546"/>
      <c r="HC150" s="546"/>
      <c r="HD150" s="546"/>
      <c r="HE150" s="546"/>
      <c r="HF150" s="546"/>
      <c r="HG150" s="546"/>
      <c r="HH150" s="546"/>
      <c r="HI150" s="546"/>
      <c r="HJ150" s="546"/>
    </row>
    <row r="151" spans="1:218" s="541" customFormat="1" ht="15" customHeight="1" x14ac:dyDescent="0.15">
      <c r="A151" s="550"/>
      <c r="B151" s="597"/>
      <c r="C151" s="550"/>
      <c r="D151" s="731"/>
      <c r="E151" s="731"/>
      <c r="F151" s="731"/>
      <c r="G151" s="731"/>
      <c r="H151" s="731"/>
      <c r="I151" s="731"/>
      <c r="J151" s="731"/>
      <c r="K151" s="731"/>
      <c r="L151" s="731"/>
      <c r="M151" s="731"/>
      <c r="N151" s="731"/>
      <c r="O151" s="731"/>
      <c r="P151" s="731"/>
      <c r="Q151" s="731"/>
      <c r="R151" s="731"/>
      <c r="S151" s="731"/>
      <c r="T151" s="733"/>
      <c r="U151" s="733"/>
      <c r="V151" s="733"/>
      <c r="W151" s="733"/>
      <c r="X151" s="733"/>
      <c r="Y151" s="733"/>
      <c r="Z151" s="735"/>
      <c r="AA151" s="735"/>
      <c r="AB151" s="735"/>
      <c r="AC151" s="735"/>
      <c r="AD151" s="735"/>
      <c r="AE151" s="735"/>
      <c r="AF151" s="735"/>
      <c r="AG151" s="735"/>
      <c r="AH151" s="735"/>
      <c r="AI151" s="735"/>
      <c r="AJ151" s="735"/>
      <c r="AK151" s="735"/>
      <c r="AL151" s="735"/>
      <c r="AM151" s="735"/>
      <c r="AN151" s="735"/>
      <c r="AO151" s="735"/>
      <c r="AP151" s="735"/>
      <c r="AQ151" s="735"/>
      <c r="AR151" s="735"/>
      <c r="AS151" s="735"/>
      <c r="AT151" s="735"/>
      <c r="AU151" s="735"/>
      <c r="AV151" s="735"/>
      <c r="AW151" s="735"/>
      <c r="AX151" s="735"/>
      <c r="AY151" s="740"/>
      <c r="AZ151" s="740"/>
      <c r="BA151" s="740"/>
      <c r="BB151" s="740"/>
      <c r="BC151" s="740"/>
      <c r="BD151" s="740"/>
      <c r="BE151" s="740"/>
      <c r="BF151" s="736"/>
      <c r="BG151" s="598"/>
      <c r="BH151" s="550"/>
      <c r="BI151" s="550"/>
      <c r="BJ151" s="550"/>
      <c r="BK151" s="550"/>
      <c r="BL151" s="550"/>
      <c r="BM151" s="551"/>
      <c r="BO151" s="561" t="s">
        <v>564</v>
      </c>
      <c r="BV151" s="670" t="s">
        <v>563</v>
      </c>
      <c r="BZ151" s="546"/>
      <c r="CA151" s="546"/>
      <c r="CB151" s="626"/>
      <c r="CC151" s="626"/>
      <c r="CD151" s="626"/>
      <c r="CE151" s="672" t="s">
        <v>517</v>
      </c>
      <c r="CF151" s="546"/>
      <c r="CG151" s="546"/>
      <c r="CH151" s="546"/>
      <c r="CI151" s="546"/>
      <c r="CW151" s="554"/>
      <c r="EJ151" s="546"/>
      <c r="EK151" s="546"/>
      <c r="EL151" s="546"/>
      <c r="EM151" s="546"/>
      <c r="EN151" s="546"/>
      <c r="EO151" s="546"/>
      <c r="EP151" s="546"/>
      <c r="EQ151" s="546"/>
      <c r="ER151" s="546"/>
      <c r="ES151" s="546"/>
      <c r="ET151" s="546"/>
      <c r="EU151" s="546"/>
      <c r="EV151" s="546"/>
      <c r="EW151" s="546"/>
      <c r="EX151" s="546"/>
      <c r="EY151" s="546"/>
      <c r="EZ151" s="546"/>
      <c r="FA151" s="546"/>
      <c r="FB151" s="546"/>
      <c r="FC151" s="546"/>
      <c r="FD151" s="546"/>
      <c r="FE151" s="546"/>
      <c r="FF151" s="546"/>
      <c r="FG151" s="546"/>
      <c r="FH151" s="546"/>
      <c r="FI151" s="546"/>
      <c r="FJ151" s="546"/>
      <c r="FK151" s="546"/>
      <c r="FL151" s="546"/>
      <c r="FM151" s="546"/>
      <c r="FN151" s="546"/>
      <c r="FO151" s="546"/>
      <c r="FP151" s="546"/>
      <c r="FQ151" s="546"/>
      <c r="FR151" s="546"/>
      <c r="FS151" s="546"/>
      <c r="FT151" s="546"/>
      <c r="FU151" s="546"/>
      <c r="FV151" s="546"/>
      <c r="FW151" s="546"/>
      <c r="FX151" s="546"/>
      <c r="FY151" s="546"/>
      <c r="FZ151" s="546"/>
      <c r="GA151" s="546"/>
      <c r="GB151" s="546"/>
      <c r="GC151" s="546"/>
      <c r="GD151" s="546"/>
      <c r="GE151" s="546"/>
      <c r="GF151" s="546"/>
      <c r="GG151" s="546"/>
      <c r="GH151" s="546"/>
      <c r="GI151" s="546"/>
      <c r="GJ151" s="546"/>
      <c r="GK151" s="546"/>
      <c r="GL151" s="546"/>
      <c r="GM151" s="546"/>
      <c r="GN151" s="546"/>
      <c r="GO151" s="546"/>
      <c r="GP151" s="546"/>
      <c r="GQ151" s="546"/>
      <c r="GR151" s="546"/>
      <c r="GS151" s="546"/>
      <c r="GT151" s="546"/>
      <c r="GU151" s="546"/>
      <c r="GV151" s="546"/>
      <c r="GW151" s="546"/>
      <c r="GX151" s="546"/>
      <c r="GY151" s="546"/>
      <c r="GZ151" s="546"/>
      <c r="HA151" s="546"/>
      <c r="HB151" s="546"/>
      <c r="HC151" s="546"/>
      <c r="HD151" s="546"/>
      <c r="HE151" s="546"/>
      <c r="HF151" s="546"/>
      <c r="HG151" s="546"/>
      <c r="HH151" s="546"/>
      <c r="HI151" s="546"/>
      <c r="HJ151" s="546"/>
    </row>
    <row r="152" spans="1:218" ht="14.25" customHeight="1" x14ac:dyDescent="0.15">
      <c r="A152" s="550"/>
      <c r="B152" s="597"/>
      <c r="C152" s="550"/>
      <c r="D152" s="731" t="s">
        <v>572</v>
      </c>
      <c r="E152" s="731"/>
      <c r="F152" s="731"/>
      <c r="G152" s="731"/>
      <c r="H152" s="731"/>
      <c r="I152" s="731"/>
      <c r="J152" s="731"/>
      <c r="K152" s="731"/>
      <c r="L152" s="732"/>
      <c r="M152" s="731"/>
      <c r="N152" s="732"/>
      <c r="O152" s="731"/>
      <c r="P152" s="732"/>
      <c r="Q152" s="731"/>
      <c r="R152" s="731"/>
      <c r="S152" s="732"/>
      <c r="T152" s="733"/>
      <c r="U152" s="733"/>
      <c r="V152" s="733"/>
      <c r="W152" s="733"/>
      <c r="X152" s="737"/>
      <c r="Y152" s="737"/>
      <c r="Z152" s="1286">
        <f>Z154+Z156</f>
        <v>0</v>
      </c>
      <c r="AA152" s="1286"/>
      <c r="AB152" s="1286"/>
      <c r="AC152" s="1286"/>
      <c r="AD152" s="1286"/>
      <c r="AE152" s="1286"/>
      <c r="AF152" s="1286"/>
      <c r="AG152" s="1286"/>
      <c r="AH152" s="735"/>
      <c r="AI152" s="1286">
        <f>AI154+AI156</f>
        <v>0</v>
      </c>
      <c r="AJ152" s="1286"/>
      <c r="AK152" s="1286"/>
      <c r="AL152" s="1286"/>
      <c r="AM152" s="1286"/>
      <c r="AN152" s="1286"/>
      <c r="AO152" s="735"/>
      <c r="AP152" s="1286">
        <f>AP154+AP156</f>
        <v>0</v>
      </c>
      <c r="AQ152" s="1286"/>
      <c r="AR152" s="1286"/>
      <c r="AS152" s="1286"/>
      <c r="AT152" s="737"/>
      <c r="AU152" s="737"/>
      <c r="AV152" s="737"/>
      <c r="AW152" s="737"/>
      <c r="AX152" s="735"/>
      <c r="AY152" s="1265">
        <f>Z152+AI152+AP152</f>
        <v>0</v>
      </c>
      <c r="AZ152" s="1265"/>
      <c r="BA152" s="1265"/>
      <c r="BB152" s="1265"/>
      <c r="BC152" s="1265"/>
      <c r="BD152" s="1265"/>
      <c r="BE152" s="1265"/>
      <c r="BF152" s="736"/>
      <c r="BG152" s="598"/>
      <c r="BH152" s="550"/>
      <c r="BI152" s="550"/>
      <c r="BJ152" s="550"/>
      <c r="BK152" s="550"/>
      <c r="BL152" s="550"/>
      <c r="BM152" s="551"/>
      <c r="BN152" s="590"/>
      <c r="BO152" s="743" t="s">
        <v>380</v>
      </c>
      <c r="BP152" s="590"/>
      <c r="BQ152" s="590"/>
      <c r="BR152" s="590"/>
      <c r="BS152" s="590"/>
      <c r="BT152" s="590"/>
      <c r="BU152" s="590"/>
      <c r="BV152" s="559" t="s">
        <v>380</v>
      </c>
      <c r="BW152" s="743"/>
      <c r="BX152" s="743"/>
      <c r="BY152" s="590"/>
      <c r="BZ152" s="651"/>
      <c r="CA152" s="651"/>
      <c r="CB152" s="626"/>
      <c r="CC152" s="745"/>
      <c r="CD152" s="745"/>
      <c r="CE152" s="625" t="s">
        <v>380</v>
      </c>
      <c r="CF152" s="743"/>
      <c r="CG152" s="743"/>
      <c r="CH152" s="743"/>
      <c r="CI152" s="651"/>
      <c r="CJ152" s="590"/>
      <c r="CK152" s="590"/>
      <c r="CL152" s="590"/>
      <c r="CM152" s="590"/>
      <c r="CN152" s="590"/>
      <c r="CO152" s="590"/>
      <c r="CP152" s="590"/>
      <c r="CQ152" s="590"/>
      <c r="CR152" s="590"/>
      <c r="CS152" s="590"/>
      <c r="CT152" s="590"/>
      <c r="CV152" s="590"/>
      <c r="CW152" s="591"/>
      <c r="CX152" s="590"/>
      <c r="CY152" s="590"/>
      <c r="CZ152" s="590"/>
      <c r="DA152" s="590"/>
      <c r="DB152" s="590"/>
      <c r="DC152" s="590"/>
      <c r="DD152" s="590"/>
      <c r="DE152" s="590"/>
      <c r="DF152" s="590"/>
      <c r="DG152" s="590"/>
      <c r="DH152" s="590"/>
      <c r="DI152" s="590"/>
      <c r="DJ152" s="590"/>
      <c r="DK152" s="590"/>
      <c r="DL152" s="590"/>
      <c r="DM152" s="590"/>
      <c r="DN152" s="590"/>
      <c r="DO152" s="651"/>
      <c r="DP152" s="651"/>
      <c r="DQ152" s="590"/>
    </row>
    <row r="153" spans="1:218" ht="14" x14ac:dyDescent="0.15">
      <c r="A153" s="550"/>
      <c r="B153" s="597"/>
      <c r="C153" s="550"/>
      <c r="D153" s="731"/>
      <c r="E153" s="731"/>
      <c r="F153" s="731"/>
      <c r="G153" s="731"/>
      <c r="H153" s="731"/>
      <c r="I153" s="731"/>
      <c r="J153" s="731"/>
      <c r="K153" s="731"/>
      <c r="L153" s="732"/>
      <c r="M153" s="731"/>
      <c r="N153" s="732"/>
      <c r="O153" s="731"/>
      <c r="P153" s="732"/>
      <c r="Q153" s="731"/>
      <c r="R153" s="731"/>
      <c r="S153" s="732"/>
      <c r="T153" s="733"/>
      <c r="U153" s="733"/>
      <c r="V153" s="733"/>
      <c r="W153" s="733"/>
      <c r="X153" s="733"/>
      <c r="Y153" s="733"/>
      <c r="Z153" s="737"/>
      <c r="AA153" s="737"/>
      <c r="AB153" s="737"/>
      <c r="AC153" s="737"/>
      <c r="AD153" s="737"/>
      <c r="AE153" s="737"/>
      <c r="AF153" s="737"/>
      <c r="AG153" s="737"/>
      <c r="AH153" s="735"/>
      <c r="AI153" s="737"/>
      <c r="AJ153" s="737"/>
      <c r="AK153" s="737"/>
      <c r="AL153" s="737"/>
      <c r="AM153" s="737"/>
      <c r="AN153" s="737"/>
      <c r="AO153" s="735"/>
      <c r="AP153" s="737"/>
      <c r="AQ153" s="737"/>
      <c r="AR153" s="737"/>
      <c r="AS153" s="737"/>
      <c r="AT153" s="737"/>
      <c r="AU153" s="737"/>
      <c r="AV153" s="737"/>
      <c r="AW153" s="737"/>
      <c r="AX153" s="735"/>
      <c r="AY153" s="734"/>
      <c r="AZ153" s="741"/>
      <c r="BA153" s="741"/>
      <c r="BB153" s="741"/>
      <c r="BC153" s="741"/>
      <c r="BD153" s="741"/>
      <c r="BE153" s="741"/>
      <c r="BF153" s="736"/>
      <c r="BG153" s="598"/>
      <c r="BH153" s="550"/>
      <c r="BI153" s="550"/>
      <c r="BJ153" s="550"/>
      <c r="BK153" s="550"/>
      <c r="BL153" s="550"/>
      <c r="BM153" s="551"/>
      <c r="BN153" s="590"/>
      <c r="BO153" s="743" t="str">
        <f>+BV184</f>
        <v/>
      </c>
      <c r="BP153" s="590"/>
      <c r="BQ153" s="590"/>
      <c r="BR153" s="590"/>
      <c r="BS153" s="590"/>
      <c r="BT153" s="590"/>
      <c r="BU153" s="590"/>
      <c r="BV153" s="625" t="str">
        <f>+BV162</f>
        <v/>
      </c>
      <c r="BW153" s="743"/>
      <c r="BX153" s="743"/>
      <c r="BY153" s="590"/>
      <c r="BZ153" s="651"/>
      <c r="CA153" s="651"/>
      <c r="CB153" s="626"/>
      <c r="CC153" s="745"/>
      <c r="CD153" s="745"/>
      <c r="CE153" s="625" t="s">
        <v>401</v>
      </c>
      <c r="CF153" s="743"/>
      <c r="CG153" s="743"/>
      <c r="CH153" s="743"/>
      <c r="CI153" s="651"/>
      <c r="CJ153" s="590"/>
      <c r="CK153" s="590"/>
      <c r="CL153" s="590"/>
      <c r="CM153" s="590"/>
      <c r="CN153" s="590"/>
      <c r="CO153" s="590"/>
      <c r="CP153" s="590"/>
      <c r="CQ153" s="590"/>
      <c r="CR153" s="590"/>
      <c r="CS153" s="590"/>
      <c r="CT153" s="590"/>
      <c r="CV153" s="590"/>
      <c r="CW153" s="591"/>
      <c r="CX153" s="590"/>
      <c r="CY153" s="590"/>
      <c r="CZ153" s="590"/>
      <c r="DA153" s="590"/>
      <c r="DB153" s="590"/>
      <c r="DC153" s="590"/>
      <c r="DD153" s="590"/>
      <c r="DE153" s="590"/>
      <c r="DF153" s="590"/>
      <c r="DG153" s="590"/>
      <c r="DH153" s="590"/>
      <c r="DI153" s="590"/>
      <c r="DJ153" s="590"/>
      <c r="DK153" s="590"/>
      <c r="DL153" s="590"/>
      <c r="DM153" s="590"/>
      <c r="DN153" s="590"/>
      <c r="DO153" s="590"/>
      <c r="DP153" s="590"/>
      <c r="DQ153" s="590"/>
    </row>
    <row r="154" spans="1:218" ht="13.5" customHeight="1" x14ac:dyDescent="0.15">
      <c r="A154" s="550"/>
      <c r="B154" s="597"/>
      <c r="C154" s="550"/>
      <c r="D154" s="731"/>
      <c r="E154" s="1272" t="s">
        <v>229</v>
      </c>
      <c r="F154" s="1272"/>
      <c r="G154" s="1272"/>
      <c r="H154" s="1272"/>
      <c r="I154" s="1272"/>
      <c r="J154" s="1272"/>
      <c r="K154" s="1272"/>
      <c r="L154" s="1272"/>
      <c r="M154" s="1272"/>
      <c r="N154" s="1272"/>
      <c r="O154" s="1272"/>
      <c r="P154" s="732"/>
      <c r="Q154" s="731"/>
      <c r="R154" s="731"/>
      <c r="S154" s="732"/>
      <c r="T154" s="733"/>
      <c r="U154" s="733"/>
      <c r="V154" s="733"/>
      <c r="W154" s="733"/>
      <c r="X154" s="731"/>
      <c r="Y154" s="731"/>
      <c r="Z154" s="1273"/>
      <c r="AA154" s="1273"/>
      <c r="AB154" s="1273"/>
      <c r="AC154" s="1273"/>
      <c r="AD154" s="1273"/>
      <c r="AE154" s="1273"/>
      <c r="AF154" s="1273"/>
      <c r="AG154" s="1273"/>
      <c r="AH154" s="735"/>
      <c r="AI154" s="1267"/>
      <c r="AJ154" s="1267"/>
      <c r="AK154" s="1267"/>
      <c r="AL154" s="1267"/>
      <c r="AM154" s="1267"/>
      <c r="AN154" s="1267"/>
      <c r="AO154" s="735"/>
      <c r="AP154" s="1253"/>
      <c r="AQ154" s="1253"/>
      <c r="AR154" s="1253"/>
      <c r="AS154" s="1253"/>
      <c r="AT154" s="734"/>
      <c r="AU154" s="734"/>
      <c r="AV154" s="734"/>
      <c r="AW154" s="734"/>
      <c r="AX154" s="735"/>
      <c r="AY154" s="1265">
        <f>Z154+AI154+AP154</f>
        <v>0</v>
      </c>
      <c r="AZ154" s="1265"/>
      <c r="BA154" s="1265"/>
      <c r="BB154" s="1265"/>
      <c r="BC154" s="1265"/>
      <c r="BD154" s="1265"/>
      <c r="BE154" s="1265"/>
      <c r="BF154" s="736"/>
      <c r="BG154" s="598"/>
      <c r="BH154" s="550"/>
      <c r="BI154" s="595"/>
      <c r="BJ154" s="595"/>
      <c r="BK154" s="595"/>
      <c r="BL154" s="595"/>
      <c r="BM154" s="746"/>
      <c r="BN154" s="590"/>
      <c r="BO154" s="743" t="str">
        <f>+BW184</f>
        <v/>
      </c>
      <c r="BP154" s="590"/>
      <c r="BQ154" s="590"/>
      <c r="BR154" s="590"/>
      <c r="BS154" s="590"/>
      <c r="BT154" s="590"/>
      <c r="BU154" s="590"/>
      <c r="BV154" s="625" t="str">
        <f>+BW162</f>
        <v/>
      </c>
      <c r="BW154" s="743"/>
      <c r="BX154" s="743"/>
      <c r="BY154" s="590"/>
      <c r="BZ154" s="651"/>
      <c r="CA154" s="651"/>
      <c r="CB154" s="626"/>
      <c r="CC154" s="745"/>
      <c r="CD154" s="745"/>
      <c r="CE154" s="625" t="s">
        <v>402</v>
      </c>
      <c r="CF154" s="743"/>
      <c r="CG154" s="743"/>
      <c r="CH154" s="743"/>
      <c r="CI154" s="651"/>
      <c r="CJ154" s="590"/>
      <c r="CK154" s="590"/>
      <c r="CL154" s="590"/>
      <c r="CM154" s="590"/>
      <c r="CN154" s="590"/>
      <c r="CO154" s="590"/>
      <c r="CP154" s="590"/>
      <c r="CQ154" s="590"/>
      <c r="CR154" s="590"/>
      <c r="CS154" s="590"/>
      <c r="CT154" s="590"/>
      <c r="CV154" s="590"/>
      <c r="CW154" s="591"/>
      <c r="CX154" s="590"/>
      <c r="CY154" s="590"/>
      <c r="CZ154" s="590"/>
      <c r="DA154" s="590"/>
      <c r="DB154" s="590"/>
      <c r="DC154" s="590"/>
      <c r="DD154" s="590"/>
      <c r="DE154" s="590"/>
      <c r="DF154" s="590"/>
      <c r="DG154" s="590"/>
      <c r="DH154" s="590"/>
      <c r="DI154" s="590"/>
      <c r="DJ154" s="590"/>
      <c r="DK154" s="590"/>
      <c r="DL154" s="590"/>
      <c r="DM154" s="590"/>
      <c r="DN154" s="590"/>
      <c r="DO154" s="590"/>
      <c r="DP154" s="590"/>
      <c r="DQ154" s="590"/>
    </row>
    <row r="155" spans="1:218" ht="15" customHeight="1" x14ac:dyDescent="0.15">
      <c r="A155" s="588"/>
      <c r="B155" s="597"/>
      <c r="C155" s="550"/>
      <c r="D155" s="731"/>
      <c r="E155" s="742"/>
      <c r="F155" s="742"/>
      <c r="G155" s="742"/>
      <c r="H155" s="742"/>
      <c r="I155" s="742"/>
      <c r="J155" s="742"/>
      <c r="K155" s="742"/>
      <c r="L155" s="742"/>
      <c r="M155" s="742"/>
      <c r="N155" s="742"/>
      <c r="O155" s="742"/>
      <c r="P155" s="732"/>
      <c r="Q155" s="731"/>
      <c r="R155" s="731"/>
      <c r="S155" s="732"/>
      <c r="T155" s="733"/>
      <c r="U155" s="733"/>
      <c r="V155" s="733"/>
      <c r="W155" s="733"/>
      <c r="X155" s="733"/>
      <c r="Y155" s="733"/>
      <c r="Z155" s="737"/>
      <c r="AA155" s="737"/>
      <c r="AB155" s="737"/>
      <c r="AC155" s="737"/>
      <c r="AD155" s="737"/>
      <c r="AE155" s="737"/>
      <c r="AF155" s="737"/>
      <c r="AG155" s="737"/>
      <c r="AH155" s="735"/>
      <c r="AI155" s="737"/>
      <c r="AJ155" s="737"/>
      <c r="AK155" s="737"/>
      <c r="AL155" s="737"/>
      <c r="AM155" s="737"/>
      <c r="AN155" s="737"/>
      <c r="AO155" s="735"/>
      <c r="AP155" s="737"/>
      <c r="AQ155" s="737"/>
      <c r="AR155" s="737"/>
      <c r="AS155" s="737"/>
      <c r="AT155" s="737"/>
      <c r="AU155" s="737"/>
      <c r="AV155" s="737"/>
      <c r="AW155" s="737"/>
      <c r="AX155" s="735"/>
      <c r="AY155" s="734"/>
      <c r="AZ155" s="741"/>
      <c r="BA155" s="741"/>
      <c r="BB155" s="741"/>
      <c r="BC155" s="741"/>
      <c r="BD155" s="741"/>
      <c r="BE155" s="741"/>
      <c r="BF155" s="736"/>
      <c r="BG155" s="598"/>
      <c r="BH155" s="550"/>
      <c r="BI155" s="595"/>
      <c r="BJ155" s="595"/>
      <c r="BK155" s="595"/>
      <c r="BL155" s="595"/>
      <c r="BM155" s="746"/>
      <c r="BN155" s="590"/>
      <c r="BO155" s="743" t="str">
        <f>+BX184</f>
        <v/>
      </c>
      <c r="BP155" s="590"/>
      <c r="BQ155" s="590"/>
      <c r="BR155" s="590"/>
      <c r="BS155" s="590"/>
      <c r="BT155" s="590"/>
      <c r="BU155" s="590"/>
      <c r="BV155" s="625" t="str">
        <f>+BX162</f>
        <v/>
      </c>
      <c r="BW155" s="743"/>
      <c r="BX155" s="743"/>
      <c r="BY155" s="590"/>
      <c r="BZ155" s="651"/>
      <c r="CA155" s="651"/>
      <c r="CB155" s="651"/>
      <c r="CC155" s="651"/>
      <c r="CD155" s="651"/>
      <c r="CE155" s="651"/>
      <c r="CF155" s="651"/>
      <c r="CG155" s="651"/>
      <c r="CH155" s="651"/>
      <c r="CI155" s="651"/>
      <c r="CJ155" s="590"/>
      <c r="CK155" s="590"/>
      <c r="CL155" s="590"/>
      <c r="CM155" s="590"/>
      <c r="CN155" s="590"/>
      <c r="CO155" s="590"/>
      <c r="CP155" s="590"/>
      <c r="CQ155" s="590"/>
      <c r="CR155" s="590"/>
      <c r="CS155" s="590"/>
      <c r="CT155" s="590"/>
      <c r="CV155" s="590"/>
      <c r="CW155" s="591"/>
      <c r="CX155" s="590"/>
      <c r="CY155" s="590"/>
      <c r="CZ155" s="590"/>
      <c r="DA155" s="590"/>
      <c r="DB155" s="590"/>
      <c r="DC155" s="590"/>
      <c r="DD155" s="590"/>
      <c r="DE155" s="590"/>
      <c r="DF155" s="590"/>
      <c r="DG155" s="590"/>
      <c r="DH155" s="590"/>
      <c r="DI155" s="590"/>
      <c r="DJ155" s="590"/>
      <c r="DK155" s="590"/>
      <c r="DL155" s="590"/>
      <c r="DM155" s="590"/>
      <c r="DN155" s="590"/>
      <c r="DO155" s="590"/>
      <c r="DP155" s="590"/>
      <c r="DQ155" s="590"/>
    </row>
    <row r="156" spans="1:218" ht="14.25" customHeight="1" x14ac:dyDescent="0.15">
      <c r="A156" s="588"/>
      <c r="B156" s="744"/>
      <c r="C156" s="581"/>
      <c r="D156" s="731"/>
      <c r="E156" s="1272" t="s">
        <v>1144</v>
      </c>
      <c r="F156" s="1272"/>
      <c r="G156" s="1272"/>
      <c r="H156" s="1272"/>
      <c r="I156" s="1272"/>
      <c r="J156" s="1272"/>
      <c r="K156" s="1272"/>
      <c r="L156" s="1272"/>
      <c r="M156" s="1272"/>
      <c r="N156" s="1272"/>
      <c r="O156" s="1272"/>
      <c r="P156" s="732"/>
      <c r="Q156" s="731"/>
      <c r="R156" s="731"/>
      <c r="S156" s="732"/>
      <c r="T156" s="733"/>
      <c r="U156" s="733"/>
      <c r="V156" s="733"/>
      <c r="W156" s="733"/>
      <c r="X156" s="731"/>
      <c r="Y156" s="731"/>
      <c r="Z156" s="1273"/>
      <c r="AA156" s="1273"/>
      <c r="AB156" s="1273"/>
      <c r="AC156" s="1273"/>
      <c r="AD156" s="1273"/>
      <c r="AE156" s="1273"/>
      <c r="AF156" s="1273"/>
      <c r="AG156" s="1273"/>
      <c r="AH156" s="735"/>
      <c r="AI156" s="1267"/>
      <c r="AJ156" s="1267"/>
      <c r="AK156" s="1267"/>
      <c r="AL156" s="1267"/>
      <c r="AM156" s="1267"/>
      <c r="AN156" s="1267"/>
      <c r="AO156" s="735"/>
      <c r="AP156" s="1253"/>
      <c r="AQ156" s="1253"/>
      <c r="AR156" s="1253"/>
      <c r="AS156" s="1253"/>
      <c r="AT156" s="734"/>
      <c r="AU156" s="734"/>
      <c r="AV156" s="734"/>
      <c r="AW156" s="734"/>
      <c r="AX156" s="735"/>
      <c r="AY156" s="1265">
        <f>Z156+AI156+AP156</f>
        <v>0</v>
      </c>
      <c r="AZ156" s="1265"/>
      <c r="BA156" s="1265"/>
      <c r="BB156" s="1265"/>
      <c r="BC156" s="1265"/>
      <c r="BD156" s="1265"/>
      <c r="BE156" s="1265"/>
      <c r="BF156" s="736"/>
      <c r="BG156" s="598"/>
      <c r="BH156" s="595"/>
      <c r="BI156" s="595"/>
      <c r="BJ156" s="595"/>
      <c r="BK156" s="595"/>
      <c r="BL156" s="595"/>
      <c r="BM156" s="746"/>
      <c r="BN156" s="590"/>
      <c r="BO156" s="590"/>
      <c r="BP156" s="590"/>
      <c r="BQ156" s="590"/>
      <c r="BR156" s="590"/>
      <c r="BS156" s="590"/>
      <c r="BT156" s="590"/>
      <c r="BU156" s="590"/>
      <c r="BV156" s="625" t="str">
        <f>+BY162</f>
        <v/>
      </c>
      <c r="BW156" s="743"/>
      <c r="BX156" s="743"/>
      <c r="BY156" s="590"/>
      <c r="BZ156" s="651"/>
      <c r="CA156" s="651"/>
      <c r="CB156" s="651"/>
      <c r="CC156" s="651"/>
      <c r="CD156" s="651"/>
      <c r="CE156" s="743" t="s">
        <v>380</v>
      </c>
      <c r="CF156" s="743"/>
      <c r="CG156" s="743"/>
      <c r="CH156" s="743"/>
      <c r="CI156" s="743"/>
      <c r="CJ156" s="590"/>
      <c r="CK156" s="590"/>
      <c r="CL156" s="590"/>
      <c r="CM156" s="590"/>
      <c r="CN156" s="590"/>
      <c r="CO156" s="590"/>
      <c r="CP156" s="590"/>
      <c r="CQ156" s="590"/>
      <c r="CR156" s="590"/>
      <c r="CS156" s="590"/>
      <c r="CT156" s="590"/>
      <c r="CV156" s="590"/>
      <c r="CW156" s="591"/>
      <c r="CX156" s="590"/>
      <c r="CY156" s="590"/>
      <c r="CZ156" s="590"/>
      <c r="DA156" s="590"/>
      <c r="DB156" s="590"/>
      <c r="DC156" s="590"/>
      <c r="DD156" s="590"/>
      <c r="DE156" s="590"/>
      <c r="DF156" s="590"/>
      <c r="DG156" s="590"/>
      <c r="DH156" s="590"/>
      <c r="DI156" s="590"/>
      <c r="DJ156" s="590"/>
      <c r="DK156" s="590"/>
      <c r="DL156" s="590"/>
      <c r="DM156" s="590"/>
      <c r="DN156" s="590"/>
      <c r="DO156" s="590"/>
      <c r="DP156" s="590"/>
      <c r="DQ156" s="590"/>
      <c r="DS156" s="627"/>
    </row>
    <row r="157" spans="1:218" ht="14" x14ac:dyDescent="0.15">
      <c r="A157" s="588"/>
      <c r="B157" s="744"/>
      <c r="C157" s="581"/>
      <c r="D157" s="731"/>
      <c r="E157" s="731"/>
      <c r="F157" s="731"/>
      <c r="G157" s="731"/>
      <c r="H157" s="731"/>
      <c r="I157" s="731"/>
      <c r="J157" s="731"/>
      <c r="K157" s="731"/>
      <c r="L157" s="732"/>
      <c r="M157" s="731"/>
      <c r="N157" s="732"/>
      <c r="O157" s="731"/>
      <c r="P157" s="732"/>
      <c r="Q157" s="731"/>
      <c r="R157" s="731"/>
      <c r="S157" s="732"/>
      <c r="T157" s="733"/>
      <c r="U157" s="733"/>
      <c r="V157" s="733"/>
      <c r="W157" s="733"/>
      <c r="X157" s="733"/>
      <c r="Y157" s="733"/>
      <c r="Z157" s="737"/>
      <c r="AA157" s="737"/>
      <c r="AB157" s="737"/>
      <c r="AC157" s="737"/>
      <c r="AD157" s="737"/>
      <c r="AE157" s="737"/>
      <c r="AF157" s="737"/>
      <c r="AG157" s="737"/>
      <c r="AH157" s="735"/>
      <c r="AI157" s="737"/>
      <c r="AJ157" s="737"/>
      <c r="AK157" s="737"/>
      <c r="AL157" s="737"/>
      <c r="AM157" s="737"/>
      <c r="AN157" s="737"/>
      <c r="AO157" s="735"/>
      <c r="AP157" s="737"/>
      <c r="AQ157" s="737"/>
      <c r="AR157" s="737"/>
      <c r="AS157" s="737"/>
      <c r="AT157" s="737"/>
      <c r="AU157" s="737"/>
      <c r="AV157" s="737"/>
      <c r="AW157" s="737"/>
      <c r="AX157" s="735"/>
      <c r="AY157" s="734"/>
      <c r="AZ157" s="741"/>
      <c r="BA157" s="741"/>
      <c r="BB157" s="741"/>
      <c r="BC157" s="741"/>
      <c r="BD157" s="741"/>
      <c r="BE157" s="741"/>
      <c r="BF157" s="736"/>
      <c r="BG157" s="598"/>
      <c r="BH157" s="595"/>
      <c r="BI157" s="595"/>
      <c r="BJ157" s="595"/>
      <c r="BK157" s="595"/>
      <c r="BL157" s="595"/>
      <c r="BM157" s="746"/>
      <c r="BN157" s="590"/>
      <c r="BO157" s="743" t="s">
        <v>163</v>
      </c>
      <c r="BP157" s="590"/>
      <c r="BQ157" s="590"/>
      <c r="BR157" s="590"/>
      <c r="BS157" s="590"/>
      <c r="BT157" s="590"/>
      <c r="BU157" s="590"/>
      <c r="BV157" s="625" t="str">
        <f>+BZ162</f>
        <v/>
      </c>
      <c r="BW157" s="743"/>
      <c r="BX157" s="743"/>
      <c r="BY157" s="590"/>
      <c r="BZ157" s="590"/>
      <c r="CA157" s="590"/>
      <c r="CB157" s="590"/>
      <c r="CC157" s="590"/>
      <c r="CD157" s="590"/>
      <c r="CE157" s="743" t="s">
        <v>518</v>
      </c>
      <c r="CF157" s="743"/>
      <c r="CG157" s="743"/>
      <c r="CH157" s="743"/>
      <c r="CI157" s="743"/>
      <c r="CJ157" s="590"/>
      <c r="CK157" s="590"/>
      <c r="CL157" s="590"/>
      <c r="CM157" s="590"/>
      <c r="CN157" s="590"/>
      <c r="CO157" s="590"/>
      <c r="CP157" s="590"/>
      <c r="CQ157" s="590"/>
      <c r="CR157" s="590"/>
      <c r="CS157" s="590"/>
      <c r="CT157" s="590"/>
      <c r="CV157" s="590"/>
      <c r="CW157" s="591"/>
      <c r="CX157" s="590"/>
      <c r="CY157" s="590"/>
      <c r="CZ157" s="590"/>
      <c r="DA157" s="590"/>
      <c r="DB157" s="590"/>
      <c r="DC157" s="590"/>
      <c r="DD157" s="590"/>
      <c r="DE157" s="590"/>
      <c r="DF157" s="590"/>
      <c r="DG157" s="590"/>
      <c r="DH157" s="590"/>
      <c r="DI157" s="590"/>
      <c r="DJ157" s="590"/>
      <c r="DK157" s="590"/>
      <c r="DL157" s="590"/>
      <c r="DM157" s="590"/>
      <c r="DN157" s="590"/>
      <c r="DO157" s="590"/>
      <c r="DP157" s="590"/>
      <c r="DQ157" s="590"/>
      <c r="DS157" s="627"/>
    </row>
    <row r="158" spans="1:218" ht="14.25" customHeight="1" x14ac:dyDescent="0.15">
      <c r="A158" s="588"/>
      <c r="B158" s="744"/>
      <c r="C158" s="581"/>
      <c r="D158" s="731" t="s">
        <v>573</v>
      </c>
      <c r="E158" s="731"/>
      <c r="F158" s="731"/>
      <c r="G158" s="731"/>
      <c r="H158" s="731"/>
      <c r="I158" s="731"/>
      <c r="J158" s="731"/>
      <c r="K158" s="731"/>
      <c r="L158" s="732"/>
      <c r="M158" s="731"/>
      <c r="N158" s="732"/>
      <c r="O158" s="731"/>
      <c r="P158" s="732"/>
      <c r="Q158" s="731"/>
      <c r="R158" s="731"/>
      <c r="S158" s="732"/>
      <c r="T158" s="733"/>
      <c r="U158" s="733"/>
      <c r="V158" s="733"/>
      <c r="W158" s="733"/>
      <c r="X158" s="731"/>
      <c r="Y158" s="731"/>
      <c r="Z158" s="1273"/>
      <c r="AA158" s="1273"/>
      <c r="AB158" s="1273"/>
      <c r="AC158" s="1273"/>
      <c r="AD158" s="1273"/>
      <c r="AE158" s="1273"/>
      <c r="AF158" s="1273"/>
      <c r="AG158" s="1273"/>
      <c r="AH158" s="735"/>
      <c r="AI158" s="1267"/>
      <c r="AJ158" s="1267"/>
      <c r="AK158" s="1267"/>
      <c r="AL158" s="1267"/>
      <c r="AM158" s="1267"/>
      <c r="AN158" s="1267"/>
      <c r="AO158" s="735"/>
      <c r="AP158" s="1267"/>
      <c r="AQ158" s="1267"/>
      <c r="AR158" s="1267"/>
      <c r="AS158" s="1267"/>
      <c r="AT158" s="737"/>
      <c r="AU158" s="737"/>
      <c r="AV158" s="737"/>
      <c r="AW158" s="737"/>
      <c r="AX158" s="735"/>
      <c r="AY158" s="1265">
        <f>Z158+AI158+AP158</f>
        <v>0</v>
      </c>
      <c r="AZ158" s="1265"/>
      <c r="BA158" s="1265"/>
      <c r="BB158" s="1265"/>
      <c r="BC158" s="1265"/>
      <c r="BD158" s="1265"/>
      <c r="BE158" s="1265"/>
      <c r="BF158" s="736"/>
      <c r="BG158" s="598"/>
      <c r="BH158" s="595"/>
      <c r="BI158" s="595"/>
      <c r="BJ158" s="595"/>
      <c r="BK158" s="595"/>
      <c r="BL158" s="595"/>
      <c r="BM158" s="746"/>
      <c r="BN158" s="590"/>
      <c r="BO158" s="743" t="s">
        <v>538</v>
      </c>
      <c r="BP158" s="590"/>
      <c r="BQ158" s="590"/>
      <c r="BR158" s="590"/>
      <c r="BS158" s="590"/>
      <c r="BT158" s="590"/>
      <c r="BU158" s="590"/>
      <c r="BV158" s="625" t="str">
        <f>+CA162</f>
        <v/>
      </c>
      <c r="BW158" s="743"/>
      <c r="BX158" s="743"/>
      <c r="BY158" s="590"/>
      <c r="BZ158" s="590"/>
      <c r="CA158" s="590"/>
      <c r="CB158" s="590"/>
      <c r="CC158" s="590"/>
      <c r="CD158" s="590"/>
      <c r="CE158" s="743" t="s">
        <v>520</v>
      </c>
      <c r="CF158" s="743"/>
      <c r="CG158" s="743"/>
      <c r="CH158" s="743"/>
      <c r="CI158" s="743"/>
      <c r="CJ158" s="590"/>
      <c r="CK158" s="590"/>
      <c r="CL158" s="590"/>
      <c r="CM158" s="590"/>
      <c r="CN158" s="590"/>
      <c r="CO158" s="590"/>
      <c r="CP158" s="590"/>
      <c r="CQ158" s="590"/>
      <c r="CR158" s="590"/>
      <c r="CS158" s="590"/>
      <c r="CT158" s="590"/>
      <c r="CV158" s="590"/>
      <c r="CW158" s="591"/>
      <c r="CX158" s="590"/>
      <c r="CY158" s="590"/>
      <c r="CZ158" s="590"/>
      <c r="DA158" s="590"/>
      <c r="DB158" s="590"/>
      <c r="DC158" s="590"/>
      <c r="DD158" s="590"/>
      <c r="DE158" s="590"/>
      <c r="DF158" s="590"/>
      <c r="DG158" s="590"/>
      <c r="DH158" s="590"/>
      <c r="DI158" s="590"/>
      <c r="DJ158" s="590"/>
      <c r="DK158" s="590"/>
      <c r="DL158" s="590"/>
      <c r="DM158" s="590"/>
      <c r="DN158" s="590"/>
      <c r="DO158" s="590"/>
      <c r="DP158" s="590"/>
      <c r="DQ158" s="590"/>
      <c r="DS158" s="627"/>
    </row>
    <row r="159" spans="1:218" ht="14" x14ac:dyDescent="0.15">
      <c r="A159" s="588"/>
      <c r="B159" s="744"/>
      <c r="C159" s="581"/>
      <c r="D159" s="731"/>
      <c r="E159" s="731"/>
      <c r="F159" s="731"/>
      <c r="G159" s="731"/>
      <c r="H159" s="731"/>
      <c r="I159" s="731"/>
      <c r="J159" s="731"/>
      <c r="K159" s="731"/>
      <c r="L159" s="732"/>
      <c r="M159" s="731"/>
      <c r="N159" s="732"/>
      <c r="O159" s="731"/>
      <c r="P159" s="732"/>
      <c r="Q159" s="731"/>
      <c r="R159" s="731"/>
      <c r="S159" s="732"/>
      <c r="T159" s="733"/>
      <c r="U159" s="733"/>
      <c r="V159" s="733"/>
      <c r="W159" s="733"/>
      <c r="X159" s="733"/>
      <c r="Y159" s="733"/>
      <c r="Z159" s="737"/>
      <c r="AA159" s="737"/>
      <c r="AB159" s="737"/>
      <c r="AC159" s="737"/>
      <c r="AD159" s="737"/>
      <c r="AE159" s="737"/>
      <c r="AF159" s="737"/>
      <c r="AG159" s="737"/>
      <c r="AH159" s="735"/>
      <c r="AI159" s="737"/>
      <c r="AJ159" s="737"/>
      <c r="AK159" s="737"/>
      <c r="AL159" s="737"/>
      <c r="AM159" s="737"/>
      <c r="AN159" s="737"/>
      <c r="AO159" s="735"/>
      <c r="AP159" s="737"/>
      <c r="AQ159" s="737"/>
      <c r="AR159" s="737"/>
      <c r="AS159" s="737"/>
      <c r="AT159" s="737"/>
      <c r="AU159" s="737"/>
      <c r="AV159" s="737"/>
      <c r="AW159" s="737"/>
      <c r="AX159" s="735"/>
      <c r="AY159" s="734"/>
      <c r="AZ159" s="741"/>
      <c r="BA159" s="741"/>
      <c r="BB159" s="741"/>
      <c r="BC159" s="741"/>
      <c r="BD159" s="741"/>
      <c r="BE159" s="741"/>
      <c r="BF159" s="736"/>
      <c r="BG159" s="598"/>
      <c r="BH159" s="595"/>
      <c r="BI159" s="595"/>
      <c r="BJ159" s="595"/>
      <c r="BK159" s="595"/>
      <c r="BL159" s="595"/>
      <c r="BM159" s="746"/>
      <c r="BN159" s="590"/>
      <c r="BO159" s="743" t="s">
        <v>539</v>
      </c>
      <c r="BP159" s="590"/>
      <c r="BQ159" s="590"/>
      <c r="BR159" s="590"/>
      <c r="BS159" s="590"/>
      <c r="BT159" s="590"/>
      <c r="BU159" s="590"/>
      <c r="BV159" s="625" t="str">
        <f>+CB162</f>
        <v/>
      </c>
      <c r="BW159" s="743"/>
      <c r="BX159" s="743"/>
      <c r="BY159" s="590"/>
      <c r="BZ159" s="590"/>
      <c r="CA159" s="590"/>
      <c r="CB159" s="590"/>
      <c r="CC159" s="590"/>
      <c r="CD159" s="590"/>
      <c r="CE159" s="743" t="s">
        <v>519</v>
      </c>
      <c r="CF159" s="743"/>
      <c r="CG159" s="743"/>
      <c r="CH159" s="743"/>
      <c r="CI159" s="743"/>
      <c r="CJ159" s="590"/>
      <c r="CK159" s="590"/>
      <c r="CL159" s="590"/>
      <c r="CM159" s="590"/>
      <c r="CN159" s="590"/>
      <c r="CO159" s="590"/>
      <c r="CP159" s="590"/>
      <c r="CQ159" s="590"/>
      <c r="CR159" s="590"/>
      <c r="CS159" s="590"/>
      <c r="CT159" s="590"/>
      <c r="CV159" s="590"/>
      <c r="CW159" s="591"/>
      <c r="CX159" s="590"/>
      <c r="CY159" s="590"/>
      <c r="CZ159" s="590"/>
      <c r="DA159" s="590"/>
      <c r="DB159" s="590"/>
      <c r="DC159" s="590"/>
      <c r="DD159" s="590"/>
      <c r="DE159" s="590"/>
      <c r="DF159" s="590"/>
      <c r="DG159" s="590"/>
      <c r="DH159" s="590"/>
      <c r="DI159" s="590"/>
      <c r="DJ159" s="590"/>
      <c r="DK159" s="590"/>
      <c r="DL159" s="590"/>
      <c r="DM159" s="590"/>
      <c r="DN159" s="590"/>
      <c r="DO159" s="590"/>
      <c r="DP159" s="590"/>
      <c r="DQ159" s="590"/>
      <c r="DS159" s="627"/>
    </row>
    <row r="160" spans="1:218" s="748" customFormat="1" ht="14.25" customHeight="1" x14ac:dyDescent="0.15">
      <c r="A160" s="588"/>
      <c r="B160" s="744"/>
      <c r="C160" s="581"/>
      <c r="D160" s="731" t="s">
        <v>574</v>
      </c>
      <c r="E160" s="731"/>
      <c r="F160" s="731"/>
      <c r="G160" s="731"/>
      <c r="H160" s="731"/>
      <c r="I160" s="731"/>
      <c r="J160" s="731"/>
      <c r="K160" s="731"/>
      <c r="L160" s="732"/>
      <c r="M160" s="731"/>
      <c r="N160" s="732"/>
      <c r="O160" s="731"/>
      <c r="P160" s="732"/>
      <c r="Q160" s="731"/>
      <c r="R160" s="731"/>
      <c r="S160" s="732"/>
      <c r="T160" s="733"/>
      <c r="U160" s="733"/>
      <c r="V160" s="733"/>
      <c r="W160" s="733"/>
      <c r="X160" s="731"/>
      <c r="Y160" s="731"/>
      <c r="Z160" s="1273"/>
      <c r="AA160" s="1273"/>
      <c r="AB160" s="1273"/>
      <c r="AC160" s="1273"/>
      <c r="AD160" s="1273"/>
      <c r="AE160" s="1273"/>
      <c r="AF160" s="1273"/>
      <c r="AG160" s="1273"/>
      <c r="AH160" s="735"/>
      <c r="AI160" s="1267"/>
      <c r="AJ160" s="1267"/>
      <c r="AK160" s="1267"/>
      <c r="AL160" s="1267"/>
      <c r="AM160" s="1267"/>
      <c r="AN160" s="1267"/>
      <c r="AO160" s="735"/>
      <c r="AP160" s="1267"/>
      <c r="AQ160" s="1267"/>
      <c r="AR160" s="1267"/>
      <c r="AS160" s="1267"/>
      <c r="AT160" s="737"/>
      <c r="AU160" s="737"/>
      <c r="AV160" s="737"/>
      <c r="AW160" s="737"/>
      <c r="AX160" s="735"/>
      <c r="AY160" s="1265">
        <f>Z160+AI160+AP160</f>
        <v>0</v>
      </c>
      <c r="AZ160" s="1265"/>
      <c r="BA160" s="1265"/>
      <c r="BB160" s="1265"/>
      <c r="BC160" s="1265"/>
      <c r="BD160" s="1265"/>
      <c r="BE160" s="1265"/>
      <c r="BF160" s="736"/>
      <c r="BG160" s="598"/>
      <c r="BH160" s="595"/>
      <c r="BI160" s="595"/>
      <c r="BJ160" s="595"/>
      <c r="BK160" s="595"/>
      <c r="BL160" s="595"/>
      <c r="BM160" s="746"/>
      <c r="BN160" s="658"/>
      <c r="BO160" s="658"/>
      <c r="BP160" s="658"/>
      <c r="BQ160" s="658"/>
      <c r="BR160" s="658"/>
      <c r="BS160" s="658"/>
      <c r="BT160" s="658"/>
      <c r="BU160" s="658"/>
      <c r="BV160" s="743" t="str">
        <f>+CC162</f>
        <v/>
      </c>
      <c r="BW160" s="743"/>
      <c r="BX160" s="743"/>
      <c r="BY160" s="658"/>
      <c r="BZ160" s="658"/>
      <c r="CA160" s="658"/>
      <c r="CB160" s="658"/>
      <c r="CC160" s="658"/>
      <c r="CD160" s="658"/>
      <c r="CE160" s="658"/>
      <c r="CF160" s="658"/>
      <c r="CG160" s="658"/>
      <c r="CH160" s="658"/>
      <c r="CI160" s="658"/>
      <c r="CJ160" s="658"/>
      <c r="CK160" s="658"/>
      <c r="CL160" s="658"/>
      <c r="CM160" s="658"/>
      <c r="CN160" s="658"/>
      <c r="CO160" s="658"/>
      <c r="CP160" s="658"/>
      <c r="CQ160" s="658"/>
      <c r="CR160" s="658"/>
      <c r="CS160" s="658"/>
      <c r="CT160" s="658"/>
      <c r="CU160" s="658"/>
      <c r="CV160" s="658"/>
      <c r="CW160" s="747"/>
      <c r="CX160" s="658"/>
      <c r="CY160" s="658"/>
      <c r="CZ160" s="658"/>
      <c r="DA160" s="658"/>
      <c r="DB160" s="658"/>
      <c r="DC160" s="658"/>
      <c r="DD160" s="658"/>
      <c r="DE160" s="658"/>
      <c r="DF160" s="658"/>
      <c r="DG160" s="658"/>
      <c r="DH160" s="658"/>
      <c r="DI160" s="658"/>
      <c r="DJ160" s="658"/>
      <c r="DK160" s="658"/>
      <c r="DL160" s="658"/>
      <c r="DM160" s="658"/>
      <c r="DN160" s="658"/>
      <c r="DO160" s="658"/>
      <c r="DP160" s="658"/>
      <c r="DQ160" s="658"/>
      <c r="EJ160" s="593"/>
      <c r="EK160" s="593"/>
      <c r="EL160" s="593"/>
      <c r="EM160" s="593"/>
      <c r="EN160" s="593"/>
      <c r="EO160" s="593"/>
      <c r="EP160" s="593"/>
      <c r="EQ160" s="593"/>
      <c r="ER160" s="593"/>
      <c r="ES160" s="593"/>
      <c r="ET160" s="593"/>
      <c r="EU160" s="593"/>
      <c r="EV160" s="593"/>
      <c r="EW160" s="593"/>
      <c r="EX160" s="593"/>
      <c r="EY160" s="593"/>
      <c r="EZ160" s="593"/>
      <c r="FA160" s="593"/>
      <c r="FB160" s="593"/>
      <c r="FC160" s="593"/>
      <c r="FD160" s="593"/>
      <c r="FE160" s="593"/>
      <c r="FF160" s="593"/>
      <c r="FG160" s="593"/>
      <c r="FH160" s="593"/>
      <c r="FI160" s="593"/>
      <c r="FJ160" s="593"/>
      <c r="FK160" s="593"/>
      <c r="FL160" s="593"/>
      <c r="FM160" s="593"/>
      <c r="FN160" s="593"/>
      <c r="FO160" s="593"/>
      <c r="FP160" s="593"/>
      <c r="FQ160" s="593"/>
      <c r="FR160" s="593"/>
      <c r="FS160" s="593"/>
      <c r="FT160" s="593"/>
      <c r="FU160" s="593"/>
      <c r="FV160" s="593"/>
      <c r="FW160" s="593"/>
      <c r="FX160" s="593"/>
      <c r="FY160" s="593"/>
      <c r="FZ160" s="593"/>
      <c r="GA160" s="593"/>
      <c r="GB160" s="593"/>
      <c r="GC160" s="593"/>
      <c r="GD160" s="593"/>
      <c r="GE160" s="593"/>
      <c r="GF160" s="593"/>
      <c r="GG160" s="593"/>
      <c r="GH160" s="593"/>
      <c r="GI160" s="593"/>
      <c r="GJ160" s="593"/>
      <c r="GK160" s="593"/>
      <c r="GL160" s="593"/>
      <c r="GM160" s="593"/>
      <c r="GN160" s="593"/>
      <c r="GO160" s="593"/>
      <c r="GP160" s="593"/>
      <c r="GQ160" s="593"/>
      <c r="GR160" s="593"/>
      <c r="GS160" s="593"/>
      <c r="GT160" s="593"/>
      <c r="GU160" s="593"/>
      <c r="GV160" s="593"/>
      <c r="GW160" s="593"/>
      <c r="GX160" s="593"/>
      <c r="GY160" s="593"/>
      <c r="GZ160" s="593"/>
      <c r="HA160" s="593"/>
      <c r="HB160" s="593"/>
      <c r="HC160" s="593"/>
      <c r="HD160" s="593"/>
      <c r="HE160" s="593"/>
      <c r="HF160" s="593"/>
      <c r="HG160" s="593"/>
      <c r="HH160" s="593"/>
      <c r="HI160" s="593"/>
      <c r="HJ160" s="593"/>
    </row>
    <row r="161" spans="1:218" s="748" customFormat="1" ht="14.25" customHeight="1" x14ac:dyDescent="0.15">
      <c r="A161" s="588"/>
      <c r="B161" s="744"/>
      <c r="C161" s="581"/>
      <c r="D161" s="731"/>
      <c r="E161" s="731"/>
      <c r="F161" s="731"/>
      <c r="G161" s="731"/>
      <c r="H161" s="731"/>
      <c r="I161" s="731"/>
      <c r="J161" s="731"/>
      <c r="K161" s="731"/>
      <c r="L161" s="732"/>
      <c r="M161" s="731"/>
      <c r="N161" s="732"/>
      <c r="O161" s="731"/>
      <c r="P161" s="732"/>
      <c r="Q161" s="731"/>
      <c r="R161" s="731"/>
      <c r="S161" s="732"/>
      <c r="T161" s="733"/>
      <c r="U161" s="733"/>
      <c r="V161" s="733"/>
      <c r="W161" s="733"/>
      <c r="X161" s="733"/>
      <c r="Y161" s="733"/>
      <c r="Z161" s="737"/>
      <c r="AA161" s="737"/>
      <c r="AB161" s="737"/>
      <c r="AC161" s="737"/>
      <c r="AD161" s="737"/>
      <c r="AE161" s="737"/>
      <c r="AF161" s="737"/>
      <c r="AG161" s="737"/>
      <c r="AH161" s="735"/>
      <c r="AI161" s="737"/>
      <c r="AJ161" s="737"/>
      <c r="AK161" s="737"/>
      <c r="AL161" s="737"/>
      <c r="AM161" s="737"/>
      <c r="AN161" s="737"/>
      <c r="AO161" s="735"/>
      <c r="AP161" s="737"/>
      <c r="AQ161" s="737"/>
      <c r="AR161" s="737"/>
      <c r="AS161" s="737"/>
      <c r="AT161" s="737"/>
      <c r="AU161" s="737"/>
      <c r="AV161" s="737"/>
      <c r="AW161" s="737"/>
      <c r="AX161" s="735"/>
      <c r="AY161" s="734"/>
      <c r="AZ161" s="741"/>
      <c r="BA161" s="741"/>
      <c r="BB161" s="741"/>
      <c r="BC161" s="741"/>
      <c r="BD161" s="741"/>
      <c r="BE161" s="741"/>
      <c r="BF161" s="736"/>
      <c r="BG161" s="598"/>
      <c r="BH161" s="595"/>
      <c r="BI161" s="595"/>
      <c r="BJ161" s="595"/>
      <c r="BK161" s="595"/>
      <c r="BL161" s="595"/>
      <c r="BM161" s="746"/>
      <c r="BN161" s="658"/>
      <c r="BO161" s="658"/>
      <c r="BP161" s="658"/>
      <c r="BQ161" s="658"/>
      <c r="BR161" s="658"/>
      <c r="BS161" s="658"/>
      <c r="BT161" s="1421" t="s">
        <v>563</v>
      </c>
      <c r="BU161" s="1421"/>
      <c r="BV161" s="1421"/>
      <c r="BW161" s="1421"/>
      <c r="BX161" s="1421"/>
      <c r="BY161" s="1421"/>
      <c r="BZ161" s="1421"/>
      <c r="CA161" s="1421"/>
      <c r="CB161" s="1421"/>
      <c r="CC161" s="1421"/>
      <c r="CD161" s="658"/>
      <c r="CE161" s="743" t="s">
        <v>521</v>
      </c>
      <c r="CF161" s="743"/>
      <c r="CG161" s="743"/>
      <c r="CH161" s="743"/>
      <c r="CI161" s="743"/>
      <c r="CJ161" s="743"/>
      <c r="CK161" s="658"/>
      <c r="CL161" s="658"/>
      <c r="CM161" s="658"/>
      <c r="CN161" s="658"/>
      <c r="CO161" s="658"/>
      <c r="CP161" s="658"/>
      <c r="CQ161" s="658"/>
      <c r="CR161" s="658"/>
      <c r="CS161" s="658"/>
      <c r="CT161" s="658"/>
      <c r="CU161" s="658"/>
      <c r="CV161" s="658"/>
      <c r="CW161" s="747"/>
      <c r="CX161" s="658"/>
      <c r="CY161" s="658"/>
      <c r="CZ161" s="658"/>
      <c r="DA161" s="658"/>
      <c r="DB161" s="658"/>
      <c r="DC161" s="658"/>
      <c r="DD161" s="658"/>
      <c r="DE161" s="658"/>
      <c r="DF161" s="658"/>
      <c r="DG161" s="658"/>
      <c r="DH161" s="658"/>
      <c r="DI161" s="658"/>
      <c r="DJ161" s="658"/>
      <c r="DK161" s="658"/>
      <c r="DL161" s="658"/>
      <c r="DM161" s="658"/>
      <c r="DN161" s="658"/>
      <c r="DO161" s="658"/>
      <c r="DP161" s="658"/>
      <c r="DQ161" s="658"/>
      <c r="EJ161" s="593"/>
      <c r="EK161" s="593"/>
      <c r="EL161" s="593"/>
      <c r="EM161" s="593"/>
      <c r="EN161" s="593"/>
      <c r="EO161" s="593"/>
      <c r="EP161" s="593"/>
      <c r="EQ161" s="593"/>
      <c r="ER161" s="593"/>
      <c r="ES161" s="593"/>
      <c r="ET161" s="593"/>
      <c r="EU161" s="593"/>
      <c r="EV161" s="593"/>
      <c r="EW161" s="593"/>
      <c r="EX161" s="593"/>
      <c r="EY161" s="593"/>
      <c r="EZ161" s="593"/>
      <c r="FA161" s="593"/>
      <c r="FB161" s="593"/>
      <c r="FC161" s="593"/>
      <c r="FD161" s="593"/>
      <c r="FE161" s="593"/>
      <c r="FF161" s="593"/>
      <c r="FG161" s="593"/>
      <c r="FH161" s="593"/>
      <c r="FI161" s="593"/>
      <c r="FJ161" s="593"/>
      <c r="FK161" s="593"/>
      <c r="FL161" s="593"/>
      <c r="FM161" s="593"/>
      <c r="FN161" s="593"/>
      <c r="FO161" s="593"/>
      <c r="FP161" s="593"/>
      <c r="FQ161" s="593"/>
      <c r="FR161" s="593"/>
      <c r="FS161" s="593"/>
      <c r="FT161" s="593"/>
      <c r="FU161" s="593"/>
      <c r="FV161" s="593"/>
      <c r="FW161" s="593"/>
      <c r="FX161" s="593"/>
      <c r="FY161" s="593"/>
      <c r="FZ161" s="593"/>
      <c r="GA161" s="593"/>
      <c r="GB161" s="593"/>
      <c r="GC161" s="593"/>
      <c r="GD161" s="593"/>
      <c r="GE161" s="593"/>
      <c r="GF161" s="593"/>
      <c r="GG161" s="593"/>
      <c r="GH161" s="593"/>
      <c r="GI161" s="593"/>
      <c r="GJ161" s="593"/>
      <c r="GK161" s="593"/>
      <c r="GL161" s="593"/>
      <c r="GM161" s="593"/>
      <c r="GN161" s="593"/>
      <c r="GO161" s="593"/>
      <c r="GP161" s="593"/>
      <c r="GQ161" s="593"/>
      <c r="GR161" s="593"/>
      <c r="GS161" s="593"/>
      <c r="GT161" s="593"/>
      <c r="GU161" s="593"/>
      <c r="GV161" s="593"/>
      <c r="GW161" s="593"/>
      <c r="GX161" s="593"/>
      <c r="GY161" s="593"/>
      <c r="GZ161" s="593"/>
      <c r="HA161" s="593"/>
      <c r="HB161" s="593"/>
      <c r="HC161" s="593"/>
      <c r="HD161" s="593"/>
      <c r="HE161" s="593"/>
      <c r="HF161" s="593"/>
      <c r="HG161" s="593"/>
      <c r="HH161" s="593"/>
      <c r="HI161" s="593"/>
      <c r="HJ161" s="593"/>
    </row>
    <row r="162" spans="1:218" s="748" customFormat="1" ht="16.5" customHeight="1" x14ac:dyDescent="0.15">
      <c r="A162" s="588"/>
      <c r="B162" s="744"/>
      <c r="C162" s="581"/>
      <c r="D162" s="731" t="s">
        <v>575</v>
      </c>
      <c r="E162" s="731"/>
      <c r="F162" s="731"/>
      <c r="G162" s="731"/>
      <c r="H162" s="731"/>
      <c r="I162" s="731"/>
      <c r="J162" s="731"/>
      <c r="K162" s="731"/>
      <c r="L162" s="732"/>
      <c r="M162" s="731"/>
      <c r="N162" s="732"/>
      <c r="O162" s="731"/>
      <c r="P162" s="732"/>
      <c r="Q162" s="731"/>
      <c r="R162" s="731"/>
      <c r="S162" s="732"/>
      <c r="T162" s="733"/>
      <c r="U162" s="733"/>
      <c r="V162" s="733"/>
      <c r="W162" s="733"/>
      <c r="X162" s="731"/>
      <c r="Y162" s="731"/>
      <c r="Z162" s="1273"/>
      <c r="AA162" s="1273"/>
      <c r="AB162" s="1273"/>
      <c r="AC162" s="1273"/>
      <c r="AD162" s="1273"/>
      <c r="AE162" s="1273"/>
      <c r="AF162" s="1273"/>
      <c r="AG162" s="1273"/>
      <c r="AH162" s="735"/>
      <c r="AI162" s="1267"/>
      <c r="AJ162" s="1267"/>
      <c r="AK162" s="1267"/>
      <c r="AL162" s="1267"/>
      <c r="AM162" s="1267"/>
      <c r="AN162" s="1267"/>
      <c r="AO162" s="735"/>
      <c r="AP162" s="1267"/>
      <c r="AQ162" s="1267"/>
      <c r="AR162" s="1267"/>
      <c r="AS162" s="1267"/>
      <c r="AT162" s="737"/>
      <c r="AU162" s="737"/>
      <c r="AV162" s="737"/>
      <c r="AW162" s="737"/>
      <c r="AX162" s="735"/>
      <c r="AY162" s="1265">
        <f>Z162+AI162+AP162</f>
        <v>0</v>
      </c>
      <c r="AZ162" s="1265"/>
      <c r="BA162" s="1265"/>
      <c r="BB162" s="1265"/>
      <c r="BC162" s="1265"/>
      <c r="BD162" s="1265"/>
      <c r="BE162" s="1265"/>
      <c r="BF162" s="736"/>
      <c r="BG162" s="598"/>
      <c r="BH162" s="595"/>
      <c r="BI162" s="595"/>
      <c r="BJ162" s="595"/>
      <c r="BK162" s="595"/>
      <c r="BL162" s="595"/>
      <c r="BM162" s="746"/>
      <c r="BN162" s="658"/>
      <c r="BO162" s="658"/>
      <c r="BP162" s="658"/>
      <c r="BQ162" s="658"/>
      <c r="BR162" s="658"/>
      <c r="BS162" s="658"/>
      <c r="BT162" s="1420" t="s">
        <v>496</v>
      </c>
      <c r="BU162" s="1420"/>
      <c r="BV162" s="749" t="str">
        <f>+IF(OR(BV166=1,BV167=1,BV168=1,BV169=1,BV170=1,BV171=1,BV172=1,BV173=1,BV174=1,BV175=1,BV176=1),"egyenletes (havi)","")</f>
        <v/>
      </c>
      <c r="BW162" s="749" t="str">
        <f>+IF(OR(BW166=1,BW167=1,BW168=1,BW169=1,BW170=1,BW171=1,BW172=1,BW173=1,BW174=1,BW175=1,BW176=1),"egyenletes + balloon","")</f>
        <v/>
      </c>
      <c r="BX162" s="749" t="str">
        <f>+IF(OR(BX166=1,BX167=1,BX168=1,BX169=1,BX170=1,BX171=1,BX172=1,BX173=1,BX174=1,BX175=1),"negyedéves egyenlő","")</f>
        <v/>
      </c>
      <c r="BY162" s="749" t="str">
        <f>+IF(OR(BY166=1,BY167=1,BY168=1,BY169=1,BY170=1,BY171=1,BY172=1,BY173=1,BY174=1,BY175=1),"negyedéves + balloon","")</f>
        <v/>
      </c>
      <c r="BZ162" s="749" t="str">
        <f>+IF(OR(BZ166=1,BZ167=1,BZ168=1,BZ169=1,BZ170=1,BZ171=1,BZ172=1,BZ173=1,BZ174=1,BZ175=1),"féléves egyenlő","")</f>
        <v/>
      </c>
      <c r="CA162" s="749" t="str">
        <f>+IF(OR(CA166=1,CA167=1,CA168=1,CA169=1,CA170=1,CA171=1,CA172=1,CA173=1,CA174=1,CA175=1),"féléves + balloon","")</f>
        <v/>
      </c>
      <c r="CB162" s="749" t="str">
        <f>+IF(OR(CB166=1,CB167=1,CB168=1,CB169=1,CB170=1,CB171=1,CB172=1,CB173=1,CB174=1,CB175=1),"egyedi: szezonális","")</f>
        <v/>
      </c>
      <c r="CC162" s="749" t="str">
        <f>+IF(OR(CC166=1,CC167=1,CC168=1,CC169=1,CC170=1,CC171=1,CC172=1,CC173=1,CC174=1,CC175=1),"egyedi: lejáratkor egy összegben","")</f>
        <v/>
      </c>
      <c r="CD162" s="658"/>
      <c r="CE162" s="625">
        <f>+IF(Z108="egyedi VVG nélkül",3,0)</f>
        <v>0</v>
      </c>
      <c r="CF162" s="625"/>
      <c r="CG162" s="625">
        <f>+IF(AR108="Ki kell tölteni az Eredményterv fület",1,0)</f>
        <v>0</v>
      </c>
      <c r="CH162" s="625"/>
      <c r="CI162" s="743">
        <f>+CG162+CG166</f>
        <v>0</v>
      </c>
      <c r="CJ162" s="743"/>
      <c r="CK162" s="658"/>
      <c r="CL162" s="658"/>
      <c r="CM162" s="658"/>
      <c r="CN162" s="658"/>
      <c r="CO162" s="658"/>
      <c r="CP162" s="658"/>
      <c r="CQ162" s="658"/>
      <c r="CR162" s="658"/>
      <c r="CS162" s="658"/>
      <c r="CT162" s="658"/>
      <c r="CU162" s="658"/>
      <c r="CV162" s="658"/>
      <c r="CW162" s="747"/>
      <c r="CX162" s="658"/>
      <c r="CY162" s="658"/>
      <c r="CZ162" s="658"/>
      <c r="DA162" s="658"/>
      <c r="DB162" s="658"/>
      <c r="DC162" s="658"/>
      <c r="DD162" s="658"/>
      <c r="DE162" s="658"/>
      <c r="DF162" s="658"/>
      <c r="DG162" s="658"/>
      <c r="DH162" s="658"/>
      <c r="DI162" s="658"/>
      <c r="DJ162" s="658"/>
      <c r="DK162" s="658"/>
      <c r="DL162" s="658"/>
      <c r="DM162" s="658"/>
      <c r="DN162" s="658"/>
      <c r="DO162" s="658"/>
      <c r="DP162" s="658"/>
      <c r="DQ162" s="658"/>
      <c r="EJ162" s="593"/>
      <c r="EK162" s="593"/>
      <c r="EL162" s="593"/>
      <c r="EM162" s="593"/>
      <c r="EN162" s="593"/>
      <c r="EO162" s="593"/>
      <c r="EP162" s="593"/>
      <c r="EQ162" s="593"/>
      <c r="ER162" s="593"/>
      <c r="ES162" s="593"/>
      <c r="ET162" s="593"/>
      <c r="EU162" s="593"/>
      <c r="EV162" s="593"/>
      <c r="EW162" s="593"/>
      <c r="EX162" s="593"/>
      <c r="EY162" s="593"/>
      <c r="EZ162" s="593"/>
      <c r="FA162" s="593"/>
      <c r="FB162" s="593"/>
      <c r="FC162" s="593"/>
      <c r="FD162" s="593"/>
      <c r="FE162" s="593"/>
      <c r="FF162" s="593"/>
      <c r="FG162" s="593"/>
      <c r="FH162" s="593"/>
      <c r="FI162" s="593"/>
      <c r="FJ162" s="593"/>
      <c r="FK162" s="593"/>
      <c r="FL162" s="593"/>
      <c r="FM162" s="593"/>
      <c r="FN162" s="593"/>
      <c r="FO162" s="593"/>
      <c r="FP162" s="593"/>
      <c r="FQ162" s="593"/>
      <c r="FR162" s="593"/>
      <c r="FS162" s="593"/>
      <c r="FT162" s="593"/>
      <c r="FU162" s="593"/>
      <c r="FV162" s="593"/>
      <c r="FW162" s="593"/>
      <c r="FX162" s="593"/>
      <c r="FY162" s="593"/>
      <c r="FZ162" s="593"/>
      <c r="GA162" s="593"/>
      <c r="GB162" s="593"/>
      <c r="GC162" s="593"/>
      <c r="GD162" s="593"/>
      <c r="GE162" s="593"/>
      <c r="GF162" s="593"/>
      <c r="GG162" s="593"/>
      <c r="GH162" s="593"/>
      <c r="GI162" s="593"/>
      <c r="GJ162" s="593"/>
      <c r="GK162" s="593"/>
      <c r="GL162" s="593"/>
      <c r="GM162" s="593"/>
      <c r="GN162" s="593"/>
      <c r="GO162" s="593"/>
      <c r="GP162" s="593"/>
      <c r="GQ162" s="593"/>
      <c r="GR162" s="593"/>
      <c r="GS162" s="593"/>
      <c r="GT162" s="593"/>
      <c r="GU162" s="593"/>
      <c r="GV162" s="593"/>
      <c r="GW162" s="593"/>
      <c r="GX162" s="593"/>
      <c r="GY162" s="593"/>
      <c r="GZ162" s="593"/>
      <c r="HA162" s="593"/>
      <c r="HB162" s="593"/>
      <c r="HC162" s="593"/>
      <c r="HD162" s="593"/>
      <c r="HE162" s="593"/>
      <c r="HF162" s="593"/>
      <c r="HG162" s="593"/>
      <c r="HH162" s="593"/>
      <c r="HI162" s="593"/>
      <c r="HJ162" s="593"/>
    </row>
    <row r="163" spans="1:218" s="748" customFormat="1" ht="16.5" customHeight="1" x14ac:dyDescent="0.15">
      <c r="A163" s="588"/>
      <c r="B163" s="744"/>
      <c r="C163" s="581"/>
      <c r="D163" s="731"/>
      <c r="E163" s="731"/>
      <c r="F163" s="731"/>
      <c r="G163" s="731"/>
      <c r="H163" s="731"/>
      <c r="I163" s="731"/>
      <c r="J163" s="731"/>
      <c r="K163" s="731"/>
      <c r="L163" s="732"/>
      <c r="M163" s="731"/>
      <c r="N163" s="732"/>
      <c r="O163" s="731"/>
      <c r="P163" s="732"/>
      <c r="Q163" s="731"/>
      <c r="R163" s="731"/>
      <c r="S163" s="732"/>
      <c r="T163" s="733"/>
      <c r="U163" s="733"/>
      <c r="V163" s="733"/>
      <c r="W163" s="733"/>
      <c r="X163" s="731"/>
      <c r="Y163" s="731"/>
      <c r="Z163" s="1138"/>
      <c r="AA163" s="1138"/>
      <c r="AB163" s="1138"/>
      <c r="AC163" s="1138"/>
      <c r="AD163" s="1138"/>
      <c r="AE163" s="1138"/>
      <c r="AF163" s="1138"/>
      <c r="AG163" s="1138"/>
      <c r="AH163" s="1139"/>
      <c r="AI163" s="1140"/>
      <c r="AJ163" s="1140"/>
      <c r="AK163" s="1140"/>
      <c r="AL163" s="1140"/>
      <c r="AM163" s="1140"/>
      <c r="AN163" s="1140"/>
      <c r="AO163" s="1139"/>
      <c r="AP163" s="1140"/>
      <c r="AQ163" s="1140"/>
      <c r="AR163" s="1140"/>
      <c r="AS163" s="1140"/>
      <c r="AT163" s="1135"/>
      <c r="AU163" s="1135"/>
      <c r="AV163" s="1135"/>
      <c r="AW163" s="1135"/>
      <c r="AX163" s="735"/>
      <c r="AY163" s="1134"/>
      <c r="AZ163" s="1134"/>
      <c r="BA163" s="1134"/>
      <c r="BB163" s="1134"/>
      <c r="BC163" s="1134"/>
      <c r="BD163" s="1134"/>
      <c r="BE163" s="1134"/>
      <c r="BF163" s="736"/>
      <c r="BG163" s="598"/>
      <c r="BH163" s="595"/>
      <c r="BI163" s="595"/>
      <c r="BJ163" s="595"/>
      <c r="BK163" s="595"/>
      <c r="BL163" s="595"/>
      <c r="BM163" s="746"/>
      <c r="BN163" s="658"/>
      <c r="BO163" s="658"/>
      <c r="BP163" s="658"/>
      <c r="BQ163" s="658"/>
      <c r="BR163" s="658"/>
      <c r="BS163" s="658"/>
      <c r="BT163" s="1136"/>
      <c r="BU163" s="1136"/>
      <c r="BV163" s="749"/>
      <c r="BW163" s="749"/>
      <c r="BX163" s="749"/>
      <c r="BY163" s="749"/>
      <c r="BZ163" s="749"/>
      <c r="CA163" s="749"/>
      <c r="CB163" s="749"/>
      <c r="CC163" s="749"/>
      <c r="CD163" s="658"/>
      <c r="CE163" s="625"/>
      <c r="CF163" s="625"/>
      <c r="CG163" s="625"/>
      <c r="CH163" s="625"/>
      <c r="CI163" s="743"/>
      <c r="CJ163" s="743"/>
      <c r="CK163" s="658"/>
      <c r="CL163" s="658"/>
      <c r="CM163" s="658"/>
      <c r="CN163" s="658"/>
      <c r="CO163" s="658"/>
      <c r="CP163" s="658"/>
      <c r="CQ163" s="658"/>
      <c r="CR163" s="658"/>
      <c r="CS163" s="658"/>
      <c r="CT163" s="658"/>
      <c r="CU163" s="658"/>
      <c r="CV163" s="658"/>
      <c r="CW163" s="747"/>
      <c r="CX163" s="658"/>
      <c r="CY163" s="658"/>
      <c r="CZ163" s="658"/>
      <c r="DA163" s="658"/>
      <c r="DB163" s="658"/>
      <c r="DC163" s="658"/>
      <c r="DD163" s="658"/>
      <c r="DE163" s="658"/>
      <c r="DF163" s="658"/>
      <c r="DG163" s="658"/>
      <c r="DH163" s="658"/>
      <c r="DI163" s="658"/>
      <c r="DJ163" s="658"/>
      <c r="DK163" s="658"/>
      <c r="DL163" s="658"/>
      <c r="DM163" s="658"/>
      <c r="DN163" s="658"/>
      <c r="DO163" s="658"/>
      <c r="DP163" s="658"/>
      <c r="DQ163" s="658"/>
      <c r="EJ163" s="593"/>
      <c r="EK163" s="593"/>
      <c r="EL163" s="593"/>
      <c r="EM163" s="593"/>
      <c r="EN163" s="593"/>
      <c r="EO163" s="593"/>
      <c r="EP163" s="593"/>
      <c r="EQ163" s="593"/>
      <c r="ER163" s="593"/>
      <c r="ES163" s="593"/>
      <c r="ET163" s="593"/>
      <c r="EU163" s="593"/>
      <c r="EV163" s="593"/>
      <c r="EW163" s="593"/>
      <c r="EX163" s="593"/>
      <c r="EY163" s="593"/>
      <c r="EZ163" s="593"/>
      <c r="FA163" s="593"/>
      <c r="FB163" s="593"/>
      <c r="FC163" s="593"/>
      <c r="FD163" s="593"/>
      <c r="FE163" s="593"/>
      <c r="FF163" s="593"/>
      <c r="FG163" s="593"/>
      <c r="FH163" s="593"/>
      <c r="FI163" s="593"/>
      <c r="FJ163" s="593"/>
      <c r="FK163" s="593"/>
      <c r="FL163" s="593"/>
      <c r="FM163" s="593"/>
      <c r="FN163" s="593"/>
      <c r="FO163" s="593"/>
      <c r="FP163" s="593"/>
      <c r="FQ163" s="593"/>
      <c r="FR163" s="593"/>
      <c r="FS163" s="593"/>
      <c r="FT163" s="593"/>
      <c r="FU163" s="593"/>
      <c r="FV163" s="593"/>
      <c r="FW163" s="593"/>
      <c r="FX163" s="593"/>
      <c r="FY163" s="593"/>
      <c r="FZ163" s="593"/>
      <c r="GA163" s="593"/>
      <c r="GB163" s="593"/>
      <c r="GC163" s="593"/>
      <c r="GD163" s="593"/>
      <c r="GE163" s="593"/>
      <c r="GF163" s="593"/>
      <c r="GG163" s="593"/>
      <c r="GH163" s="593"/>
      <c r="GI163" s="593"/>
      <c r="GJ163" s="593"/>
      <c r="GK163" s="593"/>
      <c r="GL163" s="593"/>
      <c r="GM163" s="593"/>
      <c r="GN163" s="593"/>
      <c r="GO163" s="593"/>
      <c r="GP163" s="593"/>
      <c r="GQ163" s="593"/>
      <c r="GR163" s="593"/>
      <c r="GS163" s="593"/>
      <c r="GT163" s="593"/>
      <c r="GU163" s="593"/>
      <c r="GV163" s="593"/>
      <c r="GW163" s="593"/>
      <c r="GX163" s="593"/>
      <c r="GY163" s="593"/>
      <c r="GZ163" s="593"/>
      <c r="HA163" s="593"/>
      <c r="HB163" s="593"/>
      <c r="HC163" s="593"/>
      <c r="HD163" s="593"/>
      <c r="HE163" s="593"/>
      <c r="HF163" s="593"/>
      <c r="HG163" s="593"/>
      <c r="HH163" s="593"/>
      <c r="HI163" s="593"/>
      <c r="HJ163" s="593"/>
    </row>
    <row r="164" spans="1:218" s="748" customFormat="1" ht="16.5" customHeight="1" x14ac:dyDescent="0.15">
      <c r="A164" s="588"/>
      <c r="B164" s="744"/>
      <c r="C164" s="581"/>
      <c r="D164" s="731" t="str">
        <f>IF(BL165=1,"Likviditás finanszírozás","")</f>
        <v/>
      </c>
      <c r="E164" s="731"/>
      <c r="F164" s="731"/>
      <c r="G164" s="731"/>
      <c r="H164" s="731"/>
      <c r="I164" s="731"/>
      <c r="J164" s="731"/>
      <c r="K164" s="731"/>
      <c r="L164" s="732"/>
      <c r="M164" s="731"/>
      <c r="N164" s="732"/>
      <c r="O164" s="731"/>
      <c r="P164" s="732"/>
      <c r="Q164" s="731"/>
      <c r="R164" s="731"/>
      <c r="S164" s="732"/>
      <c r="T164" s="733"/>
      <c r="U164" s="733"/>
      <c r="V164" s="733"/>
      <c r="W164" s="733"/>
      <c r="X164" s="731"/>
      <c r="Y164" s="731"/>
      <c r="Z164" s="1137"/>
      <c r="AA164" s="1137"/>
      <c r="AB164" s="1137"/>
      <c r="AC164" s="1137"/>
      <c r="AD164" s="1137"/>
      <c r="AE164" s="1137"/>
      <c r="AF164" s="1137"/>
      <c r="AG164" s="1137"/>
      <c r="AH164" s="735"/>
      <c r="AI164" s="1267"/>
      <c r="AJ164" s="1267"/>
      <c r="AK164" s="1267"/>
      <c r="AL164" s="1267"/>
      <c r="AM164" s="1267"/>
      <c r="AN164" s="1267"/>
      <c r="AO164" s="735"/>
      <c r="AP164" s="1267"/>
      <c r="AQ164" s="1267"/>
      <c r="AR164" s="1267"/>
      <c r="AS164" s="1267"/>
      <c r="AT164" s="1135"/>
      <c r="AU164" s="1135"/>
      <c r="AV164" s="1135"/>
      <c r="AW164" s="1135"/>
      <c r="AX164" s="735"/>
      <c r="AY164" s="1134"/>
      <c r="AZ164" s="1134"/>
      <c r="BA164" s="1134"/>
      <c r="BB164" s="1134"/>
      <c r="BC164" s="1134"/>
      <c r="BD164" s="1134"/>
      <c r="BE164" s="1134"/>
      <c r="BF164" s="736"/>
      <c r="BG164" s="598"/>
      <c r="BH164" s="595"/>
      <c r="BI164" s="595"/>
      <c r="BJ164" s="1144" t="s">
        <v>1152</v>
      </c>
      <c r="BK164" s="595"/>
      <c r="BL164" s="595"/>
      <c r="BM164" s="746"/>
      <c r="BN164" s="658"/>
      <c r="BO164" s="658"/>
      <c r="BP164" s="658"/>
      <c r="BQ164" s="658"/>
      <c r="BR164" s="658"/>
      <c r="BS164" s="658"/>
      <c r="BT164" s="1136"/>
      <c r="BU164" s="1136"/>
      <c r="BV164" s="749"/>
      <c r="BW164" s="749"/>
      <c r="BX164" s="749"/>
      <c r="BY164" s="749"/>
      <c r="BZ164" s="749"/>
      <c r="CA164" s="749"/>
      <c r="CB164" s="749"/>
      <c r="CC164" s="749"/>
      <c r="CD164" s="658"/>
      <c r="CE164" s="625"/>
      <c r="CF164" s="625"/>
      <c r="CG164" s="625"/>
      <c r="CH164" s="625"/>
      <c r="CI164" s="743"/>
      <c r="CJ164" s="743"/>
      <c r="CK164" s="658"/>
      <c r="CL164" s="658"/>
      <c r="CM164" s="658"/>
      <c r="CN164" s="658"/>
      <c r="CO164" s="658"/>
      <c r="CP164" s="658"/>
      <c r="CQ164" s="658"/>
      <c r="CR164" s="658"/>
      <c r="CS164" s="658"/>
      <c r="CT164" s="658"/>
      <c r="CU164" s="658"/>
      <c r="CV164" s="658"/>
      <c r="CW164" s="747"/>
      <c r="CX164" s="658"/>
      <c r="CY164" s="658"/>
      <c r="CZ164" s="658"/>
      <c r="DA164" s="658"/>
      <c r="DB164" s="658"/>
      <c r="DC164" s="658"/>
      <c r="DD164" s="658"/>
      <c r="DE164" s="658"/>
      <c r="DF164" s="658"/>
      <c r="DG164" s="658"/>
      <c r="DH164" s="658"/>
      <c r="DI164" s="658"/>
      <c r="DJ164" s="658"/>
      <c r="DK164" s="658"/>
      <c r="DL164" s="658"/>
      <c r="DM164" s="658"/>
      <c r="DN164" s="658"/>
      <c r="DO164" s="658"/>
      <c r="DP164" s="658"/>
      <c r="DQ164" s="658"/>
      <c r="EJ164" s="593"/>
      <c r="EK164" s="593"/>
      <c r="EL164" s="593"/>
      <c r="EM164" s="593"/>
      <c r="EN164" s="593"/>
      <c r="EO164" s="593"/>
      <c r="EP164" s="593"/>
      <c r="EQ164" s="593"/>
      <c r="ER164" s="593"/>
      <c r="ES164" s="593"/>
      <c r="ET164" s="593"/>
      <c r="EU164" s="593"/>
      <c r="EV164" s="593"/>
      <c r="EW164" s="593"/>
      <c r="EX164" s="593"/>
      <c r="EY164" s="593"/>
      <c r="EZ164" s="593"/>
      <c r="FA164" s="593"/>
      <c r="FB164" s="593"/>
      <c r="FC164" s="593"/>
      <c r="FD164" s="593"/>
      <c r="FE164" s="593"/>
      <c r="FF164" s="593"/>
      <c r="FG164" s="593"/>
      <c r="FH164" s="593"/>
      <c r="FI164" s="593"/>
      <c r="FJ164" s="593"/>
      <c r="FK164" s="593"/>
      <c r="FL164" s="593"/>
      <c r="FM164" s="593"/>
      <c r="FN164" s="593"/>
      <c r="FO164" s="593"/>
      <c r="FP164" s="593"/>
      <c r="FQ164" s="593"/>
      <c r="FR164" s="593"/>
      <c r="FS164" s="593"/>
      <c r="FT164" s="593"/>
      <c r="FU164" s="593"/>
      <c r="FV164" s="593"/>
      <c r="FW164" s="593"/>
      <c r="FX164" s="593"/>
      <c r="FY164" s="593"/>
      <c r="FZ164" s="593"/>
      <c r="GA164" s="593"/>
      <c r="GB164" s="593"/>
      <c r="GC164" s="593"/>
      <c r="GD164" s="593"/>
      <c r="GE164" s="593"/>
      <c r="GF164" s="593"/>
      <c r="GG164" s="593"/>
      <c r="GH164" s="593"/>
      <c r="GI164" s="593"/>
      <c r="GJ164" s="593"/>
      <c r="GK164" s="593"/>
      <c r="GL164" s="593"/>
      <c r="GM164" s="593"/>
      <c r="GN164" s="593"/>
      <c r="GO164" s="593"/>
      <c r="GP164" s="593"/>
      <c r="GQ164" s="593"/>
      <c r="GR164" s="593"/>
      <c r="GS164" s="593"/>
      <c r="GT164" s="593"/>
      <c r="GU164" s="593"/>
      <c r="GV164" s="593"/>
      <c r="GW164" s="593"/>
      <c r="GX164" s="593"/>
      <c r="GY164" s="593"/>
      <c r="GZ164" s="593"/>
      <c r="HA164" s="593"/>
      <c r="HB164" s="593"/>
      <c r="HC164" s="593"/>
      <c r="HD164" s="593"/>
      <c r="HE164" s="593"/>
      <c r="HF164" s="593"/>
      <c r="HG164" s="593"/>
      <c r="HH164" s="593"/>
      <c r="HI164" s="593"/>
      <c r="HJ164" s="593"/>
    </row>
    <row r="165" spans="1:218" s="748" customFormat="1" ht="16.5" customHeight="1" x14ac:dyDescent="0.15">
      <c r="A165" s="588"/>
      <c r="B165" s="744"/>
      <c r="C165" s="581"/>
      <c r="D165" s="731"/>
      <c r="E165" s="731"/>
      <c r="F165" s="731"/>
      <c r="G165" s="731"/>
      <c r="H165" s="731"/>
      <c r="I165" s="731"/>
      <c r="J165" s="731"/>
      <c r="K165" s="731"/>
      <c r="L165" s="732"/>
      <c r="M165" s="731"/>
      <c r="N165" s="732"/>
      <c r="O165" s="731"/>
      <c r="P165" s="732"/>
      <c r="Q165" s="731"/>
      <c r="R165" s="731"/>
      <c r="S165" s="732"/>
      <c r="T165" s="733"/>
      <c r="U165" s="733"/>
      <c r="V165" s="733"/>
      <c r="W165" s="733"/>
      <c r="X165" s="1141"/>
      <c r="Y165" s="1141"/>
      <c r="Z165" s="1138"/>
      <c r="AA165" s="1138"/>
      <c r="AB165" s="1138"/>
      <c r="AC165" s="1138"/>
      <c r="AD165" s="1138"/>
      <c r="AE165" s="1138"/>
      <c r="AF165" s="1138"/>
      <c r="AG165" s="1138"/>
      <c r="AH165" s="1139"/>
      <c r="AI165" s="1140"/>
      <c r="AJ165" s="1140"/>
      <c r="AK165" s="1140"/>
      <c r="AL165" s="1140"/>
      <c r="AM165" s="1140"/>
      <c r="AN165" s="1140"/>
      <c r="AO165" s="1139"/>
      <c r="AP165" s="1140"/>
      <c r="AQ165" s="1140"/>
      <c r="AR165" s="1140"/>
      <c r="AS165" s="1140"/>
      <c r="AT165" s="1142"/>
      <c r="AU165" s="1135"/>
      <c r="AV165" s="1135"/>
      <c r="AW165" s="1135"/>
      <c r="AX165" s="735"/>
      <c r="AY165" s="1134"/>
      <c r="AZ165" s="1134"/>
      <c r="BA165" s="1134"/>
      <c r="BB165" s="1134"/>
      <c r="BC165" s="1134"/>
      <c r="BD165" s="1134"/>
      <c r="BE165" s="1134"/>
      <c r="BF165" s="736"/>
      <c r="BG165" s="598"/>
      <c r="BH165" s="595"/>
      <c r="BI165" s="595"/>
      <c r="BJ165" s="595"/>
      <c r="BK165" s="595"/>
      <c r="BL165" s="1143">
        <f>IF(HetelTipusa="likvidítási hitel",1,0)</f>
        <v>0</v>
      </c>
      <c r="BM165" s="746"/>
      <c r="BN165" s="658"/>
      <c r="BO165" s="658"/>
      <c r="BP165" s="658"/>
      <c r="BQ165" s="658"/>
      <c r="BR165" s="658"/>
      <c r="BS165" s="658"/>
      <c r="BT165" s="1136"/>
      <c r="BU165" s="1136"/>
      <c r="BV165" s="749"/>
      <c r="BW165" s="749"/>
      <c r="BX165" s="749"/>
      <c r="BY165" s="749"/>
      <c r="BZ165" s="749"/>
      <c r="CA165" s="749"/>
      <c r="CB165" s="749"/>
      <c r="CC165" s="749"/>
      <c r="CD165" s="658"/>
      <c r="CE165" s="625"/>
      <c r="CF165" s="625"/>
      <c r="CG165" s="625"/>
      <c r="CH165" s="625"/>
      <c r="CI165" s="743"/>
      <c r="CJ165" s="743"/>
      <c r="CK165" s="658"/>
      <c r="CL165" s="658"/>
      <c r="CM165" s="658"/>
      <c r="CN165" s="658"/>
      <c r="CO165" s="658"/>
      <c r="CP165" s="658"/>
      <c r="CQ165" s="658"/>
      <c r="CR165" s="658"/>
      <c r="CS165" s="658"/>
      <c r="CT165" s="658"/>
      <c r="CU165" s="658"/>
      <c r="CV165" s="658"/>
      <c r="CW165" s="747"/>
      <c r="CX165" s="658"/>
      <c r="CY165" s="658"/>
      <c r="CZ165" s="658"/>
      <c r="DA165" s="658"/>
      <c r="DB165" s="658"/>
      <c r="DC165" s="658"/>
      <c r="DD165" s="658"/>
      <c r="DE165" s="658"/>
      <c r="DF165" s="658"/>
      <c r="DG165" s="658"/>
      <c r="DH165" s="658"/>
      <c r="DI165" s="658"/>
      <c r="DJ165" s="658"/>
      <c r="DK165" s="658"/>
      <c r="DL165" s="658"/>
      <c r="DM165" s="658"/>
      <c r="DN165" s="658"/>
      <c r="DO165" s="658"/>
      <c r="DP165" s="658"/>
      <c r="DQ165" s="658"/>
      <c r="EJ165" s="593"/>
      <c r="EK165" s="593"/>
      <c r="EL165" s="593"/>
      <c r="EM165" s="593"/>
      <c r="EN165" s="593"/>
      <c r="EO165" s="593"/>
      <c r="EP165" s="593"/>
      <c r="EQ165" s="593"/>
      <c r="ER165" s="593"/>
      <c r="ES165" s="593"/>
      <c r="ET165" s="593"/>
      <c r="EU165" s="593"/>
      <c r="EV165" s="593"/>
      <c r="EW165" s="593"/>
      <c r="EX165" s="593"/>
      <c r="EY165" s="593"/>
      <c r="EZ165" s="593"/>
      <c r="FA165" s="593"/>
      <c r="FB165" s="593"/>
      <c r="FC165" s="593"/>
      <c r="FD165" s="593"/>
      <c r="FE165" s="593"/>
      <c r="FF165" s="593"/>
      <c r="FG165" s="593"/>
      <c r="FH165" s="593"/>
      <c r="FI165" s="593"/>
      <c r="FJ165" s="593"/>
      <c r="FK165" s="593"/>
      <c r="FL165" s="593"/>
      <c r="FM165" s="593"/>
      <c r="FN165" s="593"/>
      <c r="FO165" s="593"/>
      <c r="FP165" s="593"/>
      <c r="FQ165" s="593"/>
      <c r="FR165" s="593"/>
      <c r="FS165" s="593"/>
      <c r="FT165" s="593"/>
      <c r="FU165" s="593"/>
      <c r="FV165" s="593"/>
      <c r="FW165" s="593"/>
      <c r="FX165" s="593"/>
      <c r="FY165" s="593"/>
      <c r="FZ165" s="593"/>
      <c r="GA165" s="593"/>
      <c r="GB165" s="593"/>
      <c r="GC165" s="593"/>
      <c r="GD165" s="593"/>
      <c r="GE165" s="593"/>
      <c r="GF165" s="593"/>
      <c r="GG165" s="593"/>
      <c r="GH165" s="593"/>
      <c r="GI165" s="593"/>
      <c r="GJ165" s="593"/>
      <c r="GK165" s="593"/>
      <c r="GL165" s="593"/>
      <c r="GM165" s="593"/>
      <c r="GN165" s="593"/>
      <c r="GO165" s="593"/>
      <c r="GP165" s="593"/>
      <c r="GQ165" s="593"/>
      <c r="GR165" s="593"/>
      <c r="GS165" s="593"/>
      <c r="GT165" s="593"/>
      <c r="GU165" s="593"/>
      <c r="GV165" s="593"/>
      <c r="GW165" s="593"/>
      <c r="GX165" s="593"/>
      <c r="GY165" s="593"/>
      <c r="GZ165" s="593"/>
      <c r="HA165" s="593"/>
      <c r="HB165" s="593"/>
      <c r="HC165" s="593"/>
      <c r="HD165" s="593"/>
      <c r="HE165" s="593"/>
      <c r="HF165" s="593"/>
      <c r="HG165" s="593"/>
      <c r="HH165" s="593"/>
      <c r="HI165" s="593"/>
      <c r="HJ165" s="593"/>
    </row>
    <row r="166" spans="1:218" s="748" customFormat="1" ht="14.25" customHeight="1" x14ac:dyDescent="0.15">
      <c r="A166" s="588"/>
      <c r="B166" s="744"/>
      <c r="C166" s="581"/>
      <c r="D166" s="731"/>
      <c r="E166" s="731"/>
      <c r="F166" s="731"/>
      <c r="G166" s="731"/>
      <c r="H166" s="731"/>
      <c r="I166" s="731"/>
      <c r="J166" s="731"/>
      <c r="K166" s="731"/>
      <c r="L166" s="731"/>
      <c r="M166" s="731"/>
      <c r="N166" s="731"/>
      <c r="O166" s="731"/>
      <c r="P166" s="731"/>
      <c r="Q166" s="731"/>
      <c r="R166" s="731"/>
      <c r="S166" s="731"/>
      <c r="T166" s="733"/>
      <c r="U166" s="733"/>
      <c r="V166" s="733"/>
      <c r="W166" s="733"/>
      <c r="X166" s="733"/>
      <c r="Y166" s="733"/>
      <c r="Z166" s="735"/>
      <c r="AA166" s="735"/>
      <c r="AB166" s="735"/>
      <c r="AC166" s="735"/>
      <c r="AD166" s="735"/>
      <c r="AE166" s="735"/>
      <c r="AF166" s="739"/>
      <c r="AG166" s="735"/>
      <c r="AH166" s="735"/>
      <c r="AI166" s="735"/>
      <c r="AJ166" s="735"/>
      <c r="AK166" s="735"/>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6"/>
      <c r="BG166" s="598"/>
      <c r="BH166" s="595"/>
      <c r="BI166" s="595"/>
      <c r="BJ166" s="595"/>
      <c r="BK166" s="595"/>
      <c r="BL166" s="595"/>
      <c r="BM166" s="746"/>
      <c r="BN166" s="658"/>
      <c r="BO166" s="658"/>
      <c r="BP166" s="658"/>
      <c r="BQ166" s="658"/>
      <c r="BR166" s="658"/>
      <c r="BS166" s="658"/>
      <c r="BT166" s="750" t="str">
        <f>+IF(BU9=3,3,"")</f>
        <v/>
      </c>
      <c r="BU166" s="751" t="s">
        <v>890</v>
      </c>
      <c r="BV166" s="752" t="str">
        <f>+IF(BT166=3,1,"")</f>
        <v/>
      </c>
      <c r="BW166" s="753"/>
      <c r="BX166" s="754" t="str">
        <f>+IF(BT166=3,1,"")</f>
        <v/>
      </c>
      <c r="BY166" s="753"/>
      <c r="BZ166" s="754" t="str">
        <f>+IF(BT166=3,1,"")</f>
        <v/>
      </c>
      <c r="CA166" s="753"/>
      <c r="CB166" s="754" t="str">
        <f>+IF(BT166=3,1,"")</f>
        <v/>
      </c>
      <c r="CC166" s="753"/>
      <c r="CD166" s="658"/>
      <c r="CE166" s="625"/>
      <c r="CF166" s="625"/>
      <c r="CG166" s="625">
        <f>+IF(AR111="Ki kell tölteni az Eredményterv fület",1,0)</f>
        <v>0</v>
      </c>
      <c r="CH166" s="625"/>
      <c r="CI166" s="743"/>
      <c r="CJ166" s="743"/>
      <c r="CK166" s="658"/>
      <c r="CL166" s="658"/>
      <c r="CM166" s="658"/>
      <c r="CN166" s="658"/>
      <c r="CO166" s="658"/>
      <c r="CP166" s="658"/>
      <c r="CQ166" s="658"/>
      <c r="CR166" s="658"/>
      <c r="CS166" s="658"/>
      <c r="CT166" s="658"/>
      <c r="CU166" s="658"/>
      <c r="CV166" s="658"/>
      <c r="CW166" s="747"/>
      <c r="CX166" s="658"/>
      <c r="CY166" s="658"/>
      <c r="CZ166" s="658"/>
      <c r="DA166" s="658"/>
      <c r="DB166" s="658"/>
      <c r="DC166" s="658"/>
      <c r="DD166" s="658"/>
      <c r="DE166" s="658"/>
      <c r="DF166" s="658"/>
      <c r="DG166" s="658"/>
      <c r="DH166" s="658"/>
      <c r="DI166" s="658"/>
      <c r="DJ166" s="658"/>
      <c r="DK166" s="658"/>
      <c r="DL166" s="658"/>
      <c r="DM166" s="658"/>
      <c r="DN166" s="658"/>
      <c r="DO166" s="658"/>
      <c r="DP166" s="658"/>
      <c r="DQ166" s="658"/>
      <c r="EJ166" s="593"/>
      <c r="EK166" s="593"/>
      <c r="EL166" s="593"/>
      <c r="EM166" s="593"/>
      <c r="EN166" s="593"/>
      <c r="EO166" s="593"/>
      <c r="EP166" s="593"/>
      <c r="EQ166" s="593"/>
      <c r="ER166" s="593"/>
      <c r="ES166" s="593"/>
      <c r="ET166" s="593"/>
      <c r="EU166" s="593"/>
      <c r="EV166" s="593"/>
      <c r="EW166" s="593"/>
      <c r="EX166" s="593"/>
      <c r="EY166" s="593"/>
      <c r="EZ166" s="593"/>
      <c r="FA166" s="593"/>
      <c r="FB166" s="593"/>
      <c r="FC166" s="593"/>
      <c r="FD166" s="593"/>
      <c r="FE166" s="593"/>
      <c r="FF166" s="593"/>
      <c r="FG166" s="593"/>
      <c r="FH166" s="593"/>
      <c r="FI166" s="593"/>
      <c r="FJ166" s="593"/>
      <c r="FK166" s="593"/>
      <c r="FL166" s="593"/>
      <c r="FM166" s="593"/>
      <c r="FN166" s="593"/>
      <c r="FO166" s="593"/>
      <c r="FP166" s="593"/>
      <c r="FQ166" s="593"/>
      <c r="FR166" s="593"/>
      <c r="FS166" s="593"/>
      <c r="FT166" s="593"/>
      <c r="FU166" s="593"/>
      <c r="FV166" s="593"/>
      <c r="FW166" s="593"/>
      <c r="FX166" s="593"/>
      <c r="FY166" s="593"/>
      <c r="FZ166" s="593"/>
      <c r="GA166" s="593"/>
      <c r="GB166" s="593"/>
      <c r="GC166" s="593"/>
      <c r="GD166" s="593"/>
      <c r="GE166" s="593"/>
      <c r="GF166" s="593"/>
      <c r="GG166" s="593"/>
      <c r="GH166" s="593"/>
      <c r="GI166" s="593"/>
      <c r="GJ166" s="593"/>
      <c r="GK166" s="593"/>
      <c r="GL166" s="593"/>
      <c r="GM166" s="593"/>
      <c r="GN166" s="593"/>
      <c r="GO166" s="593"/>
      <c r="GP166" s="593"/>
      <c r="GQ166" s="593"/>
      <c r="GR166" s="593"/>
      <c r="GS166" s="593"/>
      <c r="GT166" s="593"/>
      <c r="GU166" s="593"/>
      <c r="GV166" s="593"/>
      <c r="GW166" s="593"/>
      <c r="GX166" s="593"/>
      <c r="GY166" s="593"/>
      <c r="GZ166" s="593"/>
      <c r="HA166" s="593"/>
      <c r="HB166" s="593"/>
      <c r="HC166" s="593"/>
      <c r="HD166" s="593"/>
      <c r="HE166" s="593"/>
      <c r="HF166" s="593"/>
      <c r="HG166" s="593"/>
      <c r="HH166" s="593"/>
      <c r="HI166" s="593"/>
      <c r="HJ166" s="593"/>
    </row>
    <row r="167" spans="1:218" s="748" customFormat="1" ht="14.25" customHeight="1" x14ac:dyDescent="0.15">
      <c r="A167" s="588"/>
      <c r="B167" s="744"/>
      <c r="C167" s="581"/>
      <c r="D167" s="1301" t="s">
        <v>576</v>
      </c>
      <c r="E167" s="1301"/>
      <c r="F167" s="1301"/>
      <c r="G167" s="1301"/>
      <c r="H167" s="1301"/>
      <c r="I167" s="1301"/>
      <c r="J167" s="1301"/>
      <c r="K167" s="1301"/>
      <c r="L167" s="1301"/>
      <c r="M167" s="1301"/>
      <c r="N167" s="1301"/>
      <c r="O167" s="1301"/>
      <c r="P167" s="1301"/>
      <c r="Q167" s="1301"/>
      <c r="R167" s="1301"/>
      <c r="S167" s="1301"/>
      <c r="T167" s="1301"/>
      <c r="U167" s="1301"/>
      <c r="V167" s="1301"/>
      <c r="W167" s="1301"/>
      <c r="X167" s="1301"/>
      <c r="Y167" s="1301"/>
      <c r="Z167" s="1265">
        <f>Z142+Z144+Z146+Z148+Z150+Z152+Z158+Z160+Z162+Z164</f>
        <v>0</v>
      </c>
      <c r="AA167" s="1265"/>
      <c r="AB167" s="1265"/>
      <c r="AC167" s="1265"/>
      <c r="AD167" s="1265"/>
      <c r="AE167" s="1265"/>
      <c r="AF167" s="1265"/>
      <c r="AG167" s="1265"/>
      <c r="AH167" s="735"/>
      <c r="AI167" s="1286">
        <f>AI142+AI144+AI146+AI148+AI150+AI152+AI158+AI160+AI162+AI164</f>
        <v>0</v>
      </c>
      <c r="AJ167" s="1286"/>
      <c r="AK167" s="1286"/>
      <c r="AL167" s="1286"/>
      <c r="AM167" s="1286"/>
      <c r="AN167" s="1286"/>
      <c r="AO167" s="735"/>
      <c r="AP167" s="1265">
        <f>AP142+AP144+AP146+AP148+AP150+AP152+AP158+AP160+AP162+AP164</f>
        <v>0</v>
      </c>
      <c r="AQ167" s="1265"/>
      <c r="AR167" s="1265"/>
      <c r="AS167" s="1265"/>
      <c r="AT167" s="734"/>
      <c r="AU167" s="734"/>
      <c r="AV167" s="734"/>
      <c r="AW167" s="734"/>
      <c r="AX167" s="735"/>
      <c r="AY167" s="1265">
        <f>Z167+AI167+AP167</f>
        <v>0</v>
      </c>
      <c r="AZ167" s="1265"/>
      <c r="BA167" s="1265"/>
      <c r="BB167" s="1265"/>
      <c r="BC167" s="1265"/>
      <c r="BD167" s="1265"/>
      <c r="BE167" s="1265"/>
      <c r="BF167" s="736"/>
      <c r="BG167" s="598"/>
      <c r="BH167" s="595"/>
      <c r="BI167" s="595"/>
      <c r="BJ167" s="595"/>
      <c r="BK167" s="595"/>
      <c r="BL167" s="595"/>
      <c r="BM167" s="746"/>
      <c r="BN167" s="658"/>
      <c r="BO167" s="658"/>
      <c r="BP167" s="658"/>
      <c r="BQ167" s="658"/>
      <c r="BR167" s="658"/>
      <c r="BS167" s="658"/>
      <c r="BT167" s="750" t="str">
        <f>+IF(BU8=2,2,"")</f>
        <v/>
      </c>
      <c r="BU167" s="751" t="s">
        <v>891</v>
      </c>
      <c r="BV167" s="752" t="str">
        <f>IF(BT167=2,1,"")</f>
        <v/>
      </c>
      <c r="BW167" s="753"/>
      <c r="BX167" s="754" t="str">
        <f>+IF(BT167=2,1,"")</f>
        <v/>
      </c>
      <c r="BY167" s="753"/>
      <c r="BZ167" s="754" t="str">
        <f>+IF(BT167=2,1,"")</f>
        <v/>
      </c>
      <c r="CA167" s="753"/>
      <c r="CB167" s="754" t="str">
        <f>+IF(BT167=2,1,"")</f>
        <v/>
      </c>
      <c r="CC167" s="753"/>
      <c r="CD167" s="658"/>
      <c r="CE167" s="566"/>
      <c r="CF167" s="566"/>
      <c r="CG167" s="566"/>
      <c r="CH167" s="566"/>
      <c r="CI167" s="658"/>
      <c r="CJ167" s="658"/>
      <c r="CK167" s="658"/>
      <c r="CL167" s="658"/>
      <c r="CM167" s="658"/>
      <c r="CN167" s="658"/>
      <c r="CO167" s="658"/>
      <c r="CP167" s="658"/>
      <c r="CQ167" s="658"/>
      <c r="CR167" s="658"/>
      <c r="CS167" s="658"/>
      <c r="CT167" s="658"/>
      <c r="CU167" s="658"/>
      <c r="CV167" s="658"/>
      <c r="CW167" s="747"/>
      <c r="CX167" s="658"/>
      <c r="CY167" s="658"/>
      <c r="CZ167" s="658"/>
      <c r="DA167" s="658"/>
      <c r="DB167" s="658"/>
      <c r="DC167" s="658"/>
      <c r="DD167" s="658"/>
      <c r="DE167" s="658"/>
      <c r="DF167" s="658"/>
      <c r="DG167" s="658"/>
      <c r="DH167" s="658"/>
      <c r="DI167" s="658"/>
      <c r="DJ167" s="658"/>
      <c r="DK167" s="658"/>
      <c r="DL167" s="658"/>
      <c r="DM167" s="658"/>
      <c r="DN167" s="658"/>
      <c r="DO167" s="658"/>
      <c r="DP167" s="658"/>
      <c r="DQ167" s="658"/>
      <c r="EJ167" s="593"/>
      <c r="EK167" s="593"/>
      <c r="EL167" s="593"/>
      <c r="EM167" s="593"/>
      <c r="EN167" s="593"/>
      <c r="EO167" s="593"/>
      <c r="EP167" s="593"/>
      <c r="EQ167" s="593"/>
      <c r="ER167" s="593"/>
      <c r="ES167" s="593"/>
      <c r="ET167" s="593"/>
      <c r="EU167" s="593"/>
      <c r="EV167" s="593"/>
      <c r="EW167" s="593"/>
      <c r="EX167" s="593"/>
      <c r="EY167" s="593"/>
      <c r="EZ167" s="593"/>
      <c r="FA167" s="593"/>
      <c r="FB167" s="593"/>
      <c r="FC167" s="593"/>
      <c r="FD167" s="593"/>
      <c r="FE167" s="593"/>
      <c r="FF167" s="593"/>
      <c r="FG167" s="593"/>
      <c r="FH167" s="593"/>
      <c r="FI167" s="593"/>
      <c r="FJ167" s="593"/>
      <c r="FK167" s="593"/>
      <c r="FL167" s="593"/>
      <c r="FM167" s="593"/>
      <c r="FN167" s="593"/>
      <c r="FO167" s="593"/>
      <c r="FP167" s="593"/>
      <c r="FQ167" s="593"/>
      <c r="FR167" s="593"/>
      <c r="FS167" s="593"/>
      <c r="FT167" s="593"/>
      <c r="FU167" s="593"/>
      <c r="FV167" s="593"/>
      <c r="FW167" s="593"/>
      <c r="FX167" s="593"/>
      <c r="FY167" s="593"/>
      <c r="FZ167" s="593"/>
      <c r="GA167" s="593"/>
      <c r="GB167" s="593"/>
      <c r="GC167" s="593"/>
      <c r="GD167" s="593"/>
      <c r="GE167" s="593"/>
      <c r="GF167" s="593"/>
      <c r="GG167" s="593"/>
      <c r="GH167" s="593"/>
      <c r="GI167" s="593"/>
      <c r="GJ167" s="593"/>
      <c r="GK167" s="593"/>
      <c r="GL167" s="593"/>
      <c r="GM167" s="593"/>
      <c r="GN167" s="593"/>
      <c r="GO167" s="593"/>
      <c r="GP167" s="593"/>
      <c r="GQ167" s="593"/>
      <c r="GR167" s="593"/>
      <c r="GS167" s="593"/>
      <c r="GT167" s="593"/>
      <c r="GU167" s="593"/>
      <c r="GV167" s="593"/>
      <c r="GW167" s="593"/>
      <c r="GX167" s="593"/>
      <c r="GY167" s="593"/>
      <c r="GZ167" s="593"/>
      <c r="HA167" s="593"/>
      <c r="HB167" s="593"/>
      <c r="HC167" s="593"/>
      <c r="HD167" s="593"/>
      <c r="HE167" s="593"/>
      <c r="HF167" s="593"/>
      <c r="HG167" s="593"/>
      <c r="HH167" s="593"/>
      <c r="HI167" s="593"/>
      <c r="HJ167" s="593"/>
    </row>
    <row r="168" spans="1:218" ht="14" x14ac:dyDescent="0.15">
      <c r="A168" s="588"/>
      <c r="B168" s="744"/>
      <c r="C168" s="581"/>
      <c r="D168" s="1301" t="s">
        <v>460</v>
      </c>
      <c r="E168" s="1301"/>
      <c r="F168" s="1301"/>
      <c r="G168" s="1301"/>
      <c r="H168" s="1301"/>
      <c r="I168" s="1301"/>
      <c r="J168" s="1301"/>
      <c r="K168" s="1301"/>
      <c r="L168" s="1301"/>
      <c r="M168" s="1301"/>
      <c r="N168" s="1301"/>
      <c r="O168" s="1301"/>
      <c r="P168" s="1301"/>
      <c r="Q168" s="1301"/>
      <c r="R168" s="1301"/>
      <c r="S168" s="1301"/>
      <c r="T168" s="1301"/>
      <c r="U168" s="1301"/>
      <c r="V168" s="1301"/>
      <c r="W168" s="1301"/>
      <c r="X168" s="1301"/>
      <c r="Y168" s="1301"/>
      <c r="Z168" s="1265"/>
      <c r="AA168" s="1265"/>
      <c r="AB168" s="1265"/>
      <c r="AC168" s="1265"/>
      <c r="AD168" s="1265"/>
      <c r="AE168" s="1265"/>
      <c r="AF168" s="1265"/>
      <c r="AG168" s="1265"/>
      <c r="AH168" s="737"/>
      <c r="AI168" s="1286"/>
      <c r="AJ168" s="1286"/>
      <c r="AK168" s="1286"/>
      <c r="AL168" s="1286"/>
      <c r="AM168" s="1286"/>
      <c r="AN168" s="1286"/>
      <c r="AO168" s="737"/>
      <c r="AP168" s="1265"/>
      <c r="AQ168" s="1265"/>
      <c r="AR168" s="1265"/>
      <c r="AS168" s="1265"/>
      <c r="AT168" s="734"/>
      <c r="AU168" s="734"/>
      <c r="AV168" s="734"/>
      <c r="AW168" s="734"/>
      <c r="AX168" s="737"/>
      <c r="AY168" s="1265"/>
      <c r="AZ168" s="1265"/>
      <c r="BA168" s="1265"/>
      <c r="BB168" s="1265"/>
      <c r="BC168" s="1265"/>
      <c r="BD168" s="1265"/>
      <c r="BE168" s="1265"/>
      <c r="BF168" s="736"/>
      <c r="BG168" s="598"/>
      <c r="BH168" s="595"/>
      <c r="BI168" s="595"/>
      <c r="BJ168" s="595"/>
      <c r="BK168" s="595"/>
      <c r="BL168" s="595"/>
      <c r="BM168" s="746"/>
      <c r="BN168" s="590"/>
      <c r="BO168" s="590"/>
      <c r="BP168" s="590"/>
      <c r="BQ168" s="590"/>
      <c r="BR168" s="590"/>
      <c r="BS168" s="590"/>
      <c r="BT168" s="750" t="str">
        <f>+IF($BU$10=4,4,"")</f>
        <v/>
      </c>
      <c r="BU168" s="751" t="s">
        <v>1147</v>
      </c>
      <c r="BV168" s="752" t="str">
        <f>+IF(AND($BT$168=4,HetelTipusa="beruházási hitel"),1,"")</f>
        <v/>
      </c>
      <c r="BW168" s="752" t="str">
        <f>+IF(AND($BT$168=4,HetelTipusa="beruházási hitel"),1,"")</f>
        <v/>
      </c>
      <c r="BX168" s="753"/>
      <c r="BY168" s="753"/>
      <c r="BZ168" s="753"/>
      <c r="CA168" s="753"/>
      <c r="CB168" s="753"/>
      <c r="CC168" s="753"/>
      <c r="CD168" s="590"/>
      <c r="CE168" s="625" t="s">
        <v>524</v>
      </c>
      <c r="CF168" s="625"/>
      <c r="CG168" s="625"/>
      <c r="CH168" s="625"/>
      <c r="CI168" s="743"/>
      <c r="CJ168" s="743">
        <f>365/12</f>
        <v>30.416666666666668</v>
      </c>
      <c r="CK168" s="590"/>
      <c r="CL168" s="590"/>
      <c r="CM168" s="590"/>
      <c r="CN168" s="590"/>
      <c r="CO168" s="590"/>
      <c r="CP168" s="590"/>
      <c r="CQ168" s="590"/>
      <c r="CR168" s="590"/>
      <c r="CS168" s="590"/>
      <c r="CT168" s="590"/>
      <c r="CU168" s="590"/>
      <c r="CV168" s="590"/>
      <c r="CW168" s="591"/>
      <c r="CX168" s="590"/>
      <c r="CY168" s="590"/>
      <c r="CZ168" s="590"/>
      <c r="DA168" s="590"/>
      <c r="DB168" s="590"/>
      <c r="DC168" s="590"/>
      <c r="DD168" s="590"/>
      <c r="DE168" s="590"/>
      <c r="DF168" s="590"/>
      <c r="DG168" s="590"/>
      <c r="DH168" s="590"/>
      <c r="DI168" s="590"/>
      <c r="DJ168" s="590"/>
      <c r="DK168" s="590"/>
      <c r="DL168" s="590"/>
      <c r="DM168" s="590"/>
      <c r="DN168" s="590"/>
      <c r="DO168" s="590"/>
      <c r="DP168" s="590"/>
      <c r="DQ168" s="590"/>
    </row>
    <row r="169" spans="1:218" ht="12" customHeight="1" x14ac:dyDescent="0.15">
      <c r="A169" s="588"/>
      <c r="B169" s="744"/>
      <c r="C169" s="581"/>
      <c r="D169" s="1272" t="s">
        <v>282</v>
      </c>
      <c r="E169" s="1272"/>
      <c r="F169" s="1272"/>
      <c r="G169" s="1272"/>
      <c r="H169" s="1272"/>
      <c r="I169" s="1272"/>
      <c r="J169" s="1272"/>
      <c r="K169" s="1272"/>
      <c r="L169" s="1272"/>
      <c r="M169" s="1272"/>
      <c r="N169" s="1272"/>
      <c r="O169" s="1272"/>
      <c r="P169" s="1272"/>
      <c r="Q169" s="1272"/>
      <c r="R169" s="1272"/>
      <c r="S169" s="1272"/>
      <c r="T169" s="1272"/>
      <c r="U169" s="1272"/>
      <c r="V169" s="1272"/>
      <c r="W169" s="1272"/>
      <c r="X169" s="1272"/>
      <c r="Y169" s="1272"/>
      <c r="Z169" s="735"/>
      <c r="AA169" s="735"/>
      <c r="AB169" s="735"/>
      <c r="AC169" s="735"/>
      <c r="AD169" s="735"/>
      <c r="AE169" s="735"/>
      <c r="AF169" s="735"/>
      <c r="AG169" s="735"/>
      <c r="AH169" s="735"/>
      <c r="AI169" s="735"/>
      <c r="AJ169" s="735"/>
      <c r="AK169" s="735"/>
      <c r="AL169" s="735"/>
      <c r="AM169" s="735"/>
      <c r="AN169" s="735"/>
      <c r="AO169" s="735"/>
      <c r="AP169" s="735"/>
      <c r="AQ169" s="735"/>
      <c r="AR169" s="735"/>
      <c r="AS169" s="735"/>
      <c r="AT169" s="735"/>
      <c r="AU169" s="735"/>
      <c r="AV169" s="735"/>
      <c r="AW169" s="735"/>
      <c r="AX169" s="735"/>
      <c r="AY169" s="735"/>
      <c r="AZ169" s="735"/>
      <c r="BA169" s="735"/>
      <c r="BB169" s="735"/>
      <c r="BC169" s="735"/>
      <c r="BD169" s="735"/>
      <c r="BE169" s="735"/>
      <c r="BF169" s="736"/>
      <c r="BG169" s="598"/>
      <c r="BH169" s="595"/>
      <c r="BI169" s="595"/>
      <c r="BJ169" s="595"/>
      <c r="BK169" s="595"/>
      <c r="BL169" s="595"/>
      <c r="BM169" s="746"/>
      <c r="BN169" s="590"/>
      <c r="BO169" s="590"/>
      <c r="BP169" s="590"/>
      <c r="BQ169" s="590"/>
      <c r="BR169" s="590"/>
      <c r="BS169" s="590"/>
      <c r="BT169" s="750" t="str">
        <f t="shared" ref="BT169:BT172" si="3">+IF($BU$10=4,4,"")</f>
        <v/>
      </c>
      <c r="BU169" s="751" t="s">
        <v>1148</v>
      </c>
      <c r="BV169" s="752" t="str">
        <f>+IF(AND($BT$169=4,HetelTipusa="beruházási hitel+kapcsolódó forgóeszközhitel"),1,"")</f>
        <v/>
      </c>
      <c r="BW169" s="752" t="str">
        <f>+IF(AND($BT$169=4,HetelTipusa="beruházási hitel+kapcsolódó forgóeszközhitel"),1,"")</f>
        <v/>
      </c>
      <c r="BX169" s="753"/>
      <c r="BY169" s="753"/>
      <c r="BZ169" s="753"/>
      <c r="CA169" s="753"/>
      <c r="CB169" s="753"/>
      <c r="CC169" s="753"/>
      <c r="CD169" s="590"/>
      <c r="CE169" s="743" t="s">
        <v>526</v>
      </c>
      <c r="CF169" s="743"/>
      <c r="CG169" s="743"/>
      <c r="CH169" s="743"/>
      <c r="CI169" s="743" t="e">
        <f>+rendtarthó*30.42</f>
        <v>#VALUE!</v>
      </c>
      <c r="CJ169" s="743"/>
      <c r="CK169" s="590"/>
      <c r="CL169" s="590"/>
      <c r="CM169" s="590"/>
      <c r="CN169" s="590"/>
      <c r="CO169" s="590"/>
      <c r="CP169" s="590"/>
      <c r="CQ169" s="590"/>
      <c r="CR169" s="590"/>
      <c r="CS169" s="590"/>
      <c r="CT169" s="590"/>
      <c r="CU169" s="590"/>
      <c r="CV169" s="590"/>
      <c r="CW169" s="591"/>
      <c r="CX169" s="590"/>
      <c r="CY169" s="590"/>
      <c r="CZ169" s="590"/>
      <c r="DA169" s="590"/>
      <c r="DB169" s="590"/>
      <c r="DC169" s="590"/>
      <c r="DD169" s="590"/>
      <c r="DE169" s="590"/>
      <c r="DF169" s="590"/>
      <c r="DG169" s="590"/>
      <c r="DH169" s="590"/>
      <c r="DI169" s="590"/>
      <c r="DJ169" s="590"/>
      <c r="DK169" s="590"/>
      <c r="DL169" s="590"/>
      <c r="DM169" s="590"/>
      <c r="DN169" s="590"/>
      <c r="DO169" s="590"/>
      <c r="DP169" s="590"/>
      <c r="DQ169" s="590"/>
    </row>
    <row r="170" spans="1:218" ht="14" x14ac:dyDescent="0.15">
      <c r="A170" s="658"/>
      <c r="B170" s="744"/>
      <c r="C170" s="581"/>
      <c r="D170" s="1297" t="s">
        <v>577</v>
      </c>
      <c r="E170" s="1297"/>
      <c r="F170" s="1297"/>
      <c r="G170" s="1297"/>
      <c r="H170" s="1297"/>
      <c r="I170" s="1297"/>
      <c r="J170" s="1297"/>
      <c r="K170" s="1297"/>
      <c r="L170" s="1297"/>
      <c r="M170" s="1297"/>
      <c r="N170" s="1297"/>
      <c r="O170" s="1297"/>
      <c r="P170" s="1297"/>
      <c r="Q170" s="1297"/>
      <c r="R170" s="1297"/>
      <c r="S170" s="1297"/>
      <c r="T170" s="1297"/>
      <c r="U170" s="1297"/>
      <c r="V170" s="1297"/>
      <c r="W170" s="1297"/>
      <c r="X170" s="1297"/>
      <c r="Y170" s="1297"/>
      <c r="Z170" s="1265">
        <f>Z172+Z174</f>
        <v>0</v>
      </c>
      <c r="AA170" s="1265"/>
      <c r="AB170" s="1265"/>
      <c r="AC170" s="1265"/>
      <c r="AD170" s="1265"/>
      <c r="AE170" s="1265"/>
      <c r="AF170" s="1265"/>
      <c r="AG170" s="1265"/>
      <c r="AH170" s="735"/>
      <c r="AI170" s="1286">
        <f>AI172+AI174</f>
        <v>0</v>
      </c>
      <c r="AJ170" s="1286"/>
      <c r="AK170" s="1286"/>
      <c r="AL170" s="1286"/>
      <c r="AM170" s="1286"/>
      <c r="AN170" s="1286"/>
      <c r="AO170" s="735"/>
      <c r="AP170" s="1286">
        <f>AP172+AP174</f>
        <v>0</v>
      </c>
      <c r="AQ170" s="1286"/>
      <c r="AR170" s="1286"/>
      <c r="AS170" s="1286"/>
      <c r="AT170" s="737"/>
      <c r="AU170" s="737"/>
      <c r="AV170" s="737"/>
      <c r="AW170" s="737"/>
      <c r="AX170" s="735"/>
      <c r="AY170" s="1265">
        <f>Z170+AI170+AP170</f>
        <v>0</v>
      </c>
      <c r="AZ170" s="1265"/>
      <c r="BA170" s="1265"/>
      <c r="BB170" s="1265"/>
      <c r="BC170" s="1265"/>
      <c r="BD170" s="1265"/>
      <c r="BE170" s="1265"/>
      <c r="BF170" s="736"/>
      <c r="BG170" s="598"/>
      <c r="BH170" s="595"/>
      <c r="BI170" s="595"/>
      <c r="BJ170" s="595"/>
      <c r="BK170" s="595"/>
      <c r="BL170" s="595"/>
      <c r="BM170" s="746"/>
      <c r="BN170" s="590"/>
      <c r="BO170" s="590"/>
      <c r="BP170" s="590"/>
      <c r="BQ170" s="590"/>
      <c r="BR170" s="590"/>
      <c r="BS170" s="590"/>
      <c r="BT170" s="750" t="str">
        <f t="shared" si="3"/>
        <v/>
      </c>
      <c r="BU170" s="751" t="s">
        <v>1149</v>
      </c>
      <c r="BV170" s="752" t="str">
        <f>+IF(AND($BT$170=4,HetelTipusa="egyéb önálló forgóeszközhitel"),1,"")</f>
        <v/>
      </c>
      <c r="BW170" s="752" t="str">
        <f>+IF(AND($BT$170=4,HetelTipusa="egyéb önálló forgóeszközhitel"),1,"")</f>
        <v/>
      </c>
      <c r="BX170" s="753"/>
      <c r="BY170" s="753"/>
      <c r="BZ170" s="753"/>
      <c r="CA170" s="753"/>
      <c r="CB170" s="753"/>
      <c r="CC170" s="753"/>
      <c r="CD170" s="590"/>
      <c r="CE170" s="743" t="s">
        <v>525</v>
      </c>
      <c r="CF170" s="743"/>
      <c r="CG170" s="743"/>
      <c r="CH170" s="743"/>
      <c r="CI170" s="743" t="str">
        <f>+honapokszama</f>
        <v/>
      </c>
      <c r="CJ170" s="743"/>
      <c r="CK170" s="590"/>
      <c r="CL170" s="590"/>
      <c r="CM170" s="590"/>
      <c r="CN170" s="590"/>
      <c r="CO170" s="590"/>
      <c r="CP170" s="590"/>
      <c r="CQ170" s="590"/>
      <c r="CR170" s="590"/>
      <c r="CS170" s="590"/>
      <c r="CT170" s="590"/>
      <c r="CU170" s="590"/>
      <c r="CV170" s="590"/>
      <c r="CW170" s="591"/>
      <c r="CX170" s="590"/>
      <c r="CY170" s="590"/>
      <c r="CZ170" s="590"/>
      <c r="DA170" s="590"/>
      <c r="DB170" s="590"/>
      <c r="DC170" s="590"/>
      <c r="DD170" s="590"/>
      <c r="DE170" s="590"/>
      <c r="DF170" s="590"/>
      <c r="DG170" s="590"/>
      <c r="DH170" s="590"/>
      <c r="DI170" s="590"/>
      <c r="DJ170" s="590"/>
      <c r="DK170" s="590"/>
      <c r="DL170" s="590"/>
      <c r="DM170" s="590"/>
      <c r="DN170" s="590"/>
      <c r="DO170" s="590"/>
      <c r="DP170" s="590"/>
      <c r="DQ170" s="590"/>
    </row>
    <row r="171" spans="1:218" ht="13.5" customHeight="1" x14ac:dyDescent="0.15">
      <c r="A171" s="588"/>
      <c r="B171" s="744"/>
      <c r="C171" s="581"/>
      <c r="D171" s="755"/>
      <c r="E171" s="1297"/>
      <c r="F171" s="1297"/>
      <c r="G171" s="1297"/>
      <c r="H171" s="1297"/>
      <c r="I171" s="1297"/>
      <c r="J171" s="1297"/>
      <c r="K171" s="1297"/>
      <c r="L171" s="1297"/>
      <c r="M171" s="1297"/>
      <c r="N171" s="1297"/>
      <c r="O171" s="1297"/>
      <c r="P171" s="1297"/>
      <c r="Q171" s="1297"/>
      <c r="R171" s="1297"/>
      <c r="S171" s="1297"/>
      <c r="T171" s="1297"/>
      <c r="U171" s="1297"/>
      <c r="V171" s="1297"/>
      <c r="W171" s="1297"/>
      <c r="X171" s="1297"/>
      <c r="Y171" s="1297"/>
      <c r="Z171" s="1297"/>
      <c r="AA171" s="737"/>
      <c r="AB171" s="737"/>
      <c r="AC171" s="737"/>
      <c r="AD171" s="737"/>
      <c r="AE171" s="737"/>
      <c r="AF171" s="737"/>
      <c r="AG171" s="737"/>
      <c r="AH171" s="735"/>
      <c r="AI171" s="737"/>
      <c r="AJ171" s="737"/>
      <c r="AK171" s="737"/>
      <c r="AL171" s="737"/>
      <c r="AM171" s="737"/>
      <c r="AN171" s="737"/>
      <c r="AO171" s="735"/>
      <c r="AP171" s="737"/>
      <c r="AQ171" s="737"/>
      <c r="AR171" s="737"/>
      <c r="AS171" s="737"/>
      <c r="AT171" s="737"/>
      <c r="AU171" s="737"/>
      <c r="AV171" s="737"/>
      <c r="AW171" s="737"/>
      <c r="AX171" s="735"/>
      <c r="AY171" s="737"/>
      <c r="AZ171" s="738"/>
      <c r="BA171" s="738"/>
      <c r="BB171" s="738"/>
      <c r="BC171" s="738"/>
      <c r="BD171" s="738"/>
      <c r="BE171" s="738"/>
      <c r="BF171" s="736"/>
      <c r="BG171" s="598"/>
      <c r="BH171" s="595"/>
      <c r="BI171" s="595"/>
      <c r="BJ171" s="595"/>
      <c r="BK171" s="595"/>
      <c r="BL171" s="595"/>
      <c r="BM171" s="746"/>
      <c r="BN171" s="590"/>
      <c r="BO171" s="590"/>
      <c r="BP171" s="590"/>
      <c r="BQ171" s="590"/>
      <c r="BR171" s="590"/>
      <c r="BS171" s="590"/>
      <c r="BT171" s="750" t="str">
        <f t="shared" si="3"/>
        <v/>
      </c>
      <c r="BU171" s="751" t="s">
        <v>1150</v>
      </c>
      <c r="BV171" s="752" t="str">
        <f t="shared" ref="BV171:CA171" si="4">+IF(AND($BT$171=4,HetelTipusa="ingatlan célú éven túli forgóeszközhitel"),1,"")</f>
        <v/>
      </c>
      <c r="BW171" s="752" t="str">
        <f t="shared" si="4"/>
        <v/>
      </c>
      <c r="BX171" s="752" t="str">
        <f t="shared" si="4"/>
        <v/>
      </c>
      <c r="BY171" s="752" t="str">
        <f t="shared" si="4"/>
        <v/>
      </c>
      <c r="BZ171" s="752" t="str">
        <f t="shared" si="4"/>
        <v/>
      </c>
      <c r="CA171" s="752" t="str">
        <f t="shared" si="4"/>
        <v/>
      </c>
      <c r="CB171" s="753"/>
      <c r="CC171" s="753"/>
      <c r="CD171" s="590"/>
      <c r="CE171" s="743" t="s">
        <v>527</v>
      </c>
      <c r="CF171" s="743"/>
      <c r="CG171" s="743"/>
      <c r="CH171" s="743"/>
      <c r="CI171" s="743" t="e">
        <f>+N97*30.42</f>
        <v>#VALUE!</v>
      </c>
      <c r="CJ171" s="743"/>
      <c r="CK171" s="590"/>
      <c r="CL171" s="590"/>
      <c r="CM171" s="590"/>
      <c r="CN171" s="590"/>
      <c r="CO171" s="590"/>
      <c r="CP171" s="590"/>
      <c r="CQ171" s="590"/>
      <c r="CR171" s="590"/>
      <c r="CS171" s="590"/>
      <c r="CT171" s="590"/>
      <c r="CU171" s="590"/>
      <c r="CV171" s="590"/>
      <c r="CW171" s="591"/>
      <c r="CX171" s="590"/>
      <c r="CY171" s="590"/>
      <c r="CZ171" s="590"/>
      <c r="DA171" s="590"/>
      <c r="DB171" s="590"/>
      <c r="DC171" s="590"/>
      <c r="DD171" s="590"/>
      <c r="DE171" s="590"/>
      <c r="DF171" s="590"/>
      <c r="DG171" s="590"/>
      <c r="DH171" s="590"/>
      <c r="DI171" s="590"/>
      <c r="DJ171" s="590"/>
      <c r="DK171" s="590"/>
      <c r="DL171" s="590"/>
      <c r="DM171" s="590"/>
      <c r="DN171" s="590"/>
      <c r="DO171" s="590"/>
      <c r="DP171" s="590"/>
      <c r="DQ171" s="590"/>
    </row>
    <row r="172" spans="1:218" ht="14" x14ac:dyDescent="0.15">
      <c r="A172" s="588"/>
      <c r="B172" s="744"/>
      <c r="C172" s="581"/>
      <c r="D172" s="755"/>
      <c r="E172" s="731" t="s">
        <v>291</v>
      </c>
      <c r="F172" s="756"/>
      <c r="G172" s="756"/>
      <c r="H172" s="756"/>
      <c r="I172" s="756"/>
      <c r="J172" s="756"/>
      <c r="K172" s="756"/>
      <c r="L172" s="756"/>
      <c r="M172" s="756"/>
      <c r="N172" s="756"/>
      <c r="O172" s="755"/>
      <c r="P172" s="755"/>
      <c r="Q172" s="755"/>
      <c r="R172" s="755"/>
      <c r="S172" s="755"/>
      <c r="T172" s="755"/>
      <c r="U172" s="755"/>
      <c r="V172" s="755"/>
      <c r="W172" s="755"/>
      <c r="X172" s="755"/>
      <c r="Y172" s="755"/>
      <c r="Z172" s="1253"/>
      <c r="AA172" s="1253"/>
      <c r="AB172" s="1253"/>
      <c r="AC172" s="1253"/>
      <c r="AD172" s="1253"/>
      <c r="AE172" s="1253"/>
      <c r="AF172" s="1253"/>
      <c r="AG172" s="1253"/>
      <c r="AH172" s="735"/>
      <c r="AI172" s="1267"/>
      <c r="AJ172" s="1267"/>
      <c r="AK172" s="1267"/>
      <c r="AL172" s="1267"/>
      <c r="AM172" s="1267"/>
      <c r="AN172" s="1267"/>
      <c r="AO172" s="735"/>
      <c r="AP172" s="1267"/>
      <c r="AQ172" s="1267"/>
      <c r="AR172" s="1267"/>
      <c r="AS172" s="1267"/>
      <c r="AT172" s="737"/>
      <c r="AU172" s="737"/>
      <c r="AV172" s="737"/>
      <c r="AW172" s="737"/>
      <c r="AX172" s="735"/>
      <c r="AY172" s="1265">
        <f>Z172+AI172+AP172</f>
        <v>0</v>
      </c>
      <c r="AZ172" s="1265"/>
      <c r="BA172" s="1265"/>
      <c r="BB172" s="1265"/>
      <c r="BC172" s="1265"/>
      <c r="BD172" s="1265"/>
      <c r="BE172" s="1265"/>
      <c r="BF172" s="736"/>
      <c r="BG172" s="598"/>
      <c r="BH172" s="595"/>
      <c r="BI172" s="595"/>
      <c r="BJ172" s="595"/>
      <c r="BK172" s="595"/>
      <c r="BL172" s="595"/>
      <c r="BM172" s="746"/>
      <c r="BN172" s="590"/>
      <c r="BO172" s="590"/>
      <c r="BP172" s="590"/>
      <c r="BQ172" s="590"/>
      <c r="BR172" s="590"/>
      <c r="BS172" s="590"/>
      <c r="BT172" s="750" t="str">
        <f t="shared" si="3"/>
        <v/>
      </c>
      <c r="BU172" s="751" t="s">
        <v>1151</v>
      </c>
      <c r="BV172" s="758"/>
      <c r="BW172" s="753"/>
      <c r="BX172" s="753"/>
      <c r="BY172" s="753"/>
      <c r="BZ172" s="753"/>
      <c r="CA172" s="753"/>
      <c r="CB172" s="753"/>
      <c r="CC172" s="754" t="str">
        <f>+IF(AND($BT$172=4,HetelTipusa="ingatlan célú éven belüli forgóeszközhitel"),1,"")</f>
        <v/>
      </c>
      <c r="CD172" s="590"/>
      <c r="CE172" s="743"/>
      <c r="CF172" s="743"/>
      <c r="CG172" s="743"/>
      <c r="CH172" s="743"/>
      <c r="CI172" s="743" t="str">
        <f>+IF(OR(AN90="",AA90=""),"",AN90-AA90)</f>
        <v/>
      </c>
      <c r="CJ172" s="743" t="str">
        <f>+IF(CI172="","",ROUND(CI172/CJ168,0))</f>
        <v/>
      </c>
      <c r="CK172" s="590"/>
      <c r="CL172" s="590"/>
      <c r="CM172" s="590"/>
      <c r="CN172" s="590"/>
      <c r="CO172" s="590"/>
      <c r="CP172" s="590"/>
      <c r="CQ172" s="590"/>
      <c r="CR172" s="590"/>
      <c r="CS172" s="590"/>
      <c r="CT172" s="590"/>
      <c r="CU172" s="590"/>
      <c r="CV172" s="590"/>
      <c r="CW172" s="591"/>
      <c r="CX172" s="590"/>
      <c r="CY172" s="590"/>
      <c r="CZ172" s="590"/>
      <c r="DA172" s="590"/>
      <c r="DB172" s="590"/>
      <c r="DC172" s="590"/>
      <c r="DD172" s="590"/>
      <c r="DE172" s="590"/>
      <c r="DF172" s="590"/>
      <c r="DG172" s="590"/>
      <c r="DH172" s="590"/>
      <c r="DI172" s="590"/>
      <c r="DJ172" s="590"/>
      <c r="DK172" s="590"/>
      <c r="DL172" s="590"/>
      <c r="DM172" s="590"/>
      <c r="DN172" s="590"/>
      <c r="DO172" s="590"/>
      <c r="DP172" s="590"/>
      <c r="DQ172" s="590"/>
    </row>
    <row r="173" spans="1:218" ht="18" customHeight="1" x14ac:dyDescent="0.15">
      <c r="A173" s="588"/>
      <c r="B173" s="744"/>
      <c r="C173" s="581"/>
      <c r="D173" s="755"/>
      <c r="E173" s="755"/>
      <c r="F173" s="755"/>
      <c r="G173" s="755"/>
      <c r="H173" s="755"/>
      <c r="I173" s="755"/>
      <c r="J173" s="755"/>
      <c r="K173" s="755"/>
      <c r="L173" s="755"/>
      <c r="M173" s="755"/>
      <c r="N173" s="755"/>
      <c r="O173" s="755"/>
      <c r="P173" s="755"/>
      <c r="Q173" s="755"/>
      <c r="R173" s="755"/>
      <c r="S173" s="755"/>
      <c r="T173" s="755"/>
      <c r="U173" s="755"/>
      <c r="V173" s="755"/>
      <c r="W173" s="755"/>
      <c r="X173" s="755"/>
      <c r="Y173" s="755"/>
      <c r="Z173" s="734"/>
      <c r="AA173" s="734"/>
      <c r="AB173" s="734"/>
      <c r="AC173" s="734"/>
      <c r="AD173" s="734"/>
      <c r="AE173" s="734"/>
      <c r="AF173" s="734"/>
      <c r="AG173" s="734"/>
      <c r="AH173" s="735"/>
      <c r="AI173" s="737"/>
      <c r="AJ173" s="737"/>
      <c r="AK173" s="737"/>
      <c r="AL173" s="737"/>
      <c r="AM173" s="737"/>
      <c r="AN173" s="737"/>
      <c r="AO173" s="735"/>
      <c r="AP173" s="737"/>
      <c r="AQ173" s="737"/>
      <c r="AR173" s="737"/>
      <c r="AS173" s="737"/>
      <c r="AT173" s="737"/>
      <c r="AU173" s="737"/>
      <c r="AV173" s="737"/>
      <c r="AW173" s="737"/>
      <c r="AX173" s="735"/>
      <c r="AY173" s="734"/>
      <c r="AZ173" s="734"/>
      <c r="BA173" s="734"/>
      <c r="BB173" s="734"/>
      <c r="BC173" s="734"/>
      <c r="BD173" s="734"/>
      <c r="BE173" s="734"/>
      <c r="BF173" s="736"/>
      <c r="BG173" s="598"/>
      <c r="BH173" s="595"/>
      <c r="BI173" s="595"/>
      <c r="BJ173" s="595"/>
      <c r="BK173" s="595"/>
      <c r="BL173" s="595"/>
      <c r="BM173" s="746"/>
      <c r="BN173" s="590"/>
      <c r="BO173" s="590"/>
      <c r="BP173" s="590"/>
      <c r="BQ173" s="590"/>
      <c r="BR173" s="590"/>
      <c r="BS173" s="590"/>
      <c r="BT173" s="750" t="str">
        <f>+IF(CB7="a","a","")</f>
        <v/>
      </c>
      <c r="BU173" s="751" t="s">
        <v>892</v>
      </c>
      <c r="BV173" s="758"/>
      <c r="BW173" s="753"/>
      <c r="BX173" s="754" t="str">
        <f>+IF($BT$173="a",1,"")</f>
        <v/>
      </c>
      <c r="BY173" s="753"/>
      <c r="BZ173" s="754" t="str">
        <f t="shared" ref="BZ173" si="5">+IF($BT$173="a",1,"")</f>
        <v/>
      </c>
      <c r="CA173" s="753"/>
      <c r="CB173" s="753"/>
      <c r="CC173" s="753"/>
      <c r="CD173" s="590"/>
      <c r="CE173" s="743"/>
      <c r="CF173" s="743"/>
      <c r="CG173" s="743"/>
      <c r="CH173" s="743"/>
      <c r="CI173" s="743" t="str">
        <f>+IF(OR(AN97="",AA97=""),"",AN97-AA97)</f>
        <v/>
      </c>
      <c r="CJ173" s="743" t="str">
        <f>+IF(CI173="","",ROUND(CI173/CJ168,0))</f>
        <v/>
      </c>
      <c r="CK173" s="590"/>
      <c r="CL173" s="590"/>
      <c r="CM173" s="590"/>
      <c r="CN173" s="590"/>
      <c r="CO173" s="590"/>
      <c r="CP173" s="590"/>
      <c r="CQ173" s="590"/>
      <c r="CR173" s="590"/>
      <c r="CS173" s="590"/>
      <c r="CT173" s="590"/>
      <c r="CU173" s="590"/>
      <c r="CV173" s="590"/>
      <c r="CW173" s="591"/>
      <c r="CX173" s="590"/>
      <c r="CY173" s="590"/>
      <c r="CZ173" s="590"/>
      <c r="DA173" s="590"/>
      <c r="DB173" s="590"/>
      <c r="DC173" s="590"/>
      <c r="DD173" s="590"/>
      <c r="DE173" s="590"/>
      <c r="DF173" s="590"/>
      <c r="DG173" s="590"/>
      <c r="DH173" s="590"/>
      <c r="DI173" s="590"/>
      <c r="DJ173" s="590"/>
      <c r="DK173" s="590"/>
      <c r="DL173" s="590"/>
      <c r="DM173" s="590"/>
      <c r="DN173" s="590"/>
      <c r="DO173" s="590"/>
      <c r="DP173" s="590"/>
      <c r="DQ173" s="590"/>
    </row>
    <row r="174" spans="1:218" ht="14" x14ac:dyDescent="0.15">
      <c r="A174" s="588"/>
      <c r="B174" s="744"/>
      <c r="C174" s="581"/>
      <c r="D174" s="755"/>
      <c r="E174" s="731" t="s">
        <v>290</v>
      </c>
      <c r="F174" s="731"/>
      <c r="G174" s="731"/>
      <c r="H174" s="731"/>
      <c r="I174" s="731"/>
      <c r="J174" s="731"/>
      <c r="K174" s="731"/>
      <c r="L174" s="731"/>
      <c r="M174" s="731"/>
      <c r="N174" s="755"/>
      <c r="O174" s="755"/>
      <c r="P174" s="755"/>
      <c r="Q174" s="755"/>
      <c r="R174" s="755"/>
      <c r="S174" s="755"/>
      <c r="T174" s="755"/>
      <c r="U174" s="755"/>
      <c r="V174" s="755"/>
      <c r="W174" s="755"/>
      <c r="X174" s="755"/>
      <c r="Y174" s="755"/>
      <c r="Z174" s="1253"/>
      <c r="AA174" s="1253"/>
      <c r="AB174" s="1253"/>
      <c r="AC174" s="1253"/>
      <c r="AD174" s="1253"/>
      <c r="AE174" s="1253"/>
      <c r="AF174" s="1253"/>
      <c r="AG174" s="1253"/>
      <c r="AH174" s="735"/>
      <c r="AI174" s="1253"/>
      <c r="AJ174" s="1253"/>
      <c r="AK174" s="1253"/>
      <c r="AL174" s="1253"/>
      <c r="AM174" s="1253"/>
      <c r="AN174" s="1253"/>
      <c r="AO174" s="735"/>
      <c r="AP174" s="1298"/>
      <c r="AQ174" s="1298"/>
      <c r="AR174" s="1298"/>
      <c r="AS174" s="1298"/>
      <c r="AT174" s="737"/>
      <c r="AU174" s="737"/>
      <c r="AV174" s="737"/>
      <c r="AW174" s="737"/>
      <c r="AX174" s="735"/>
      <c r="AY174" s="1265">
        <f>Z174+AI174+AP174</f>
        <v>0</v>
      </c>
      <c r="AZ174" s="1265"/>
      <c r="BA174" s="1265"/>
      <c r="BB174" s="1265"/>
      <c r="BC174" s="1265"/>
      <c r="BD174" s="1265"/>
      <c r="BE174" s="1265"/>
      <c r="BF174" s="736"/>
      <c r="BG174" s="598"/>
      <c r="BH174" s="595"/>
      <c r="BI174" s="595"/>
      <c r="BJ174" s="595"/>
      <c r="BK174" s="595"/>
      <c r="BL174" s="595"/>
      <c r="BM174" s="746"/>
      <c r="BN174" s="590"/>
      <c r="BO174" s="590"/>
      <c r="BP174" s="590"/>
      <c r="BQ174" s="590"/>
      <c r="BR174" s="590"/>
      <c r="BS174" s="590"/>
      <c r="BT174" s="750" t="str">
        <f>+IF(CB9="c","c","")</f>
        <v/>
      </c>
      <c r="BU174" s="751" t="s">
        <v>893</v>
      </c>
      <c r="BV174" s="758"/>
      <c r="BW174" s="753"/>
      <c r="BX174" s="754" t="str">
        <f>+IF(BT174="c",1,"")</f>
        <v/>
      </c>
      <c r="BY174" s="753"/>
      <c r="BZ174" s="753"/>
      <c r="CA174" s="753"/>
      <c r="CB174" s="753"/>
      <c r="CC174" s="753"/>
      <c r="CD174" s="590"/>
      <c r="CE174" s="743"/>
      <c r="CF174" s="743"/>
      <c r="CG174" s="743"/>
      <c r="CH174" s="743"/>
      <c r="CI174" s="743" t="str">
        <f>+IF(OR(AN99="",futamidokezdete=""),"",AN99-futamidokezdete)</f>
        <v/>
      </c>
      <c r="CJ174" s="743" t="str">
        <f>+IF(CI174="","",ROUND(CI174/CJ168,0))</f>
        <v/>
      </c>
      <c r="CK174" s="590"/>
      <c r="CL174" s="590"/>
      <c r="CM174" s="590"/>
      <c r="CN174" s="590"/>
      <c r="CO174" s="590"/>
      <c r="CP174" s="590"/>
      <c r="CQ174" s="590"/>
      <c r="CR174" s="590"/>
      <c r="CS174" s="590"/>
      <c r="CT174" s="590"/>
      <c r="CU174" s="590"/>
      <c r="CV174" s="590"/>
      <c r="CW174" s="591"/>
      <c r="CX174" s="590"/>
      <c r="CY174" s="590"/>
      <c r="CZ174" s="590"/>
      <c r="DA174" s="590"/>
      <c r="DB174" s="590"/>
      <c r="DC174" s="590"/>
      <c r="DD174" s="590"/>
      <c r="DE174" s="590"/>
      <c r="DF174" s="590"/>
      <c r="DG174" s="590"/>
      <c r="DH174" s="590"/>
      <c r="DI174" s="590"/>
      <c r="DJ174" s="590"/>
      <c r="DK174" s="590"/>
      <c r="DL174" s="590"/>
      <c r="DM174" s="590"/>
      <c r="DN174" s="590"/>
      <c r="DO174" s="590"/>
      <c r="DP174" s="590"/>
      <c r="DQ174" s="590"/>
    </row>
    <row r="175" spans="1:218" ht="17.25" customHeight="1" x14ac:dyDescent="0.15">
      <c r="A175" s="588"/>
      <c r="B175" s="744"/>
      <c r="C175" s="581"/>
      <c r="D175" s="755"/>
      <c r="E175" s="755"/>
      <c r="F175" s="755"/>
      <c r="G175" s="755"/>
      <c r="H175" s="755"/>
      <c r="I175" s="755"/>
      <c r="J175" s="755"/>
      <c r="K175" s="755"/>
      <c r="L175" s="755"/>
      <c r="M175" s="755"/>
      <c r="N175" s="755"/>
      <c r="O175" s="755"/>
      <c r="P175" s="755"/>
      <c r="Q175" s="755"/>
      <c r="R175" s="755"/>
      <c r="S175" s="755"/>
      <c r="T175" s="755"/>
      <c r="U175" s="755"/>
      <c r="V175" s="755"/>
      <c r="W175" s="755"/>
      <c r="X175" s="755"/>
      <c r="Y175" s="755"/>
      <c r="Z175" s="737"/>
      <c r="AA175" s="737"/>
      <c r="AB175" s="737"/>
      <c r="AC175" s="737"/>
      <c r="AD175" s="737"/>
      <c r="AE175" s="737"/>
      <c r="AF175" s="757"/>
      <c r="AG175" s="737"/>
      <c r="AH175" s="735"/>
      <c r="AI175" s="737"/>
      <c r="AJ175" s="737"/>
      <c r="AK175" s="737"/>
      <c r="AL175" s="737"/>
      <c r="AM175" s="737"/>
      <c r="AN175" s="737"/>
      <c r="AO175" s="735"/>
      <c r="AP175" s="737"/>
      <c r="AQ175" s="737"/>
      <c r="AR175" s="737"/>
      <c r="AS175" s="737"/>
      <c r="AT175" s="737"/>
      <c r="AU175" s="737"/>
      <c r="AV175" s="737"/>
      <c r="AW175" s="737"/>
      <c r="AX175" s="735"/>
      <c r="AY175" s="737"/>
      <c r="AZ175" s="738"/>
      <c r="BA175" s="738"/>
      <c r="BB175" s="738"/>
      <c r="BC175" s="738"/>
      <c r="BD175" s="738"/>
      <c r="BE175" s="738"/>
      <c r="BF175" s="736"/>
      <c r="BG175" s="598"/>
      <c r="BH175" s="595"/>
      <c r="BI175" s="595"/>
      <c r="BJ175" s="595"/>
      <c r="BK175" s="595"/>
      <c r="BL175" s="595"/>
      <c r="BM175" s="746"/>
      <c r="BN175" s="590"/>
      <c r="BO175" s="590"/>
      <c r="BP175" s="590"/>
      <c r="BQ175" s="590"/>
      <c r="BR175" s="590"/>
      <c r="BS175" s="590"/>
      <c r="BT175" s="750" t="str">
        <f>+IF(CB8="b","b","")</f>
        <v/>
      </c>
      <c r="BU175" s="751" t="s">
        <v>894</v>
      </c>
      <c r="BV175" s="758"/>
      <c r="BW175" s="753"/>
      <c r="BX175" s="754" t="str">
        <f>+IF($BT$175="b",1,"")</f>
        <v/>
      </c>
      <c r="BY175" s="754" t="str">
        <f t="shared" ref="BY175:CB175" si="6">+IF($BT$175="b",1,"")</f>
        <v/>
      </c>
      <c r="BZ175" s="754" t="str">
        <f t="shared" si="6"/>
        <v/>
      </c>
      <c r="CA175" s="754" t="str">
        <f t="shared" si="6"/>
        <v/>
      </c>
      <c r="CB175" s="754" t="str">
        <f t="shared" si="6"/>
        <v/>
      </c>
      <c r="CC175" s="753"/>
      <c r="CD175" s="590"/>
      <c r="CE175" s="743"/>
      <c r="CF175" s="743"/>
      <c r="CG175" s="743"/>
      <c r="CH175" s="743"/>
      <c r="CI175" s="743" t="str">
        <f>+IF(OR(AN101="",AA101=""),"",AN101-AA101)</f>
        <v/>
      </c>
      <c r="CJ175" s="743" t="str">
        <f>+IF(CI175="","",ROUND(CI175/CJ168,0))</f>
        <v/>
      </c>
      <c r="CK175" s="590"/>
      <c r="CL175" s="590"/>
      <c r="CM175" s="590"/>
      <c r="CN175" s="590"/>
      <c r="CO175" s="590"/>
      <c r="CP175" s="590"/>
      <c r="CQ175" s="590"/>
      <c r="CR175" s="590"/>
      <c r="CS175" s="590"/>
      <c r="CT175" s="590"/>
      <c r="CU175" s="590"/>
      <c r="CV175" s="590"/>
      <c r="CW175" s="591"/>
      <c r="CX175" s="590"/>
      <c r="CY175" s="590"/>
      <c r="CZ175" s="590"/>
      <c r="DA175" s="590"/>
      <c r="DB175" s="590"/>
      <c r="DC175" s="590"/>
      <c r="DD175" s="590"/>
      <c r="DE175" s="590"/>
      <c r="DF175" s="590"/>
      <c r="DG175" s="590"/>
      <c r="DH175" s="590"/>
      <c r="DI175" s="590"/>
      <c r="DJ175" s="590"/>
      <c r="DK175" s="590"/>
      <c r="DL175" s="590"/>
      <c r="DM175" s="590"/>
      <c r="DN175" s="590"/>
      <c r="DO175" s="590"/>
      <c r="DP175" s="590"/>
      <c r="DQ175" s="590"/>
    </row>
    <row r="176" spans="1:218" ht="14" x14ac:dyDescent="0.15">
      <c r="A176" s="588"/>
      <c r="B176" s="744"/>
      <c r="C176" s="581"/>
      <c r="D176" s="1297" t="s">
        <v>578</v>
      </c>
      <c r="E176" s="1297"/>
      <c r="F176" s="1297"/>
      <c r="G176" s="1297"/>
      <c r="H176" s="1297"/>
      <c r="I176" s="1297"/>
      <c r="J176" s="1297"/>
      <c r="K176" s="1297"/>
      <c r="L176" s="1297"/>
      <c r="M176" s="1297"/>
      <c r="N176" s="1297"/>
      <c r="O176" s="1297"/>
      <c r="P176" s="1297"/>
      <c r="Q176" s="1297"/>
      <c r="R176" s="1297"/>
      <c r="S176" s="1297"/>
      <c r="T176" s="1297"/>
      <c r="U176" s="1297"/>
      <c r="V176" s="1297"/>
      <c r="W176" s="1297"/>
      <c r="X176" s="1297"/>
      <c r="Y176" s="1297"/>
      <c r="Z176" s="1253"/>
      <c r="AA176" s="1253"/>
      <c r="AB176" s="1253"/>
      <c r="AC176" s="1253"/>
      <c r="AD176" s="1253"/>
      <c r="AE176" s="1253"/>
      <c r="AF176" s="1253"/>
      <c r="AG176" s="1253"/>
      <c r="AH176" s="735"/>
      <c r="AI176" s="1267"/>
      <c r="AJ176" s="1267"/>
      <c r="AK176" s="1267"/>
      <c r="AL176" s="1267"/>
      <c r="AM176" s="1267"/>
      <c r="AN176" s="1267"/>
      <c r="AO176" s="735"/>
      <c r="AP176" s="1267"/>
      <c r="AQ176" s="1267"/>
      <c r="AR176" s="1267"/>
      <c r="AS176" s="1267"/>
      <c r="AT176" s="737"/>
      <c r="AU176" s="737"/>
      <c r="AV176" s="737"/>
      <c r="AW176" s="737"/>
      <c r="AX176" s="735"/>
      <c r="AY176" s="1265">
        <f>Z176+AI176+AP176</f>
        <v>0</v>
      </c>
      <c r="AZ176" s="1265"/>
      <c r="BA176" s="1265"/>
      <c r="BB176" s="1265"/>
      <c r="BC176" s="1265"/>
      <c r="BD176" s="1265"/>
      <c r="BE176" s="1265"/>
      <c r="BF176" s="736"/>
      <c r="BG176" s="598"/>
      <c r="BH176" s="595"/>
      <c r="BI176" s="595"/>
      <c r="BJ176" s="595"/>
      <c r="BK176" s="595"/>
      <c r="BL176" s="595"/>
      <c r="BM176" s="746"/>
      <c r="BN176" s="590"/>
      <c r="BO176" s="590"/>
      <c r="BP176" s="590"/>
      <c r="BQ176" s="590"/>
      <c r="BR176" s="590"/>
      <c r="BS176" s="590"/>
      <c r="BT176" s="764" t="str">
        <f>IF(BU11=5,5,"")</f>
        <v/>
      </c>
      <c r="BU176" s="764" t="s">
        <v>295</v>
      </c>
      <c r="BV176" s="764" t="str">
        <f>IF(BT176=5,1,"")</f>
        <v/>
      </c>
      <c r="BW176" s="764"/>
      <c r="BX176" s="764"/>
      <c r="BY176" s="764"/>
      <c r="BZ176" s="764"/>
      <c r="CA176" s="764"/>
      <c r="CB176" s="764"/>
      <c r="CC176" s="764"/>
      <c r="CD176" s="590"/>
      <c r="CE176" s="590"/>
      <c r="CF176" s="590"/>
      <c r="CG176" s="590"/>
      <c r="CH176" s="590"/>
      <c r="CI176" s="590"/>
      <c r="CJ176" s="590"/>
      <c r="CK176" s="590"/>
      <c r="CL176" s="590"/>
      <c r="CM176" s="590"/>
      <c r="CN176" s="590"/>
      <c r="CO176" s="590"/>
      <c r="CP176" s="590"/>
      <c r="CQ176" s="590"/>
      <c r="CR176" s="590"/>
      <c r="CS176" s="590"/>
      <c r="CT176" s="590"/>
      <c r="CU176" s="590"/>
      <c r="CV176" s="590"/>
      <c r="CW176" s="591"/>
      <c r="CX176" s="590"/>
      <c r="CY176" s="590"/>
      <c r="CZ176" s="590"/>
      <c r="DA176" s="590"/>
      <c r="DB176" s="590"/>
      <c r="DC176" s="590"/>
      <c r="DD176" s="590"/>
      <c r="DE176" s="590"/>
      <c r="DF176" s="590"/>
      <c r="DG176" s="590"/>
      <c r="DH176" s="590"/>
      <c r="DI176" s="590"/>
      <c r="DJ176" s="590"/>
      <c r="DK176" s="590"/>
      <c r="DL176" s="590"/>
      <c r="DM176" s="590"/>
      <c r="DN176" s="590"/>
      <c r="DO176" s="590"/>
      <c r="DP176" s="590"/>
      <c r="DQ176" s="590"/>
    </row>
    <row r="177" spans="1:121" ht="15.75" customHeight="1" x14ac:dyDescent="0.15">
      <c r="A177" s="588"/>
      <c r="B177" s="744"/>
      <c r="C177" s="581"/>
      <c r="D177" s="731"/>
      <c r="E177" s="731"/>
      <c r="F177" s="731"/>
      <c r="G177" s="731"/>
      <c r="H177" s="731"/>
      <c r="I177" s="731"/>
      <c r="J177" s="731"/>
      <c r="K177" s="731"/>
      <c r="L177" s="731"/>
      <c r="M177" s="731"/>
      <c r="N177" s="731"/>
      <c r="O177" s="731"/>
      <c r="P177" s="731"/>
      <c r="Q177" s="731"/>
      <c r="R177" s="731"/>
      <c r="S177" s="731"/>
      <c r="T177" s="733"/>
      <c r="U177" s="733"/>
      <c r="V177" s="733"/>
      <c r="W177" s="733"/>
      <c r="X177" s="733"/>
      <c r="Y177" s="733"/>
      <c r="Z177" s="735"/>
      <c r="AA177" s="735"/>
      <c r="AB177" s="735"/>
      <c r="AC177" s="735"/>
      <c r="AD177" s="735"/>
      <c r="AE177" s="735"/>
      <c r="AF177" s="735"/>
      <c r="AG177" s="735"/>
      <c r="AH177" s="735"/>
      <c r="AI177" s="735"/>
      <c r="AJ177" s="735"/>
      <c r="AK177" s="735"/>
      <c r="AL177" s="735"/>
      <c r="AM177" s="735"/>
      <c r="AN177" s="735"/>
      <c r="AO177" s="735"/>
      <c r="AP177" s="735"/>
      <c r="AQ177" s="735"/>
      <c r="AR177" s="735"/>
      <c r="AS177" s="735"/>
      <c r="AT177" s="735"/>
      <c r="AU177" s="735"/>
      <c r="AV177" s="735"/>
      <c r="AW177" s="735"/>
      <c r="AX177" s="735"/>
      <c r="AY177" s="735"/>
      <c r="AZ177" s="735"/>
      <c r="BA177" s="735"/>
      <c r="BB177" s="735"/>
      <c r="BC177" s="735"/>
      <c r="BD177" s="735"/>
      <c r="BE177" s="735"/>
      <c r="BF177" s="736"/>
      <c r="BG177" s="598"/>
      <c r="BH177" s="595"/>
      <c r="BI177" s="595"/>
      <c r="BJ177" s="595"/>
      <c r="BK177" s="595"/>
      <c r="BL177" s="595"/>
      <c r="BM177" s="746"/>
      <c r="BN177" s="590"/>
      <c r="BO177" s="590"/>
      <c r="BP177" s="590"/>
      <c r="BQ177" s="590"/>
      <c r="BR177" s="590"/>
      <c r="BS177" s="590"/>
      <c r="BT177" s="764"/>
      <c r="BU177" s="764"/>
      <c r="BV177" s="764"/>
      <c r="BW177" s="764"/>
      <c r="BX177" s="764"/>
      <c r="BY177" s="764"/>
      <c r="BZ177" s="764"/>
      <c r="CA177" s="764"/>
      <c r="CB177" s="764"/>
      <c r="CC177" s="764"/>
      <c r="CD177" s="590"/>
      <c r="CE177" s="590"/>
      <c r="CF177" s="590"/>
      <c r="CG177" s="590"/>
      <c r="CH177" s="590"/>
      <c r="CI177" s="590"/>
      <c r="CJ177" s="590"/>
      <c r="CK177" s="590"/>
      <c r="CL177" s="590"/>
      <c r="CM177" s="590"/>
      <c r="CN177" s="590"/>
      <c r="CO177" s="590"/>
      <c r="CP177" s="590"/>
      <c r="CQ177" s="590"/>
      <c r="CR177" s="590"/>
      <c r="CS177" s="590"/>
      <c r="CT177" s="590"/>
      <c r="CU177" s="590"/>
      <c r="CV177" s="590"/>
      <c r="CW177" s="591"/>
      <c r="CX177" s="590"/>
      <c r="CY177" s="590"/>
      <c r="CZ177" s="590"/>
      <c r="DA177" s="590"/>
      <c r="DB177" s="590"/>
      <c r="DC177" s="590"/>
      <c r="DD177" s="590"/>
      <c r="DE177" s="590"/>
      <c r="DF177" s="590"/>
      <c r="DG177" s="590"/>
      <c r="DH177" s="590"/>
      <c r="DI177" s="590"/>
      <c r="DJ177" s="590"/>
      <c r="DK177" s="590"/>
      <c r="DL177" s="590"/>
      <c r="DM177" s="590"/>
      <c r="DN177" s="590"/>
      <c r="DO177" s="590"/>
      <c r="DP177" s="590"/>
      <c r="DQ177" s="590"/>
    </row>
    <row r="178" spans="1:121" ht="14" x14ac:dyDescent="0.15">
      <c r="A178" s="588"/>
      <c r="B178" s="744"/>
      <c r="C178" s="581"/>
      <c r="D178" s="759" t="s">
        <v>579</v>
      </c>
      <c r="E178" s="759"/>
      <c r="F178" s="759"/>
      <c r="G178" s="759"/>
      <c r="H178" s="759"/>
      <c r="I178" s="759"/>
      <c r="J178" s="759"/>
      <c r="K178" s="759"/>
      <c r="L178" s="759"/>
      <c r="M178" s="759"/>
      <c r="N178" s="759"/>
      <c r="O178" s="759"/>
      <c r="P178" s="759"/>
      <c r="Q178" s="759"/>
      <c r="R178" s="759"/>
      <c r="S178" s="759"/>
      <c r="T178" s="759"/>
      <c r="U178" s="759"/>
      <c r="V178" s="759"/>
      <c r="W178" s="759"/>
      <c r="X178" s="733"/>
      <c r="Y178" s="733"/>
      <c r="Z178" s="1286">
        <f>Z167+Z170+Z176</f>
        <v>0</v>
      </c>
      <c r="AA178" s="1286"/>
      <c r="AB178" s="1286"/>
      <c r="AC178" s="1286"/>
      <c r="AD178" s="1286"/>
      <c r="AE178" s="1286"/>
      <c r="AF178" s="1286"/>
      <c r="AG178" s="1286"/>
      <c r="AH178" s="735"/>
      <c r="AI178" s="1286">
        <f>AI167+AI170+AI176</f>
        <v>0</v>
      </c>
      <c r="AJ178" s="1286"/>
      <c r="AK178" s="1286"/>
      <c r="AL178" s="1286"/>
      <c r="AM178" s="1286"/>
      <c r="AN178" s="1286"/>
      <c r="AO178" s="735"/>
      <c r="AP178" s="1286">
        <f>AP167+AP170+AP176</f>
        <v>0</v>
      </c>
      <c r="AQ178" s="1286"/>
      <c r="AR178" s="1286"/>
      <c r="AS178" s="1286"/>
      <c r="AT178" s="737"/>
      <c r="AU178" s="737"/>
      <c r="AV178" s="737"/>
      <c r="AW178" s="737"/>
      <c r="AX178" s="735"/>
      <c r="AY178" s="1265">
        <f>+Z178+AI178+AP178</f>
        <v>0</v>
      </c>
      <c r="AZ178" s="1265"/>
      <c r="BA178" s="1265"/>
      <c r="BB178" s="1265"/>
      <c r="BC178" s="1265"/>
      <c r="BD178" s="1265"/>
      <c r="BE178" s="1265"/>
      <c r="BF178" s="736"/>
      <c r="BG178" s="598"/>
      <c r="BH178" s="595"/>
      <c r="BI178" s="595"/>
      <c r="BJ178" s="595"/>
      <c r="BK178" s="595"/>
      <c r="BL178" s="595"/>
      <c r="BM178" s="746"/>
      <c r="BN178" s="590"/>
      <c r="BO178" s="590"/>
      <c r="BP178" s="590"/>
      <c r="BQ178" s="590"/>
      <c r="BR178" s="590"/>
      <c r="BS178" s="590"/>
      <c r="BT178" s="764"/>
      <c r="BU178" s="764"/>
      <c r="BV178" s="764"/>
      <c r="BW178" s="764"/>
      <c r="BX178" s="764"/>
      <c r="BY178" s="764"/>
      <c r="BZ178" s="764"/>
      <c r="CA178" s="764"/>
      <c r="CB178" s="764"/>
      <c r="CC178" s="764"/>
      <c r="CD178" s="590"/>
      <c r="CE178" s="590"/>
      <c r="CF178" s="590"/>
      <c r="CG178" s="590"/>
      <c r="CH178" s="590"/>
      <c r="CI178" s="590"/>
      <c r="CJ178" s="590"/>
      <c r="CK178" s="590"/>
      <c r="CL178" s="590"/>
      <c r="CM178" s="590"/>
      <c r="CN178" s="590"/>
      <c r="CO178" s="590"/>
      <c r="CP178" s="590"/>
      <c r="CQ178" s="590"/>
      <c r="CR178" s="590"/>
      <c r="CS178" s="590"/>
      <c r="CT178" s="590"/>
      <c r="CU178" s="590"/>
      <c r="CV178" s="590"/>
      <c r="CW178" s="591"/>
      <c r="CX178" s="590"/>
      <c r="CY178" s="590"/>
      <c r="CZ178" s="590"/>
      <c r="DA178" s="590"/>
      <c r="DB178" s="590"/>
      <c r="DC178" s="590"/>
      <c r="DD178" s="590"/>
      <c r="DE178" s="590"/>
      <c r="DF178" s="590"/>
      <c r="DG178" s="590"/>
      <c r="DH178" s="590"/>
      <c r="DI178" s="590"/>
      <c r="DJ178" s="590"/>
      <c r="DK178" s="590"/>
      <c r="DL178" s="590"/>
      <c r="DM178" s="590"/>
      <c r="DN178" s="590"/>
      <c r="DO178" s="590"/>
      <c r="DP178" s="590"/>
      <c r="DQ178" s="590"/>
    </row>
    <row r="179" spans="1:121" ht="14" x14ac:dyDescent="0.15">
      <c r="A179" s="588"/>
      <c r="B179" s="744"/>
      <c r="C179" s="581"/>
      <c r="D179" s="1449"/>
      <c r="E179" s="1449"/>
      <c r="F179" s="1449"/>
      <c r="G179" s="1449"/>
      <c r="H179" s="1449"/>
      <c r="I179" s="1449"/>
      <c r="J179" s="1449"/>
      <c r="K179" s="1449"/>
      <c r="L179" s="1449"/>
      <c r="M179" s="1449"/>
      <c r="N179" s="1449"/>
      <c r="O179" s="1449"/>
      <c r="P179" s="1449"/>
      <c r="Q179" s="1449"/>
      <c r="R179" s="1449"/>
      <c r="S179" s="1449"/>
      <c r="T179" s="1449"/>
      <c r="U179" s="1449"/>
      <c r="V179" s="1449"/>
      <c r="W179" s="1449"/>
      <c r="X179" s="1449"/>
      <c r="Y179" s="1449"/>
      <c r="Z179" s="1300"/>
      <c r="AA179" s="1300"/>
      <c r="AB179" s="1300"/>
      <c r="AC179" s="1300"/>
      <c r="AD179" s="760"/>
      <c r="AE179" s="760"/>
      <c r="AF179" s="760"/>
      <c r="AG179" s="760"/>
      <c r="AH179" s="626"/>
      <c r="AI179" s="1300"/>
      <c r="AJ179" s="1300"/>
      <c r="AK179" s="1300"/>
      <c r="AL179" s="1300"/>
      <c r="AM179" s="760"/>
      <c r="AN179" s="760"/>
      <c r="AO179" s="626"/>
      <c r="AP179" s="1300"/>
      <c r="AQ179" s="1300"/>
      <c r="AR179" s="1300"/>
      <c r="AS179" s="1300"/>
      <c r="AT179" s="760"/>
      <c r="AU179" s="760"/>
      <c r="AV179" s="760"/>
      <c r="AW179" s="760"/>
      <c r="AX179" s="546"/>
      <c r="AY179" s="1386"/>
      <c r="AZ179" s="1386"/>
      <c r="BA179" s="1386"/>
      <c r="BB179" s="1386"/>
      <c r="BC179" s="1386"/>
      <c r="BD179" s="761"/>
      <c r="BE179" s="761"/>
      <c r="BF179" s="546"/>
      <c r="BG179" s="598"/>
      <c r="BH179" s="595"/>
      <c r="BI179" s="595"/>
      <c r="BJ179" s="595"/>
      <c r="BK179" s="595"/>
      <c r="BL179" s="595"/>
      <c r="BM179" s="746"/>
      <c r="BN179" s="590"/>
      <c r="BO179" s="590"/>
      <c r="BP179" s="590"/>
      <c r="BQ179" s="590"/>
      <c r="BR179" s="590"/>
      <c r="BS179" s="590"/>
      <c r="BT179" s="764"/>
      <c r="BU179" s="764"/>
      <c r="BV179" s="764"/>
      <c r="BW179" s="764"/>
      <c r="BX179" s="764"/>
      <c r="BY179" s="764"/>
      <c r="BZ179" s="764"/>
      <c r="CA179" s="764"/>
      <c r="CB179" s="764"/>
      <c r="CC179" s="764"/>
      <c r="CD179" s="590"/>
      <c r="CE179" s="590"/>
      <c r="CF179" s="590"/>
      <c r="CG179" s="590"/>
      <c r="CH179" s="590"/>
      <c r="CI179" s="590"/>
      <c r="CJ179" s="590"/>
      <c r="CK179" s="590"/>
      <c r="CL179" s="590"/>
      <c r="CM179" s="590"/>
      <c r="CN179" s="590"/>
      <c r="CO179" s="590"/>
      <c r="CP179" s="590"/>
      <c r="CQ179" s="590"/>
      <c r="CR179" s="590"/>
      <c r="CS179" s="590"/>
      <c r="CT179" s="590"/>
      <c r="CU179" s="590"/>
      <c r="CV179" s="590"/>
      <c r="CW179" s="591"/>
      <c r="CX179" s="590"/>
      <c r="CY179" s="590"/>
      <c r="CZ179" s="590"/>
      <c r="DA179" s="590"/>
      <c r="DB179" s="590"/>
      <c r="DC179" s="590"/>
      <c r="DD179" s="590"/>
      <c r="DE179" s="590"/>
      <c r="DF179" s="590"/>
      <c r="DG179" s="590"/>
      <c r="DH179" s="590"/>
      <c r="DI179" s="590"/>
      <c r="DJ179" s="590"/>
      <c r="DK179" s="590"/>
      <c r="DL179" s="590"/>
      <c r="DM179" s="590"/>
      <c r="DN179" s="590"/>
      <c r="DO179" s="590"/>
      <c r="DP179" s="590"/>
      <c r="DQ179" s="590"/>
    </row>
    <row r="180" spans="1:121" ht="12" customHeight="1" x14ac:dyDescent="0.15">
      <c r="A180" s="588"/>
      <c r="B180" s="744"/>
      <c r="C180" s="581"/>
      <c r="D180" s="762" t="s">
        <v>1145</v>
      </c>
      <c r="E180" s="763"/>
      <c r="F180" s="618"/>
      <c r="G180" s="618"/>
      <c r="H180" s="618"/>
      <c r="I180" s="618"/>
      <c r="J180" s="618"/>
      <c r="K180" s="571"/>
      <c r="L180" s="612"/>
      <c r="M180" s="617"/>
      <c r="N180" s="612"/>
      <c r="O180" s="617"/>
      <c r="P180" s="612"/>
      <c r="Q180" s="612"/>
      <c r="R180" s="611"/>
      <c r="S180" s="612"/>
      <c r="T180" s="546"/>
      <c r="U180" s="546"/>
      <c r="V180" s="546"/>
      <c r="W180" s="546"/>
      <c r="X180" s="546"/>
      <c r="Y180" s="546"/>
      <c r="Z180" s="612"/>
      <c r="AA180" s="1216"/>
      <c r="AB180" s="1216"/>
      <c r="AC180" s="1216"/>
      <c r="AD180" s="1216"/>
      <c r="AE180" s="1216"/>
      <c r="AF180" s="1216"/>
      <c r="AG180" s="1216"/>
      <c r="AH180" s="1216"/>
      <c r="AI180" s="1216"/>
      <c r="AJ180" s="1216"/>
      <c r="AK180" s="1216"/>
      <c r="AL180" s="1216"/>
      <c r="AM180" s="1216"/>
      <c r="AN180" s="612"/>
      <c r="AO180" s="672" t="s">
        <v>0</v>
      </c>
      <c r="AP180" s="612"/>
      <c r="AQ180" s="612"/>
      <c r="AR180" s="612"/>
      <c r="AS180" s="612"/>
      <c r="AT180" s="612"/>
      <c r="AU180" s="612"/>
      <c r="AV180" s="612"/>
      <c r="AW180" s="612"/>
      <c r="AX180" s="626"/>
      <c r="AY180" s="612"/>
      <c r="AZ180" s="651"/>
      <c r="BA180" s="651"/>
      <c r="BB180" s="651"/>
      <c r="BC180" s="546"/>
      <c r="BD180" s="546"/>
      <c r="BE180" s="546"/>
      <c r="BF180" s="546"/>
      <c r="BG180" s="598"/>
      <c r="BH180" s="595"/>
      <c r="BI180" s="595"/>
      <c r="BJ180" s="595"/>
      <c r="BK180" s="595"/>
      <c r="BL180" s="595"/>
      <c r="BM180" s="746"/>
      <c r="BN180" s="590"/>
      <c r="BO180" s="590"/>
      <c r="BP180" s="590"/>
      <c r="BQ180" s="590"/>
      <c r="BR180" s="590"/>
      <c r="BS180" s="590"/>
      <c r="BT180" s="590"/>
      <c r="BU180" s="590"/>
      <c r="BV180" s="590"/>
      <c r="BW180" s="590"/>
      <c r="BX180" s="590"/>
      <c r="BY180" s="590"/>
      <c r="BZ180" s="590"/>
      <c r="CA180" s="590"/>
      <c r="CB180" s="590"/>
      <c r="CC180" s="590"/>
      <c r="CD180" s="590"/>
      <c r="CE180" s="590"/>
      <c r="CF180" s="590"/>
      <c r="CG180" s="590"/>
      <c r="CH180" s="590"/>
      <c r="CI180" s="590"/>
      <c r="CJ180" s="590"/>
      <c r="CK180" s="590"/>
      <c r="CL180" s="590"/>
      <c r="CM180" s="590"/>
      <c r="CN180" s="590"/>
      <c r="CO180" s="590"/>
      <c r="CP180" s="590"/>
      <c r="CQ180" s="590"/>
      <c r="CR180" s="590"/>
      <c r="CS180" s="590"/>
      <c r="CT180" s="590"/>
      <c r="CU180" s="590"/>
      <c r="CV180" s="590"/>
      <c r="CW180" s="591"/>
      <c r="CX180" s="590"/>
      <c r="CY180" s="590"/>
      <c r="CZ180" s="590"/>
      <c r="DA180" s="590"/>
      <c r="DB180" s="590"/>
      <c r="DC180" s="590"/>
      <c r="DD180" s="590"/>
      <c r="DE180" s="590"/>
      <c r="DF180" s="590"/>
      <c r="DG180" s="590"/>
      <c r="DH180" s="590"/>
      <c r="DI180" s="590"/>
      <c r="DJ180" s="590"/>
      <c r="DK180" s="590"/>
      <c r="DL180" s="590"/>
      <c r="DM180" s="590"/>
      <c r="DN180" s="590"/>
      <c r="DO180" s="590"/>
      <c r="DP180" s="590"/>
      <c r="DQ180" s="590"/>
    </row>
    <row r="181" spans="1:121" ht="15" customHeight="1" x14ac:dyDescent="0.15">
      <c r="A181" s="588"/>
      <c r="B181" s="744"/>
      <c r="C181" s="581"/>
      <c r="D181" s="563"/>
      <c r="E181" s="765"/>
      <c r="F181" s="765"/>
      <c r="G181" s="765"/>
      <c r="H181" s="765"/>
      <c r="I181" s="563" t="s">
        <v>468</v>
      </c>
      <c r="J181" s="765"/>
      <c r="K181" s="765"/>
      <c r="L181" s="765"/>
      <c r="M181" s="765"/>
      <c r="N181" s="765"/>
      <c r="O181" s="765"/>
      <c r="P181" s="765"/>
      <c r="Q181" s="765"/>
      <c r="R181" s="765"/>
      <c r="S181" s="765"/>
      <c r="T181" s="765"/>
      <c r="U181" s="765"/>
      <c r="V181" s="765"/>
      <c r="W181" s="765"/>
      <c r="X181" s="765"/>
      <c r="Y181" s="765"/>
      <c r="Z181" s="1430"/>
      <c r="AA181" s="1430"/>
      <c r="AB181" s="1430"/>
      <c r="AC181" s="1430"/>
      <c r="AD181" s="1430"/>
      <c r="AE181" s="1430"/>
      <c r="AF181" s="1430"/>
      <c r="AG181" s="1430"/>
      <c r="AH181" s="1430"/>
      <c r="AI181" s="1430"/>
      <c r="AJ181" s="1430"/>
      <c r="AK181" s="1430"/>
      <c r="AL181" s="1430"/>
      <c r="AM181" s="1430"/>
      <c r="AN181" s="1430"/>
      <c r="AO181" s="1430"/>
      <c r="AP181" s="1430"/>
      <c r="AQ181" s="1430"/>
      <c r="AR181" s="1430"/>
      <c r="AS181" s="1430"/>
      <c r="AT181" s="766"/>
      <c r="AU181" s="766"/>
      <c r="AV181" s="766"/>
      <c r="AW181" s="766"/>
      <c r="AX181" s="767"/>
      <c r="AY181" s="1448" t="str">
        <f>+devizanem</f>
        <v/>
      </c>
      <c r="AZ181" s="1448"/>
      <c r="BA181" s="1448"/>
      <c r="BB181" s="1448"/>
      <c r="BC181" s="1448"/>
      <c r="BD181" s="768"/>
      <c r="BE181" s="768"/>
      <c r="BF181" s="769"/>
      <c r="BG181" s="598"/>
      <c r="BH181" s="595"/>
      <c r="BI181" s="595"/>
      <c r="BJ181" s="595"/>
      <c r="BK181" s="595"/>
      <c r="BL181" s="595"/>
      <c r="BM181" s="746"/>
      <c r="BN181" s="590"/>
      <c r="BO181" s="590"/>
      <c r="BP181" s="590"/>
      <c r="BQ181" s="590"/>
      <c r="BR181" s="590"/>
      <c r="BS181" s="590"/>
      <c r="BT181" s="590"/>
      <c r="BU181" s="590"/>
      <c r="BV181" s="590"/>
      <c r="BW181" s="590"/>
      <c r="BX181" s="590"/>
      <c r="BY181" s="590"/>
      <c r="BZ181" s="590"/>
      <c r="CA181" s="590"/>
      <c r="CB181" s="590"/>
      <c r="CC181" s="590"/>
      <c r="CD181" s="590"/>
      <c r="CE181" s="590"/>
      <c r="CF181" s="590"/>
      <c r="CG181" s="590"/>
      <c r="CH181" s="590"/>
      <c r="CI181" s="590"/>
      <c r="CJ181" s="590"/>
      <c r="CK181" s="590"/>
      <c r="CL181" s="590"/>
      <c r="CM181" s="590"/>
      <c r="CN181" s="590"/>
      <c r="CO181" s="590"/>
      <c r="CP181" s="590"/>
      <c r="CQ181" s="590"/>
      <c r="CR181" s="590"/>
      <c r="CS181" s="590"/>
      <c r="CT181" s="590"/>
      <c r="CU181" s="590"/>
      <c r="CV181" s="590"/>
      <c r="CW181" s="591"/>
      <c r="CX181" s="590"/>
      <c r="CY181" s="590"/>
      <c r="CZ181" s="590"/>
      <c r="DA181" s="590"/>
      <c r="DB181" s="590"/>
      <c r="DC181" s="590"/>
      <c r="DD181" s="590"/>
      <c r="DE181" s="590"/>
      <c r="DF181" s="590"/>
      <c r="DG181" s="590"/>
      <c r="DH181" s="590"/>
      <c r="DI181" s="590"/>
      <c r="DJ181" s="590"/>
      <c r="DK181" s="590"/>
      <c r="DL181" s="590"/>
      <c r="DM181" s="590"/>
      <c r="DN181" s="590"/>
      <c r="DO181" s="590"/>
      <c r="DP181" s="590"/>
      <c r="DQ181" s="590"/>
    </row>
    <row r="182" spans="1:121" ht="9" customHeight="1" x14ac:dyDescent="0.15">
      <c r="A182" s="588"/>
      <c r="B182" s="744"/>
      <c r="C182" s="581"/>
      <c r="D182" s="581"/>
      <c r="E182" s="541"/>
      <c r="F182" s="556"/>
      <c r="G182" s="556"/>
      <c r="H182" s="556"/>
      <c r="I182" s="556" t="s">
        <v>469</v>
      </c>
      <c r="J182" s="556"/>
      <c r="K182" s="581"/>
      <c r="L182" s="609"/>
      <c r="M182" s="770"/>
      <c r="N182" s="609"/>
      <c r="O182" s="770"/>
      <c r="P182" s="609"/>
      <c r="Q182" s="609"/>
      <c r="R182" s="610"/>
      <c r="S182" s="609"/>
      <c r="T182" s="609"/>
      <c r="U182" s="609"/>
      <c r="V182" s="581"/>
      <c r="W182" s="581"/>
      <c r="X182" s="581"/>
      <c r="Y182" s="769"/>
      <c r="Z182" s="769"/>
      <c r="AA182" s="769"/>
      <c r="AB182" s="769"/>
      <c r="AC182" s="771"/>
      <c r="AD182" s="771"/>
      <c r="AE182" s="771"/>
      <c r="AF182" s="771"/>
      <c r="AG182" s="771"/>
      <c r="AH182" s="771"/>
      <c r="AI182" s="769"/>
      <c r="AJ182" s="769"/>
      <c r="AK182" s="769"/>
      <c r="AL182" s="769"/>
      <c r="AM182" s="769"/>
      <c r="AN182" s="769"/>
      <c r="AO182" s="771"/>
      <c r="AP182" s="771"/>
      <c r="AQ182" s="769"/>
      <c r="AR182" s="769"/>
      <c r="AS182" s="769"/>
      <c r="AT182" s="769"/>
      <c r="AU182" s="769"/>
      <c r="AV182" s="769"/>
      <c r="AW182" s="769"/>
      <c r="AX182" s="769"/>
      <c r="AY182" s="771"/>
      <c r="AZ182" s="771"/>
      <c r="BA182" s="769"/>
      <c r="BB182" s="769"/>
      <c r="BC182" s="769"/>
      <c r="BD182" s="769"/>
      <c r="BE182" s="769"/>
      <c r="BF182" s="769"/>
      <c r="BG182" s="598"/>
      <c r="BH182" s="595"/>
      <c r="BI182" s="595"/>
      <c r="BJ182" s="595"/>
      <c r="BK182" s="595"/>
      <c r="BL182" s="595"/>
      <c r="BM182" s="746"/>
      <c r="BN182" s="590"/>
      <c r="BO182" s="590"/>
      <c r="BP182" s="590"/>
      <c r="BQ182" s="590"/>
      <c r="BR182" s="590"/>
      <c r="BS182" s="590"/>
      <c r="BT182" s="590"/>
      <c r="BU182" s="590"/>
      <c r="BV182" s="590"/>
      <c r="BW182" s="590"/>
      <c r="BX182" s="590"/>
      <c r="BY182" s="590"/>
      <c r="BZ182" s="590"/>
      <c r="CA182" s="590"/>
      <c r="CB182" s="590"/>
      <c r="CC182" s="590"/>
      <c r="CD182" s="590"/>
      <c r="CE182" s="590"/>
      <c r="CF182" s="590"/>
      <c r="CG182" s="590"/>
      <c r="CH182" s="590"/>
      <c r="CI182" s="590"/>
      <c r="CJ182" s="590"/>
      <c r="CK182" s="590"/>
      <c r="CL182" s="590"/>
      <c r="CM182" s="590"/>
      <c r="CN182" s="590"/>
      <c r="CO182" s="590"/>
      <c r="CP182" s="590"/>
      <c r="CQ182" s="590"/>
      <c r="CR182" s="590"/>
      <c r="CS182" s="590"/>
      <c r="CT182" s="590"/>
      <c r="CU182" s="590"/>
      <c r="CV182" s="590"/>
      <c r="CW182" s="591"/>
      <c r="CX182" s="590"/>
      <c r="CY182" s="590"/>
      <c r="CZ182" s="590"/>
      <c r="DA182" s="590"/>
      <c r="DB182" s="590"/>
      <c r="DC182" s="590"/>
      <c r="DD182" s="590"/>
      <c r="DE182" s="590"/>
      <c r="DF182" s="590"/>
      <c r="DG182" s="590"/>
      <c r="DH182" s="590"/>
      <c r="DI182" s="590"/>
      <c r="DJ182" s="590"/>
      <c r="DK182" s="590"/>
      <c r="DL182" s="590"/>
      <c r="DM182" s="590"/>
      <c r="DN182" s="590"/>
      <c r="DO182" s="590"/>
      <c r="DP182" s="590"/>
      <c r="DQ182" s="590"/>
    </row>
    <row r="183" spans="1:121" ht="13.5" customHeight="1" x14ac:dyDescent="0.15">
      <c r="A183" s="588"/>
      <c r="B183" s="744"/>
      <c r="C183" s="581"/>
      <c r="D183" s="581"/>
      <c r="E183" s="541"/>
      <c r="F183" s="556"/>
      <c r="G183" s="556"/>
      <c r="H183" s="556"/>
      <c r="I183" s="556"/>
      <c r="J183" s="556"/>
      <c r="K183" s="581"/>
      <c r="L183" s="609"/>
      <c r="M183" s="770"/>
      <c r="N183" s="609"/>
      <c r="O183" s="770"/>
      <c r="P183" s="609"/>
      <c r="Q183" s="609"/>
      <c r="R183" s="610"/>
      <c r="S183" s="609"/>
      <c r="T183" s="609"/>
      <c r="U183" s="609"/>
      <c r="V183" s="581"/>
      <c r="W183" s="581"/>
      <c r="X183" s="581"/>
      <c r="Y183" s="769"/>
      <c r="Z183" s="769"/>
      <c r="AA183" s="769"/>
      <c r="AB183" s="769"/>
      <c r="AC183" s="771"/>
      <c r="AD183" s="771"/>
      <c r="AE183" s="771"/>
      <c r="AF183" s="771"/>
      <c r="AG183" s="771"/>
      <c r="AH183" s="771"/>
      <c r="AI183" s="769"/>
      <c r="AJ183" s="769"/>
      <c r="AK183" s="769"/>
      <c r="AL183" s="769"/>
      <c r="AM183" s="769"/>
      <c r="AN183" s="769"/>
      <c r="AO183" s="771"/>
      <c r="AP183" s="771"/>
      <c r="AQ183" s="769"/>
      <c r="AR183" s="769"/>
      <c r="AS183" s="769"/>
      <c r="AT183" s="769"/>
      <c r="AU183" s="769"/>
      <c r="AV183" s="769"/>
      <c r="AW183" s="769"/>
      <c r="AX183" s="769"/>
      <c r="AY183" s="771"/>
      <c r="AZ183" s="771"/>
      <c r="BA183" s="769"/>
      <c r="BB183" s="769"/>
      <c r="BC183" s="769"/>
      <c r="BD183" s="769"/>
      <c r="BE183" s="769"/>
      <c r="BF183" s="769"/>
      <c r="BG183" s="598"/>
      <c r="BH183" s="595"/>
      <c r="BI183" s="595"/>
      <c r="BJ183" s="595"/>
      <c r="BK183" s="595"/>
      <c r="BL183" s="595"/>
      <c r="BM183" s="746"/>
      <c r="BN183" s="590"/>
      <c r="BO183" s="590"/>
      <c r="BP183" s="590"/>
      <c r="BQ183" s="590"/>
      <c r="BR183" s="590"/>
      <c r="BS183" s="590"/>
      <c r="BT183" s="1421" t="s">
        <v>564</v>
      </c>
      <c r="BU183" s="1421"/>
      <c r="BV183" s="1421"/>
      <c r="BW183" s="1421"/>
      <c r="BX183" s="1421"/>
      <c r="BY183" s="778"/>
      <c r="BZ183" s="778"/>
      <c r="CA183" s="778"/>
      <c r="CB183" s="778"/>
      <c r="CC183" s="778"/>
      <c r="CD183" s="590"/>
      <c r="CE183" s="590"/>
      <c r="CF183" s="590"/>
      <c r="CG183" s="590"/>
      <c r="CH183" s="590"/>
      <c r="CI183" s="590"/>
      <c r="CJ183" s="590"/>
      <c r="CK183" s="590"/>
      <c r="CL183" s="590"/>
      <c r="CM183" s="590"/>
      <c r="CN183" s="590"/>
      <c r="CO183" s="590"/>
      <c r="CP183" s="590"/>
      <c r="CQ183" s="590"/>
      <c r="CR183" s="590"/>
      <c r="CS183" s="590"/>
      <c r="CT183" s="590"/>
      <c r="CU183" s="590"/>
      <c r="CV183" s="590"/>
      <c r="CW183" s="591"/>
      <c r="CX183" s="590"/>
      <c r="CY183" s="590"/>
      <c r="CZ183" s="590"/>
      <c r="DA183" s="590"/>
      <c r="DB183" s="590"/>
      <c r="DC183" s="590"/>
      <c r="DD183" s="590"/>
      <c r="DE183" s="590"/>
      <c r="DF183" s="590"/>
      <c r="DG183" s="590"/>
      <c r="DH183" s="590"/>
      <c r="DI183" s="590"/>
      <c r="DJ183" s="590"/>
      <c r="DK183" s="590"/>
      <c r="DL183" s="590"/>
      <c r="DM183" s="590"/>
      <c r="DN183" s="590"/>
      <c r="DO183" s="590"/>
      <c r="DP183" s="590"/>
      <c r="DQ183" s="590"/>
    </row>
    <row r="184" spans="1:121" ht="15" x14ac:dyDescent="0.15">
      <c r="A184" s="588"/>
      <c r="B184" s="603"/>
      <c r="C184" s="604"/>
      <c r="D184" s="606"/>
      <c r="E184" s="772"/>
      <c r="F184" s="772"/>
      <c r="G184" s="772"/>
      <c r="H184" s="772"/>
      <c r="I184" s="772"/>
      <c r="J184" s="772"/>
      <c r="K184" s="606"/>
      <c r="L184" s="773"/>
      <c r="M184" s="774"/>
      <c r="N184" s="773"/>
      <c r="O184" s="774"/>
      <c r="P184" s="773"/>
      <c r="Q184" s="773"/>
      <c r="R184" s="775"/>
      <c r="S184" s="773"/>
      <c r="T184" s="773"/>
      <c r="U184" s="773"/>
      <c r="V184" s="606"/>
      <c r="W184" s="606"/>
      <c r="X184" s="606"/>
      <c r="Y184" s="776"/>
      <c r="Z184" s="776"/>
      <c r="AA184" s="776"/>
      <c r="AB184" s="776"/>
      <c r="AC184" s="777"/>
      <c r="AD184" s="777"/>
      <c r="AE184" s="777"/>
      <c r="AF184" s="777"/>
      <c r="AG184" s="777"/>
      <c r="AH184" s="777"/>
      <c r="AI184" s="776"/>
      <c r="AJ184" s="776"/>
      <c r="AK184" s="776"/>
      <c r="AL184" s="776"/>
      <c r="AM184" s="776"/>
      <c r="AN184" s="776"/>
      <c r="AO184" s="777"/>
      <c r="AP184" s="777"/>
      <c r="AQ184" s="776"/>
      <c r="AR184" s="776"/>
      <c r="AS184" s="776"/>
      <c r="AT184" s="776"/>
      <c r="AU184" s="776"/>
      <c r="AV184" s="776"/>
      <c r="AW184" s="776"/>
      <c r="AX184" s="776"/>
      <c r="AY184" s="777"/>
      <c r="AZ184" s="777"/>
      <c r="BA184" s="776"/>
      <c r="BB184" s="776"/>
      <c r="BC184" s="776"/>
      <c r="BD184" s="776"/>
      <c r="BE184" s="776"/>
      <c r="BF184" s="776"/>
      <c r="BG184" s="607"/>
      <c r="BH184" s="595"/>
      <c r="BI184" s="595"/>
      <c r="BJ184" s="595"/>
      <c r="BK184" s="595"/>
      <c r="BL184" s="595"/>
      <c r="BM184" s="746"/>
      <c r="BN184" s="590"/>
      <c r="BO184" s="590"/>
      <c r="BP184" s="590"/>
      <c r="BQ184" s="590"/>
      <c r="BR184" s="590"/>
      <c r="BS184" s="590"/>
      <c r="BT184" s="1420" t="s">
        <v>496</v>
      </c>
      <c r="BU184" s="1420"/>
      <c r="BV184" s="779" t="str">
        <f>+IF(OR(BV185=1,BV186=1,BV187=1,BV188=1,BV189=1,BV190=1,BV191=1,BV192=1,BV193=1),"havi","")</f>
        <v/>
      </c>
      <c r="BW184" s="779" t="str">
        <f>+IF(OR(BW185=1,BW186=1,BW187=1,BW188=1,BW189=1,BW190=1,BW191=1,BW192=1),"negyedéves","")</f>
        <v/>
      </c>
      <c r="BX184" s="779" t="str">
        <f>+IF(OR(BX185=1,BX186=1,BX187=1,BX188=1,BX189=1,BX190=1,BX191=1,BX192=1),"féléves","")</f>
        <v/>
      </c>
      <c r="BY184" s="780"/>
      <c r="BZ184" s="780"/>
      <c r="CA184" s="780"/>
      <c r="CB184" s="780"/>
      <c r="CC184" s="780"/>
      <c r="CD184" s="590"/>
      <c r="CE184" s="781" t="s">
        <v>513</v>
      </c>
      <c r="CF184" s="743"/>
      <c r="CG184" s="743"/>
      <c r="CH184" s="743"/>
      <c r="CI184" s="743"/>
      <c r="CJ184" s="743"/>
      <c r="CK184" s="743"/>
      <c r="CL184" s="743"/>
      <c r="CM184" s="743"/>
      <c r="CN184" s="743"/>
      <c r="CO184" s="743"/>
      <c r="CP184" s="590"/>
      <c r="CQ184" s="590"/>
      <c r="CR184" s="590"/>
      <c r="CS184" s="590"/>
      <c r="CT184" s="590"/>
      <c r="CU184" s="590"/>
      <c r="CV184" s="590"/>
      <c r="CW184" s="591"/>
      <c r="CX184" s="590"/>
      <c r="CY184" s="590"/>
      <c r="CZ184" s="590"/>
      <c r="DA184" s="590"/>
      <c r="DB184" s="590"/>
      <c r="DC184" s="590"/>
      <c r="DD184" s="590"/>
      <c r="DE184" s="590"/>
      <c r="DF184" s="590"/>
      <c r="DG184" s="590"/>
      <c r="DH184" s="590"/>
      <c r="DI184" s="590"/>
      <c r="DJ184" s="590"/>
      <c r="DK184" s="590"/>
      <c r="DL184" s="590"/>
      <c r="DM184" s="590"/>
      <c r="DN184" s="590"/>
      <c r="DO184" s="590"/>
      <c r="DP184" s="590"/>
      <c r="DQ184" s="590"/>
    </row>
    <row r="185" spans="1:121" ht="13.5" customHeight="1" x14ac:dyDescent="0.15">
      <c r="A185" s="588"/>
      <c r="B185" s="1302" t="s">
        <v>863</v>
      </c>
      <c r="C185" s="1303"/>
      <c r="D185" s="1303"/>
      <c r="E185" s="1303"/>
      <c r="F185" s="1303"/>
      <c r="G185" s="1303"/>
      <c r="H185" s="1303"/>
      <c r="I185" s="1303"/>
      <c r="J185" s="1303"/>
      <c r="K185" s="1303"/>
      <c r="L185" s="1303"/>
      <c r="M185" s="1303"/>
      <c r="N185" s="1303"/>
      <c r="O185" s="1303"/>
      <c r="P185" s="1303"/>
      <c r="Q185" s="1303"/>
      <c r="R185" s="1303"/>
      <c r="S185" s="1303"/>
      <c r="T185" s="1303"/>
      <c r="U185" s="1303"/>
      <c r="V185" s="1303"/>
      <c r="W185" s="1303"/>
      <c r="X185" s="1303"/>
      <c r="Y185" s="1303"/>
      <c r="Z185" s="1303"/>
      <c r="AA185" s="1303"/>
      <c r="AB185" s="1303"/>
      <c r="AC185" s="1303"/>
      <c r="AD185" s="1303"/>
      <c r="AE185" s="1303"/>
      <c r="AF185" s="1303"/>
      <c r="AG185" s="1303"/>
      <c r="AH185" s="1303"/>
      <c r="AI185" s="1303"/>
      <c r="AJ185" s="1303"/>
      <c r="AK185" s="1303"/>
      <c r="AL185" s="1303"/>
      <c r="AM185" s="1303"/>
      <c r="AN185" s="1303"/>
      <c r="AO185" s="1303"/>
      <c r="AP185" s="1303"/>
      <c r="AQ185" s="1303"/>
      <c r="AR185" s="1303"/>
      <c r="AS185" s="1303"/>
      <c r="AT185" s="1303"/>
      <c r="AU185" s="1303"/>
      <c r="AV185" s="1303"/>
      <c r="AW185" s="1303"/>
      <c r="AX185" s="1303"/>
      <c r="AY185" s="1303"/>
      <c r="AZ185" s="1303"/>
      <c r="BA185" s="1303"/>
      <c r="BB185" s="1303"/>
      <c r="BC185" s="1303"/>
      <c r="BD185" s="1303"/>
      <c r="BE185" s="1303"/>
      <c r="BF185" s="1303"/>
      <c r="BG185" s="1304"/>
      <c r="BH185" s="595"/>
      <c r="BI185" s="595"/>
      <c r="BJ185" s="595"/>
      <c r="BK185" s="595"/>
      <c r="BL185" s="595"/>
      <c r="BM185" s="746"/>
      <c r="BN185" s="590"/>
      <c r="BO185" s="590"/>
      <c r="BP185" s="590"/>
      <c r="BQ185" s="590"/>
      <c r="BR185" s="590"/>
      <c r="BS185" s="590"/>
      <c r="BT185" s="750" t="str">
        <f>+IF(BU9=3,3,"")</f>
        <v/>
      </c>
      <c r="BU185" s="751" t="s">
        <v>890</v>
      </c>
      <c r="BV185" s="784" t="str">
        <f>+IF($BT$185=3,1,"")</f>
        <v/>
      </c>
      <c r="BW185" s="784" t="str">
        <f t="shared" ref="BW185:BX185" si="7">+IF($BT$185=3,1,"")</f>
        <v/>
      </c>
      <c r="BX185" s="784" t="str">
        <f t="shared" si="7"/>
        <v/>
      </c>
      <c r="BY185" s="754"/>
      <c r="BZ185" s="754"/>
      <c r="CA185" s="754"/>
      <c r="CB185" s="754"/>
      <c r="CC185" s="754"/>
      <c r="CD185" s="590"/>
      <c r="CE185" s="625" t="s">
        <v>163</v>
      </c>
      <c r="CF185" s="743"/>
      <c r="CG185" s="743"/>
      <c r="CH185" s="743"/>
      <c r="CI185" s="743"/>
      <c r="CJ185" s="743"/>
      <c r="CK185" s="743"/>
      <c r="CL185" s="743"/>
      <c r="CM185" s="743"/>
      <c r="CN185" s="743"/>
      <c r="CO185" s="743"/>
      <c r="CP185" s="590"/>
      <c r="CQ185" s="590"/>
      <c r="CR185" s="590"/>
      <c r="CS185" s="590"/>
      <c r="CT185" s="590"/>
      <c r="CU185" s="590"/>
      <c r="CV185" s="590"/>
      <c r="CW185" s="591"/>
      <c r="CX185" s="590"/>
      <c r="CY185" s="590"/>
      <c r="CZ185" s="590"/>
      <c r="DA185" s="590"/>
      <c r="DB185" s="590"/>
      <c r="DC185" s="590"/>
      <c r="DD185" s="590"/>
      <c r="DE185" s="590"/>
      <c r="DF185" s="590"/>
      <c r="DG185" s="590"/>
      <c r="DH185" s="590"/>
      <c r="DI185" s="590"/>
      <c r="DJ185" s="590"/>
      <c r="DK185" s="590"/>
      <c r="DL185" s="590"/>
      <c r="DM185" s="590"/>
      <c r="DN185" s="590"/>
      <c r="DO185" s="590"/>
      <c r="DP185" s="590"/>
      <c r="DQ185" s="590"/>
    </row>
    <row r="186" spans="1:121" ht="14" x14ac:dyDescent="0.15">
      <c r="A186" s="588"/>
      <c r="B186" s="1305"/>
      <c r="C186" s="1306"/>
      <c r="D186" s="1306"/>
      <c r="E186" s="1306"/>
      <c r="F186" s="1306"/>
      <c r="G186" s="1306"/>
      <c r="H186" s="1306"/>
      <c r="I186" s="1306"/>
      <c r="J186" s="1306"/>
      <c r="K186" s="1306"/>
      <c r="L186" s="1306"/>
      <c r="M186" s="1306"/>
      <c r="N186" s="1306"/>
      <c r="O186" s="1306"/>
      <c r="P186" s="1306"/>
      <c r="Q186" s="1306"/>
      <c r="R186" s="1306"/>
      <c r="S186" s="1306"/>
      <c r="T186" s="1306"/>
      <c r="U186" s="1306"/>
      <c r="V186" s="1306"/>
      <c r="W186" s="1306"/>
      <c r="X186" s="1306"/>
      <c r="Y186" s="1306"/>
      <c r="Z186" s="1306"/>
      <c r="AA186" s="1306"/>
      <c r="AB186" s="1306"/>
      <c r="AC186" s="1306"/>
      <c r="AD186" s="1306"/>
      <c r="AE186" s="1306"/>
      <c r="AF186" s="1306"/>
      <c r="AG186" s="1306"/>
      <c r="AH186" s="1306"/>
      <c r="AI186" s="1306"/>
      <c r="AJ186" s="1306"/>
      <c r="AK186" s="1306"/>
      <c r="AL186" s="1306"/>
      <c r="AM186" s="1306"/>
      <c r="AN186" s="1306"/>
      <c r="AO186" s="1306"/>
      <c r="AP186" s="1306"/>
      <c r="AQ186" s="1306"/>
      <c r="AR186" s="1306"/>
      <c r="AS186" s="1306"/>
      <c r="AT186" s="1306"/>
      <c r="AU186" s="1306"/>
      <c r="AV186" s="1306"/>
      <c r="AW186" s="1306"/>
      <c r="AX186" s="1306"/>
      <c r="AY186" s="1306"/>
      <c r="AZ186" s="1306"/>
      <c r="BA186" s="1306"/>
      <c r="BB186" s="1306"/>
      <c r="BC186" s="1306"/>
      <c r="BD186" s="1306"/>
      <c r="BE186" s="1306"/>
      <c r="BF186" s="1306"/>
      <c r="BG186" s="1307"/>
      <c r="BH186" s="595"/>
      <c r="BI186" s="595"/>
      <c r="BJ186" s="595"/>
      <c r="BK186" s="595"/>
      <c r="BL186" s="595"/>
      <c r="BM186" s="746"/>
      <c r="BN186" s="590"/>
      <c r="BO186" s="590"/>
      <c r="BP186" s="590"/>
      <c r="BQ186" s="590"/>
      <c r="BR186" s="590"/>
      <c r="BS186" s="590"/>
      <c r="BT186" s="750" t="str">
        <f>+IF(BU8=2,2,"")</f>
        <v/>
      </c>
      <c r="BU186" s="751" t="s">
        <v>891</v>
      </c>
      <c r="BV186" s="784" t="str">
        <f>+IF($BT$186=2,1,"")</f>
        <v/>
      </c>
      <c r="BW186" s="784" t="str">
        <f t="shared" ref="BW186:BX186" si="8">+IF($BT$186=2,1,"")</f>
        <v/>
      </c>
      <c r="BX186" s="784" t="str">
        <f t="shared" si="8"/>
        <v/>
      </c>
      <c r="BY186" s="754"/>
      <c r="BZ186" s="754"/>
      <c r="CA186" s="754"/>
      <c r="CB186" s="754"/>
      <c r="CC186" s="754"/>
      <c r="CD186" s="590"/>
      <c r="CE186" s="625" t="str">
        <f>+'Refinanszírozás célja'!BY78</f>
        <v/>
      </c>
      <c r="CF186" s="743"/>
      <c r="CG186" s="743"/>
      <c r="CH186" s="743"/>
      <c r="CI186" s="743"/>
      <c r="CJ186" s="743"/>
      <c r="CK186" s="743"/>
      <c r="CL186" s="743"/>
      <c r="CM186" s="743"/>
      <c r="CN186" s="743"/>
      <c r="CO186" s="743"/>
      <c r="CP186" s="590"/>
      <c r="CQ186" s="590"/>
      <c r="CR186" s="590"/>
      <c r="CS186" s="590"/>
      <c r="CT186" s="590"/>
      <c r="CU186" s="590"/>
      <c r="CV186" s="590"/>
      <c r="CW186" s="591"/>
      <c r="CX186" s="590"/>
      <c r="CY186" s="590"/>
      <c r="CZ186" s="590"/>
      <c r="DA186" s="590"/>
      <c r="DB186" s="590"/>
      <c r="DC186" s="590"/>
      <c r="DD186" s="590"/>
      <c r="DE186" s="590"/>
      <c r="DF186" s="590"/>
      <c r="DG186" s="590"/>
      <c r="DH186" s="590"/>
      <c r="DI186" s="590"/>
      <c r="DJ186" s="590"/>
      <c r="DK186" s="590"/>
      <c r="DL186" s="590"/>
      <c r="DM186" s="590"/>
      <c r="DN186" s="590"/>
      <c r="DO186" s="590"/>
      <c r="DP186" s="590"/>
      <c r="DQ186" s="590"/>
    </row>
    <row r="187" spans="1:121" ht="21.75" customHeight="1" x14ac:dyDescent="0.15">
      <c r="A187" s="588"/>
      <c r="B187" s="1289" t="s">
        <v>154</v>
      </c>
      <c r="C187" s="1290"/>
      <c r="D187" s="1290"/>
      <c r="E187" s="1290"/>
      <c r="F187" s="1290"/>
      <c r="G187" s="1290"/>
      <c r="H187" s="1290"/>
      <c r="I187" s="1290"/>
      <c r="J187" s="1290"/>
      <c r="K187" s="1290"/>
      <c r="L187" s="1290"/>
      <c r="M187" s="1290"/>
      <c r="N187" s="1290"/>
      <c r="O187" s="1290"/>
      <c r="P187" s="1290"/>
      <c r="Q187" s="1290"/>
      <c r="R187" s="1290"/>
      <c r="S187" s="1290"/>
      <c r="T187" s="1290"/>
      <c r="U187" s="1290"/>
      <c r="V187" s="1290"/>
      <c r="W187" s="1290"/>
      <c r="X187" s="1290"/>
      <c r="Y187" s="1290"/>
      <c r="Z187" s="1290"/>
      <c r="AA187" s="1290"/>
      <c r="AB187" s="1290"/>
      <c r="AC187" s="1290"/>
      <c r="AD187" s="1290"/>
      <c r="AE187" s="1290"/>
      <c r="AF187" s="1290"/>
      <c r="AG187" s="1290"/>
      <c r="AH187" s="1290"/>
      <c r="AI187" s="1290"/>
      <c r="AJ187" s="1290"/>
      <c r="AK187" s="1290"/>
      <c r="AL187" s="1290"/>
      <c r="AM187" s="1290"/>
      <c r="AN187" s="1290"/>
      <c r="AO187" s="1290"/>
      <c r="AP187" s="1290"/>
      <c r="AQ187" s="1290"/>
      <c r="AR187" s="1290"/>
      <c r="AS187" s="1290"/>
      <c r="AT187" s="1290"/>
      <c r="AU187" s="1290"/>
      <c r="AV187" s="1290"/>
      <c r="AW187" s="1290"/>
      <c r="AX187" s="1290"/>
      <c r="AY187" s="1290"/>
      <c r="AZ187" s="1290"/>
      <c r="BA187" s="1290"/>
      <c r="BB187" s="1290"/>
      <c r="BC187" s="1290"/>
      <c r="BD187" s="1290"/>
      <c r="BE187" s="1290"/>
      <c r="BF187" s="1290"/>
      <c r="BG187" s="1291"/>
      <c r="BH187" s="595"/>
      <c r="BI187" s="595"/>
      <c r="BJ187" s="595"/>
      <c r="BK187" s="595"/>
      <c r="BL187" s="595"/>
      <c r="BM187" s="746"/>
      <c r="BN187" s="590"/>
      <c r="BO187" s="590"/>
      <c r="BP187" s="590"/>
      <c r="BQ187" s="590"/>
      <c r="BR187" s="590"/>
      <c r="BS187" s="590"/>
      <c r="BT187" s="750" t="str">
        <f>+IF($BU$10=4,4,"")</f>
        <v/>
      </c>
      <c r="BU187" s="751" t="s">
        <v>1147</v>
      </c>
      <c r="BV187" s="784" t="str">
        <f>+IF($BT$187=4,1,"")</f>
        <v/>
      </c>
      <c r="BW187" s="758"/>
      <c r="BX187" s="753"/>
      <c r="BY187" s="754"/>
      <c r="BZ187" s="754"/>
      <c r="CA187" s="754"/>
      <c r="CB187" s="754"/>
      <c r="CC187" s="754"/>
      <c r="CD187" s="590"/>
      <c r="CE187" s="625" t="str">
        <f>+'Refinanszírozás célja'!BY79</f>
        <v/>
      </c>
      <c r="CF187" s="743"/>
      <c r="CG187" s="743"/>
      <c r="CH187" s="743"/>
      <c r="CI187" s="743"/>
      <c r="CJ187" s="743"/>
      <c r="CK187" s="743"/>
      <c r="CL187" s="743"/>
      <c r="CM187" s="743"/>
      <c r="CN187" s="743"/>
      <c r="CO187" s="743"/>
      <c r="CP187" s="590"/>
      <c r="CQ187" s="590"/>
      <c r="CR187" s="590"/>
      <c r="CS187" s="590"/>
      <c r="CT187" s="590"/>
      <c r="CU187" s="590"/>
      <c r="CV187" s="590"/>
      <c r="CW187" s="591"/>
      <c r="CX187" s="590"/>
      <c r="CY187" s="590"/>
      <c r="CZ187" s="590"/>
      <c r="DA187" s="590"/>
      <c r="DB187" s="590"/>
      <c r="DC187" s="590"/>
      <c r="DD187" s="590"/>
      <c r="DE187" s="590"/>
      <c r="DF187" s="590"/>
      <c r="DG187" s="590"/>
      <c r="DH187" s="590"/>
      <c r="DI187" s="590"/>
      <c r="DJ187" s="590"/>
      <c r="DK187" s="590"/>
      <c r="DL187" s="590"/>
      <c r="DM187" s="590"/>
      <c r="DN187" s="590"/>
      <c r="DO187" s="590"/>
      <c r="DP187" s="590"/>
      <c r="DQ187" s="590"/>
    </row>
    <row r="188" spans="1:121" ht="13.5" customHeight="1" x14ac:dyDescent="0.15">
      <c r="A188" s="588"/>
      <c r="B188" s="1292"/>
      <c r="C188" s="1293"/>
      <c r="D188" s="1293"/>
      <c r="E188" s="1293"/>
      <c r="F188" s="1293"/>
      <c r="G188" s="1293"/>
      <c r="H188" s="1293"/>
      <c r="I188" s="1293"/>
      <c r="J188" s="1293"/>
      <c r="K188" s="1293"/>
      <c r="L188" s="1293"/>
      <c r="M188" s="1293"/>
      <c r="N188" s="1293"/>
      <c r="O188" s="1293"/>
      <c r="P188" s="1293"/>
      <c r="Q188" s="1293"/>
      <c r="R188" s="1293"/>
      <c r="S188" s="1293"/>
      <c r="T188" s="1293"/>
      <c r="U188" s="1293"/>
      <c r="V188" s="1293"/>
      <c r="W188" s="1293"/>
      <c r="X188" s="1293"/>
      <c r="Y188" s="1293"/>
      <c r="Z188" s="1293"/>
      <c r="AA188" s="1293"/>
      <c r="AB188" s="1293"/>
      <c r="AC188" s="1293"/>
      <c r="AD188" s="1293"/>
      <c r="AE188" s="1293"/>
      <c r="AF188" s="1293"/>
      <c r="AG188" s="1293"/>
      <c r="AH188" s="1293"/>
      <c r="AI188" s="1293"/>
      <c r="AJ188" s="1293"/>
      <c r="AK188" s="1293"/>
      <c r="AL188" s="1293"/>
      <c r="AM188" s="1293"/>
      <c r="AN188" s="1293"/>
      <c r="AO188" s="1293"/>
      <c r="AP188" s="1293"/>
      <c r="AQ188" s="1293"/>
      <c r="AR188" s="1293"/>
      <c r="AS188" s="1293"/>
      <c r="AT188" s="1293"/>
      <c r="AU188" s="1293"/>
      <c r="AV188" s="1293"/>
      <c r="AW188" s="1293"/>
      <c r="AX188" s="1293"/>
      <c r="AY188" s="1293"/>
      <c r="AZ188" s="1293"/>
      <c r="BA188" s="1293"/>
      <c r="BB188" s="1293"/>
      <c r="BC188" s="1293"/>
      <c r="BD188" s="1293"/>
      <c r="BE188" s="1293"/>
      <c r="BF188" s="1293"/>
      <c r="BG188" s="1294"/>
      <c r="BH188" s="595"/>
      <c r="BI188" s="595"/>
      <c r="BJ188" s="595"/>
      <c r="BK188" s="595"/>
      <c r="BL188" s="595"/>
      <c r="BM188" s="746"/>
      <c r="BN188" s="590"/>
      <c r="BO188" s="590"/>
      <c r="BP188" s="590"/>
      <c r="BQ188" s="590"/>
      <c r="BR188" s="590"/>
      <c r="BS188" s="590"/>
      <c r="BT188" s="750" t="str">
        <f>+IF(CB7="a","a","")</f>
        <v/>
      </c>
      <c r="BU188" s="751" t="s">
        <v>896</v>
      </c>
      <c r="BV188" s="758"/>
      <c r="BW188" s="752" t="str">
        <f>+IF(AND($BT$188="a",HetelTipusa="beruházási hitel"),1,"")</f>
        <v/>
      </c>
      <c r="BX188" s="752" t="str">
        <f>+IF(AND($BT$188="a",HetelTipusa="beruházási hitel"),1,"")</f>
        <v/>
      </c>
      <c r="BY188" s="754"/>
      <c r="BZ188" s="754"/>
      <c r="CA188" s="754"/>
      <c r="CB188" s="754"/>
      <c r="CC188" s="754"/>
      <c r="CD188" s="590"/>
      <c r="CE188" s="625" t="str">
        <f>+'Refinanszírozás célja'!BY80</f>
        <v/>
      </c>
      <c r="CF188" s="743"/>
      <c r="CG188" s="743"/>
      <c r="CH188" s="743"/>
      <c r="CI188" s="743"/>
      <c r="CJ188" s="743"/>
      <c r="CK188" s="743"/>
      <c r="CL188" s="743"/>
      <c r="CM188" s="743"/>
      <c r="CN188" s="743"/>
      <c r="CO188" s="743"/>
      <c r="CP188" s="590"/>
      <c r="CQ188" s="590"/>
      <c r="CR188" s="590"/>
      <c r="CS188" s="590"/>
      <c r="CT188" s="590"/>
      <c r="CU188" s="590"/>
      <c r="CV188" s="590"/>
      <c r="CW188" s="591"/>
      <c r="CX188" s="590"/>
      <c r="CY188" s="590"/>
      <c r="CZ188" s="590"/>
      <c r="DA188" s="590"/>
      <c r="DB188" s="590"/>
      <c r="DC188" s="590"/>
      <c r="DD188" s="590"/>
      <c r="DE188" s="590"/>
      <c r="DF188" s="590"/>
      <c r="DG188" s="590"/>
      <c r="DH188" s="590"/>
      <c r="DI188" s="590"/>
      <c r="DJ188" s="590"/>
      <c r="DK188" s="590"/>
      <c r="DL188" s="590"/>
      <c r="DM188" s="590"/>
      <c r="DN188" s="590"/>
      <c r="DO188" s="590"/>
      <c r="DP188" s="590"/>
      <c r="DQ188" s="590"/>
    </row>
    <row r="189" spans="1:121" ht="14" x14ac:dyDescent="0.15">
      <c r="A189" s="588"/>
      <c r="B189" s="782"/>
      <c r="C189" s="783"/>
      <c r="D189" s="615"/>
      <c r="E189" s="615"/>
      <c r="F189" s="615"/>
      <c r="G189" s="615"/>
      <c r="H189" s="615"/>
      <c r="I189" s="615"/>
      <c r="J189" s="615"/>
      <c r="K189" s="615"/>
      <c r="L189" s="615"/>
      <c r="M189" s="615"/>
      <c r="N189" s="615"/>
      <c r="O189" s="615"/>
      <c r="P189" s="615"/>
      <c r="Q189" s="615"/>
      <c r="R189" s="615"/>
      <c r="S189" s="615"/>
      <c r="T189" s="615"/>
      <c r="U189" s="615"/>
      <c r="V189" s="615"/>
      <c r="W189" s="615"/>
      <c r="X189" s="615"/>
      <c r="Y189" s="615"/>
      <c r="Z189" s="615"/>
      <c r="AA189" s="615"/>
      <c r="AB189" s="615"/>
      <c r="AC189" s="615"/>
      <c r="AD189" s="615"/>
      <c r="AE189" s="615"/>
      <c r="AF189" s="615"/>
      <c r="AG189" s="615"/>
      <c r="AH189" s="615"/>
      <c r="AI189" s="615"/>
      <c r="AJ189" s="615"/>
      <c r="AK189" s="615"/>
      <c r="AL189" s="615"/>
      <c r="AM189" s="615"/>
      <c r="AN189" s="615"/>
      <c r="AO189" s="615"/>
      <c r="AP189" s="615"/>
      <c r="AQ189" s="615"/>
      <c r="AR189" s="615"/>
      <c r="AS189" s="615"/>
      <c r="AT189" s="615"/>
      <c r="AU189" s="615"/>
      <c r="AV189" s="615"/>
      <c r="AW189" s="615"/>
      <c r="AX189" s="615"/>
      <c r="AY189" s="615"/>
      <c r="AZ189" s="615"/>
      <c r="BA189" s="615"/>
      <c r="BB189" s="615"/>
      <c r="BC189" s="615"/>
      <c r="BD189" s="615"/>
      <c r="BE189" s="615"/>
      <c r="BF189" s="615"/>
      <c r="BG189" s="616"/>
      <c r="BH189" s="595"/>
      <c r="BI189" s="595"/>
      <c r="BJ189" s="595"/>
      <c r="BK189" s="595"/>
      <c r="BL189" s="595"/>
      <c r="BM189" s="746"/>
      <c r="BN189" s="590"/>
      <c r="BO189" s="590"/>
      <c r="BP189" s="590">
        <v>1</v>
      </c>
      <c r="BQ189" s="590"/>
      <c r="BR189" s="590"/>
      <c r="BS189" s="590"/>
      <c r="BT189" s="750"/>
      <c r="BU189" s="751"/>
      <c r="BV189" s="752"/>
      <c r="BW189" s="752" t="str">
        <f>+IF(AND($BT$188="a",HetelTipusa="beruházási hitel"),1,"")</f>
        <v/>
      </c>
      <c r="BX189" s="754"/>
      <c r="BY189" s="754"/>
      <c r="BZ189" s="754"/>
      <c r="CA189" s="754"/>
      <c r="CB189" s="754"/>
      <c r="CC189" s="754"/>
      <c r="CD189" s="590"/>
      <c r="CE189" s="625" t="str">
        <f>+'Refinanszírozás célja'!BY81</f>
        <v/>
      </c>
      <c r="CF189" s="743"/>
      <c r="CG189" s="743"/>
      <c r="CH189" s="743"/>
      <c r="CI189" s="743"/>
      <c r="CJ189" s="743"/>
      <c r="CK189" s="743"/>
      <c r="CL189" s="743"/>
      <c r="CM189" s="743"/>
      <c r="CN189" s="743"/>
      <c r="CO189" s="743"/>
      <c r="CP189" s="590"/>
      <c r="CQ189" s="590"/>
      <c r="CR189" s="590"/>
      <c r="CS189" s="590"/>
      <c r="CT189" s="590"/>
      <c r="CU189" s="590"/>
      <c r="CV189" s="590"/>
      <c r="CW189" s="591"/>
      <c r="CX189" s="590"/>
      <c r="CY189" s="590"/>
      <c r="CZ189" s="590"/>
      <c r="DA189" s="590"/>
      <c r="DB189" s="590"/>
      <c r="DC189" s="590"/>
      <c r="DD189" s="590"/>
      <c r="DE189" s="590"/>
      <c r="DF189" s="590"/>
      <c r="DG189" s="590"/>
      <c r="DH189" s="590"/>
      <c r="DI189" s="590"/>
      <c r="DJ189" s="590"/>
      <c r="DK189" s="590"/>
      <c r="DL189" s="590"/>
      <c r="DM189" s="590"/>
      <c r="DN189" s="590"/>
      <c r="DO189" s="590"/>
      <c r="DP189" s="590"/>
      <c r="DQ189" s="590"/>
    </row>
    <row r="190" spans="1:121" ht="13.5" customHeight="1" x14ac:dyDescent="0.15">
      <c r="A190" s="588"/>
      <c r="B190" s="744"/>
      <c r="C190" s="581"/>
      <c r="D190" s="785" t="s">
        <v>155</v>
      </c>
      <c r="E190" s="785"/>
      <c r="F190" s="785"/>
      <c r="G190" s="785"/>
      <c r="H190" s="785"/>
      <c r="I190" s="785"/>
      <c r="J190" s="785"/>
      <c r="K190" s="785"/>
      <c r="L190" s="785"/>
      <c r="M190" s="785"/>
      <c r="N190" s="785"/>
      <c r="O190" s="541"/>
      <c r="P190" s="550"/>
      <c r="Q190" s="550"/>
      <c r="R190" s="550"/>
      <c r="S190" s="1295" t="s">
        <v>110</v>
      </c>
      <c r="T190" s="1295"/>
      <c r="U190" s="1295"/>
      <c r="V190" s="1295"/>
      <c r="W190" s="1295"/>
      <c r="X190" s="940"/>
      <c r="Y190" s="1295" t="s">
        <v>110</v>
      </c>
      <c r="Z190" s="1295"/>
      <c r="AA190" s="1295"/>
      <c r="AB190" s="1295"/>
      <c r="AC190" s="1295"/>
      <c r="AD190" s="1295"/>
      <c r="AE190" s="1295"/>
      <c r="AF190" s="940"/>
      <c r="AG190" s="940"/>
      <c r="AH190" s="1295" t="s">
        <v>110</v>
      </c>
      <c r="AI190" s="1295"/>
      <c r="AJ190" s="1295"/>
      <c r="AK190" s="1295"/>
      <c r="AL190" s="1295"/>
      <c r="AM190" s="1295"/>
      <c r="AN190" s="541"/>
      <c r="AO190" s="1296" t="s">
        <v>153</v>
      </c>
      <c r="AP190" s="1296"/>
      <c r="AQ190" s="1296"/>
      <c r="AR190" s="1296"/>
      <c r="AS190" s="542"/>
      <c r="AT190" s="542"/>
      <c r="AU190" s="542"/>
      <c r="AV190" s="542"/>
      <c r="AW190" s="542"/>
      <c r="AX190" s="542"/>
      <c r="AY190" s="542"/>
      <c r="AZ190" s="542"/>
      <c r="BA190" s="542"/>
      <c r="BB190" s="542"/>
      <c r="BC190" s="542"/>
      <c r="BD190" s="542"/>
      <c r="BE190" s="542"/>
      <c r="BF190" s="542"/>
      <c r="BG190" s="598"/>
      <c r="BH190" s="595"/>
      <c r="BI190" s="595"/>
      <c r="BJ190" s="595"/>
      <c r="BK190" s="595"/>
      <c r="BL190" s="595"/>
      <c r="BM190" s="746"/>
      <c r="BN190" s="590"/>
      <c r="BO190" s="590"/>
      <c r="BP190" s="590"/>
      <c r="BQ190" s="590"/>
      <c r="BR190" s="590"/>
      <c r="BS190" s="590"/>
      <c r="BT190" s="750" t="str">
        <f>+IF(CB7="a","a","")</f>
        <v/>
      </c>
      <c r="BU190" s="751" t="s">
        <v>895</v>
      </c>
      <c r="BV190" s="752" t="str">
        <f>+IF(AND($BT$190="a",HetelTipusa="éven túli beruházási célú zárt végű pénzügyi lízing"),1,"")</f>
        <v/>
      </c>
      <c r="BW190" s="752" t="str">
        <f>+IF(AND($BT$190="a",HetelTipusa="éven túli beruházási célú zárt végű pénzügyi lízing"),1,"")</f>
        <v/>
      </c>
      <c r="BX190" s="752" t="str">
        <f>+IF(AND($BT$190="a",HetelTipusa="éven túli beruházási célú zárt végű pénzügyi lízing"),1,"")</f>
        <v/>
      </c>
      <c r="BY190" s="752"/>
      <c r="BZ190" s="752"/>
      <c r="CA190" s="752"/>
      <c r="CB190" s="754"/>
      <c r="CC190" s="754"/>
      <c r="CD190" s="590"/>
      <c r="CE190" s="625" t="str">
        <f>+'Refinanszírozás célja'!BY82</f>
        <v/>
      </c>
      <c r="CF190" s="743"/>
      <c r="CG190" s="743"/>
      <c r="CH190" s="743"/>
      <c r="CI190" s="743"/>
      <c r="CJ190" s="743"/>
      <c r="CK190" s="743"/>
      <c r="CL190" s="743"/>
      <c r="CM190" s="743"/>
      <c r="CN190" s="743"/>
      <c r="CO190" s="743"/>
      <c r="CP190" s="590"/>
      <c r="CQ190" s="590"/>
      <c r="CR190" s="590"/>
      <c r="CS190" s="590"/>
      <c r="CT190" s="590"/>
      <c r="CU190" s="590"/>
      <c r="CV190" s="590"/>
      <c r="CW190" s="591"/>
      <c r="CX190" s="590"/>
      <c r="CY190" s="590"/>
      <c r="CZ190" s="590"/>
      <c r="DA190" s="590"/>
      <c r="DB190" s="590"/>
      <c r="DC190" s="590"/>
      <c r="DD190" s="590"/>
      <c r="DE190" s="590"/>
      <c r="DF190" s="590"/>
      <c r="DG190" s="590"/>
      <c r="DH190" s="590"/>
      <c r="DI190" s="590"/>
      <c r="DJ190" s="590"/>
      <c r="DK190" s="590"/>
      <c r="DL190" s="590"/>
      <c r="DM190" s="590"/>
      <c r="DN190" s="590"/>
      <c r="DO190" s="590"/>
      <c r="DP190" s="590"/>
      <c r="DQ190" s="590"/>
    </row>
    <row r="191" spans="1:121" ht="23.25" customHeight="1" x14ac:dyDescent="0.15">
      <c r="A191" s="588"/>
      <c r="B191" s="744"/>
      <c r="C191" s="581"/>
      <c r="D191" s="550"/>
      <c r="E191" s="550"/>
      <c r="F191" s="550"/>
      <c r="G191" s="550"/>
      <c r="H191" s="550"/>
      <c r="I191" s="550"/>
      <c r="J191" s="550"/>
      <c r="K191" s="550"/>
      <c r="L191" s="550"/>
      <c r="M191" s="550"/>
      <c r="N191" s="550"/>
      <c r="O191" s="550"/>
      <c r="P191" s="550"/>
      <c r="Q191" s="550"/>
      <c r="R191" s="550"/>
      <c r="S191" s="581"/>
      <c r="T191" s="581"/>
      <c r="U191" s="581"/>
      <c r="V191" s="581"/>
      <c r="W191" s="581"/>
      <c r="X191" s="581"/>
      <c r="Y191" s="581"/>
      <c r="Z191" s="581"/>
      <c r="AA191" s="542"/>
      <c r="AB191" s="542"/>
      <c r="AC191" s="542"/>
      <c r="AD191" s="542"/>
      <c r="AE191" s="542"/>
      <c r="AF191" s="542"/>
      <c r="AG191" s="542"/>
      <c r="AH191" s="542"/>
      <c r="AI191" s="542"/>
      <c r="AJ191" s="542"/>
      <c r="AK191" s="542"/>
      <c r="AL191" s="542"/>
      <c r="AM191" s="542"/>
      <c r="AN191" s="542"/>
      <c r="AO191" s="542"/>
      <c r="AP191" s="542"/>
      <c r="AQ191" s="542"/>
      <c r="AR191" s="542"/>
      <c r="AS191" s="542"/>
      <c r="AT191" s="542"/>
      <c r="AU191" s="542"/>
      <c r="AV191" s="542"/>
      <c r="AW191" s="542"/>
      <c r="AX191" s="542"/>
      <c r="AY191" s="542"/>
      <c r="AZ191" s="542"/>
      <c r="BA191" s="542"/>
      <c r="BB191" s="542"/>
      <c r="BC191" s="542"/>
      <c r="BD191" s="542"/>
      <c r="BE191" s="542"/>
      <c r="BF191" s="542"/>
      <c r="BG191" s="598"/>
      <c r="BH191" s="595"/>
      <c r="BI191" s="595"/>
      <c r="BJ191" s="595"/>
      <c r="BK191" s="595"/>
      <c r="BL191" s="595"/>
      <c r="BM191" s="746"/>
      <c r="BN191" s="590"/>
      <c r="BO191" s="590"/>
      <c r="BP191" s="590"/>
      <c r="BQ191" s="590"/>
      <c r="BR191" s="590"/>
      <c r="BS191" s="590"/>
      <c r="BT191" s="750" t="str">
        <f>+IF(CB9="c","c","")</f>
        <v/>
      </c>
      <c r="BU191" s="751" t="s">
        <v>893</v>
      </c>
      <c r="BV191" s="758"/>
      <c r="BW191" s="796" t="str">
        <f>+IF($BT$191="c",1,"")</f>
        <v/>
      </c>
      <c r="BX191" s="753"/>
      <c r="BY191" s="754"/>
      <c r="BZ191" s="754"/>
      <c r="CA191" s="754"/>
      <c r="CB191" s="754"/>
      <c r="CC191" s="754"/>
      <c r="CD191" s="590"/>
      <c r="CE191" s="625" t="str">
        <f>+'Refinanszírozás célja'!BY83</f>
        <v/>
      </c>
      <c r="CF191" s="743"/>
      <c r="CG191" s="743"/>
      <c r="CH191" s="743"/>
      <c r="CI191" s="743"/>
      <c r="CJ191" s="743"/>
      <c r="CK191" s="743"/>
      <c r="CL191" s="743"/>
      <c r="CM191" s="743"/>
      <c r="CN191" s="743"/>
      <c r="CO191" s="743"/>
      <c r="CP191" s="590"/>
      <c r="CQ191" s="590"/>
      <c r="CR191" s="590"/>
      <c r="CS191" s="590"/>
      <c r="CT191" s="590"/>
      <c r="CU191" s="590"/>
      <c r="CV191" s="590"/>
      <c r="CW191" s="591"/>
      <c r="CX191" s="590"/>
      <c r="CY191" s="590"/>
      <c r="CZ191" s="590"/>
      <c r="DA191" s="590"/>
      <c r="DB191" s="590"/>
      <c r="DC191" s="590"/>
      <c r="DD191" s="590"/>
      <c r="DE191" s="590"/>
      <c r="DF191" s="590"/>
      <c r="DG191" s="590"/>
      <c r="DH191" s="590"/>
      <c r="DI191" s="590"/>
      <c r="DJ191" s="590"/>
      <c r="DK191" s="590"/>
      <c r="DL191" s="590"/>
      <c r="DM191" s="590"/>
      <c r="DN191" s="590"/>
      <c r="DO191" s="590"/>
      <c r="DP191" s="590"/>
      <c r="DQ191" s="590"/>
    </row>
    <row r="192" spans="1:121" ht="14" x14ac:dyDescent="0.15">
      <c r="A192" s="588"/>
      <c r="B192" s="744"/>
      <c r="C192" s="581"/>
      <c r="D192" s="787" t="s">
        <v>156</v>
      </c>
      <c r="E192" s="787"/>
      <c r="F192" s="788"/>
      <c r="G192" s="789"/>
      <c r="H192" s="789"/>
      <c r="I192" s="789"/>
      <c r="J192" s="571"/>
      <c r="K192" s="790"/>
      <c r="L192" s="611"/>
      <c r="M192" s="790"/>
      <c r="N192" s="791"/>
      <c r="O192" s="546"/>
      <c r="P192" s="546"/>
      <c r="Q192" s="546"/>
      <c r="R192" s="546"/>
      <c r="S192" s="1270">
        <f>+S194+S196</f>
        <v>0</v>
      </c>
      <c r="T192" s="1270"/>
      <c r="U192" s="1270"/>
      <c r="V192" s="1270"/>
      <c r="W192" s="1270"/>
      <c r="X192" s="792"/>
      <c r="Y192" s="1288">
        <f>+Y194+Y196</f>
        <v>0</v>
      </c>
      <c r="Z192" s="1288"/>
      <c r="AA192" s="1288"/>
      <c r="AB192" s="1288"/>
      <c r="AC192" s="1288"/>
      <c r="AD192" s="1288"/>
      <c r="AE192" s="1288"/>
      <c r="AF192" s="793"/>
      <c r="AG192" s="792"/>
      <c r="AH192" s="1270">
        <f>+AH194+AH196</f>
        <v>0</v>
      </c>
      <c r="AI192" s="1270"/>
      <c r="AJ192" s="1270"/>
      <c r="AK192" s="1270"/>
      <c r="AL192" s="1270"/>
      <c r="AM192" s="1270"/>
      <c r="AN192" s="792"/>
      <c r="AO192" s="1270">
        <f>S192+Y192+AH192</f>
        <v>0</v>
      </c>
      <c r="AP192" s="1270"/>
      <c r="AQ192" s="1270"/>
      <c r="AR192" s="1270"/>
      <c r="AS192" s="1270"/>
      <c r="AT192" s="794"/>
      <c r="AU192" s="794"/>
      <c r="AV192" s="794"/>
      <c r="AW192" s="794"/>
      <c r="AX192" s="682"/>
      <c r="AY192" s="682"/>
      <c r="AZ192" s="682"/>
      <c r="BA192" s="682"/>
      <c r="BB192" s="682"/>
      <c r="BC192" s="682"/>
      <c r="BD192" s="542"/>
      <c r="BE192" s="542"/>
      <c r="BF192" s="542"/>
      <c r="BG192" s="598"/>
      <c r="BH192" s="595"/>
      <c r="BI192" s="595"/>
      <c r="BJ192" s="595"/>
      <c r="BK192" s="595"/>
      <c r="BL192" s="595"/>
      <c r="BM192" s="746"/>
      <c r="BN192" s="590"/>
      <c r="BO192" s="590"/>
      <c r="BP192" s="590"/>
      <c r="BQ192" s="590"/>
      <c r="BR192" s="590"/>
      <c r="BS192" s="590"/>
      <c r="BT192" s="750" t="str">
        <f>+IF(CB8="b","b","")</f>
        <v/>
      </c>
      <c r="BU192" s="751" t="s">
        <v>894</v>
      </c>
      <c r="BV192" s="758"/>
      <c r="BW192" s="796" t="str">
        <f>+IF($BT$192="b",1,"")</f>
        <v/>
      </c>
      <c r="BX192" s="796" t="str">
        <f>+IF($BT$192="b",1,"")</f>
        <v/>
      </c>
      <c r="BY192" s="754"/>
      <c r="BZ192" s="754"/>
      <c r="CA192" s="754"/>
      <c r="CB192" s="754"/>
      <c r="CC192" s="754"/>
      <c r="CD192" s="590"/>
      <c r="CE192" s="625" t="str">
        <f>+'Refinanszírozás célja'!BY84</f>
        <v/>
      </c>
      <c r="CF192" s="743"/>
      <c r="CG192" s="743"/>
      <c r="CH192" s="743"/>
      <c r="CI192" s="743"/>
      <c r="CJ192" s="743"/>
      <c r="CK192" s="743"/>
      <c r="CL192" s="743"/>
      <c r="CM192" s="743"/>
      <c r="CN192" s="743"/>
      <c r="CO192" s="743"/>
      <c r="CP192" s="590"/>
      <c r="CQ192" s="590"/>
      <c r="CR192" s="590"/>
      <c r="CS192" s="590"/>
      <c r="CT192" s="590"/>
      <c r="CU192" s="590"/>
      <c r="CV192" s="590"/>
      <c r="CW192" s="591"/>
      <c r="CX192" s="590"/>
      <c r="CY192" s="590"/>
      <c r="CZ192" s="590"/>
      <c r="DA192" s="590"/>
      <c r="DB192" s="590"/>
      <c r="DC192" s="590"/>
      <c r="DD192" s="590"/>
      <c r="DE192" s="590"/>
      <c r="DF192" s="590"/>
      <c r="DG192" s="590"/>
      <c r="DH192" s="590"/>
      <c r="DI192" s="590"/>
      <c r="DJ192" s="590"/>
      <c r="DK192" s="590"/>
      <c r="DL192" s="590"/>
      <c r="DM192" s="590"/>
      <c r="DN192" s="590"/>
      <c r="DO192" s="590"/>
      <c r="DP192" s="590"/>
      <c r="DQ192" s="590"/>
    </row>
    <row r="193" spans="1:218" ht="14.25" customHeight="1" x14ac:dyDescent="0.15">
      <c r="A193" s="588"/>
      <c r="B193" s="744"/>
      <c r="C193" s="581"/>
      <c r="D193" s="581"/>
      <c r="E193" s="581"/>
      <c r="F193" s="581" t="s">
        <v>157</v>
      </c>
      <c r="G193" s="571"/>
      <c r="H193" s="571"/>
      <c r="I193" s="571"/>
      <c r="J193" s="571"/>
      <c r="K193" s="611"/>
      <c r="L193" s="611"/>
      <c r="M193" s="611"/>
      <c r="N193" s="792"/>
      <c r="O193" s="546"/>
      <c r="P193" s="546"/>
      <c r="Q193" s="546"/>
      <c r="R193" s="546"/>
      <c r="S193" s="651"/>
      <c r="T193" s="792"/>
      <c r="U193" s="792"/>
      <c r="V193" s="792"/>
      <c r="W193" s="792"/>
      <c r="X193" s="792"/>
      <c r="Y193" s="792"/>
      <c r="Z193" s="792"/>
      <c r="AA193" s="792"/>
      <c r="AB193" s="792"/>
      <c r="AC193" s="651"/>
      <c r="AD193" s="651"/>
      <c r="AE193" s="651"/>
      <c r="AF193" s="651"/>
      <c r="AG193" s="651"/>
      <c r="AH193" s="792" t="str">
        <f>IF(TT_kategoria="regionális beruházási támogatás","",IF(nettopenzigeny*0.1&gt;sajatero,"A saját erőnek minimum 10%-nak kell lennie!", ""))</f>
        <v/>
      </c>
      <c r="AI193" s="651"/>
      <c r="AJ193" s="792"/>
      <c r="AK193" s="792"/>
      <c r="AL193" s="651"/>
      <c r="AM193" s="651"/>
      <c r="AN193" s="651"/>
      <c r="AO193" s="792"/>
      <c r="AP193" s="792"/>
      <c r="AQ193" s="792"/>
      <c r="AR193" s="792"/>
      <c r="AS193" s="682"/>
      <c r="AT193" s="682"/>
      <c r="AU193" s="682"/>
      <c r="AV193" s="682"/>
      <c r="AW193" s="682"/>
      <c r="AX193" s="682"/>
      <c r="AY193" s="682"/>
      <c r="AZ193" s="682"/>
      <c r="BA193" s="682"/>
      <c r="BB193" s="682"/>
      <c r="BC193" s="682"/>
      <c r="BD193" s="542"/>
      <c r="BE193" s="542"/>
      <c r="BF193" s="542"/>
      <c r="BG193" s="598"/>
      <c r="BH193" s="595"/>
      <c r="BI193" s="595"/>
      <c r="BJ193" s="595"/>
      <c r="BK193" s="595"/>
      <c r="BL193" s="595"/>
      <c r="BM193" s="746"/>
      <c r="BN193" s="590"/>
      <c r="BO193" s="590"/>
      <c r="BP193" s="590"/>
      <c r="BQ193" s="590"/>
      <c r="BR193" s="590"/>
      <c r="BS193" s="590"/>
      <c r="BT193" s="799" t="str">
        <f>IF(BU11=5,5,"")</f>
        <v/>
      </c>
      <c r="BU193" s="799" t="s">
        <v>295</v>
      </c>
      <c r="BV193" s="758" t="str">
        <f>IF(BT193=5,1,"")</f>
        <v/>
      </c>
      <c r="BW193" s="753"/>
      <c r="BX193" s="753"/>
      <c r="BY193" s="754"/>
      <c r="BZ193" s="754"/>
      <c r="CA193" s="754"/>
      <c r="CB193" s="754"/>
      <c r="CC193" s="754"/>
      <c r="CD193" s="590"/>
      <c r="CE193" s="625" t="str">
        <f>+'Refinanszírozás célja'!BY85</f>
        <v/>
      </c>
      <c r="CF193" s="743"/>
      <c r="CG193" s="743"/>
      <c r="CH193" s="743"/>
      <c r="CI193" s="743"/>
      <c r="CJ193" s="743"/>
      <c r="CK193" s="743"/>
      <c r="CL193" s="743"/>
      <c r="CM193" s="743"/>
      <c r="CN193" s="743"/>
      <c r="CO193" s="743"/>
      <c r="CP193" s="590"/>
      <c r="CQ193" s="590"/>
      <c r="CR193" s="590"/>
      <c r="CS193" s="590"/>
      <c r="CT193" s="590"/>
      <c r="CU193" s="590"/>
      <c r="CV193" s="590"/>
      <c r="CW193" s="591"/>
      <c r="CX193" s="590"/>
      <c r="CY193" s="590"/>
      <c r="CZ193" s="590"/>
      <c r="DA193" s="590"/>
      <c r="DB193" s="590"/>
      <c r="DC193" s="590"/>
      <c r="DD193" s="590"/>
      <c r="DE193" s="590"/>
      <c r="DF193" s="590"/>
      <c r="DG193" s="590"/>
      <c r="DH193" s="590"/>
      <c r="DI193" s="590"/>
      <c r="DJ193" s="590"/>
      <c r="DK193" s="590"/>
      <c r="DL193" s="590"/>
      <c r="DM193" s="590"/>
      <c r="DN193" s="590"/>
      <c r="DO193" s="590"/>
      <c r="DP193" s="590"/>
      <c r="DQ193" s="590"/>
    </row>
    <row r="194" spans="1:218" ht="14" x14ac:dyDescent="0.15">
      <c r="A194" s="588"/>
      <c r="B194" s="744"/>
      <c r="C194" s="581"/>
      <c r="D194" s="581"/>
      <c r="E194" s="581"/>
      <c r="F194" s="541"/>
      <c r="G194" s="1271" t="s">
        <v>287</v>
      </c>
      <c r="H194" s="1271"/>
      <c r="I194" s="1271"/>
      <c r="J194" s="1271"/>
      <c r="K194" s="1271"/>
      <c r="L194" s="1271"/>
      <c r="M194" s="1271"/>
      <c r="N194" s="1271"/>
      <c r="O194" s="1271"/>
      <c r="P194" s="1271"/>
      <c r="Q194" s="1271"/>
      <c r="R194" s="546"/>
      <c r="S194" s="1299"/>
      <c r="T194" s="1299"/>
      <c r="U194" s="1299"/>
      <c r="V194" s="1299"/>
      <c r="W194" s="1299"/>
      <c r="X194" s="792"/>
      <c r="Y194" s="1447"/>
      <c r="Z194" s="1447"/>
      <c r="AA194" s="1447"/>
      <c r="AB194" s="1447"/>
      <c r="AC194" s="1447"/>
      <c r="AD194" s="1447"/>
      <c r="AE194" s="1447"/>
      <c r="AF194" s="793"/>
      <c r="AG194" s="792"/>
      <c r="AH194" s="1299"/>
      <c r="AI194" s="1299"/>
      <c r="AJ194" s="1299"/>
      <c r="AK194" s="1299"/>
      <c r="AL194" s="1299"/>
      <c r="AM194" s="1299"/>
      <c r="AN194" s="792"/>
      <c r="AO194" s="1270">
        <f>S194+Y194+AH194</f>
        <v>0</v>
      </c>
      <c r="AP194" s="1270"/>
      <c r="AQ194" s="1270"/>
      <c r="AR194" s="1270"/>
      <c r="AS194" s="1270"/>
      <c r="AT194" s="794"/>
      <c r="AU194" s="794"/>
      <c r="AV194" s="794"/>
      <c r="AW194" s="794"/>
      <c r="AX194" s="682"/>
      <c r="AY194" s="682"/>
      <c r="AZ194" s="682"/>
      <c r="BA194" s="682"/>
      <c r="BB194" s="682"/>
      <c r="BC194" s="682"/>
      <c r="BD194" s="542"/>
      <c r="BE194" s="542"/>
      <c r="BF194" s="542"/>
      <c r="BG194" s="598"/>
      <c r="BH194" s="595"/>
      <c r="BI194" s="595"/>
      <c r="BJ194" s="595"/>
      <c r="BK194" s="595"/>
      <c r="BL194" s="595"/>
      <c r="BM194" s="746"/>
      <c r="BN194" s="590"/>
      <c r="BO194" s="590"/>
      <c r="BP194" s="590"/>
      <c r="BQ194" s="590"/>
      <c r="BR194" s="590"/>
      <c r="BS194" s="590"/>
      <c r="BT194" s="799"/>
      <c r="BU194" s="799"/>
      <c r="BV194" s="758"/>
      <c r="BW194" s="753"/>
      <c r="BX194" s="753"/>
      <c r="BY194" s="754"/>
      <c r="BZ194" s="754"/>
      <c r="CA194" s="754"/>
      <c r="CB194" s="754"/>
      <c r="CC194" s="754"/>
      <c r="CD194" s="590"/>
      <c r="CE194" s="800"/>
      <c r="CF194" s="743"/>
      <c r="CG194" s="743"/>
      <c r="CH194" s="743"/>
      <c r="CI194" s="743"/>
      <c r="CJ194" s="743"/>
      <c r="CK194" s="743"/>
      <c r="CL194" s="743"/>
      <c r="CM194" s="743"/>
      <c r="CN194" s="743"/>
      <c r="CO194" s="743"/>
      <c r="CP194" s="590"/>
      <c r="CQ194" s="590"/>
      <c r="CR194" s="590"/>
      <c r="CS194" s="590"/>
      <c r="CT194" s="590"/>
      <c r="CU194" s="590"/>
      <c r="CV194" s="590"/>
      <c r="CW194" s="591"/>
      <c r="CX194" s="590"/>
      <c r="CY194" s="590"/>
      <c r="CZ194" s="590"/>
      <c r="DA194" s="590"/>
      <c r="DB194" s="590"/>
      <c r="DC194" s="590"/>
      <c r="DD194" s="590"/>
      <c r="DE194" s="590"/>
      <c r="DF194" s="590"/>
      <c r="DG194" s="590"/>
      <c r="DH194" s="590"/>
      <c r="DI194" s="590"/>
      <c r="DJ194" s="590"/>
      <c r="DK194" s="590"/>
      <c r="DL194" s="590"/>
      <c r="DM194" s="590"/>
      <c r="DN194" s="590"/>
      <c r="DO194" s="590"/>
      <c r="DP194" s="590"/>
      <c r="DQ194" s="590"/>
    </row>
    <row r="195" spans="1:218" ht="14.25" customHeight="1" x14ac:dyDescent="0.15">
      <c r="A195" s="588"/>
      <c r="B195" s="744"/>
      <c r="C195" s="581"/>
      <c r="D195" s="581"/>
      <c r="E195" s="581"/>
      <c r="F195" s="581"/>
      <c r="G195" s="571" t="s">
        <v>288</v>
      </c>
      <c r="H195" s="571"/>
      <c r="I195" s="571"/>
      <c r="J195" s="571"/>
      <c r="K195" s="611"/>
      <c r="L195" s="611"/>
      <c r="M195" s="611"/>
      <c r="N195" s="792"/>
      <c r="O195" s="546"/>
      <c r="P195" s="546"/>
      <c r="Q195" s="546"/>
      <c r="R195" s="546"/>
      <c r="S195" s="795"/>
      <c r="T195" s="795"/>
      <c r="U195" s="795"/>
      <c r="V195" s="795"/>
      <c r="W195" s="795"/>
      <c r="X195" s="792"/>
      <c r="Y195" s="792"/>
      <c r="Z195" s="792"/>
      <c r="AA195" s="792"/>
      <c r="AB195" s="792"/>
      <c r="AC195" s="792"/>
      <c r="AD195" s="792"/>
      <c r="AE195" s="792"/>
      <c r="AF195" s="792"/>
      <c r="AG195" s="792"/>
      <c r="AH195" s="792"/>
      <c r="AI195" s="792"/>
      <c r="AJ195" s="792"/>
      <c r="AK195" s="792"/>
      <c r="AL195" s="792"/>
      <c r="AM195" s="792"/>
      <c r="AN195" s="792"/>
      <c r="AO195" s="792"/>
      <c r="AP195" s="792"/>
      <c r="AQ195" s="792"/>
      <c r="AR195" s="792"/>
      <c r="AS195" s="682"/>
      <c r="AT195" s="682"/>
      <c r="AU195" s="682"/>
      <c r="AV195" s="682"/>
      <c r="AW195" s="682"/>
      <c r="AX195" s="682"/>
      <c r="AY195" s="682"/>
      <c r="AZ195" s="682"/>
      <c r="BA195" s="682"/>
      <c r="BB195" s="682"/>
      <c r="BC195" s="682"/>
      <c r="BD195" s="542"/>
      <c r="BE195" s="542"/>
      <c r="BF195" s="542"/>
      <c r="BG195" s="598"/>
      <c r="BH195" s="595"/>
      <c r="BI195" s="595"/>
      <c r="BJ195" s="595"/>
      <c r="BK195" s="595"/>
      <c r="BL195" s="595"/>
      <c r="BM195" s="746"/>
      <c r="BN195" s="590"/>
      <c r="BO195" s="590"/>
      <c r="BP195" s="590"/>
      <c r="BQ195" s="590"/>
      <c r="BR195" s="590"/>
      <c r="BS195" s="590"/>
      <c r="BT195" s="764"/>
      <c r="BU195" s="764"/>
      <c r="BV195" s="764"/>
      <c r="BW195" s="764"/>
      <c r="BX195" s="764"/>
      <c r="BY195" s="651"/>
      <c r="BZ195" s="651"/>
      <c r="CA195" s="651"/>
      <c r="CB195" s="651"/>
      <c r="CC195" s="651"/>
      <c r="CD195" s="590"/>
      <c r="CE195" s="743"/>
      <c r="CF195" s="743"/>
      <c r="CG195" s="743"/>
      <c r="CH195" s="743"/>
      <c r="CI195" s="743"/>
      <c r="CJ195" s="743"/>
      <c r="CK195" s="743"/>
      <c r="CL195" s="743"/>
      <c r="CM195" s="743"/>
      <c r="CN195" s="743"/>
      <c r="CO195" s="743"/>
      <c r="CP195" s="590"/>
      <c r="CQ195" s="590"/>
      <c r="CR195" s="590"/>
      <c r="CS195" s="590"/>
      <c r="CT195" s="590"/>
      <c r="CU195" s="590"/>
      <c r="CV195" s="590"/>
      <c r="CW195" s="591"/>
      <c r="CX195" s="590"/>
      <c r="CY195" s="590"/>
      <c r="CZ195" s="590"/>
      <c r="DA195" s="590"/>
      <c r="DB195" s="590"/>
      <c r="DC195" s="590"/>
      <c r="DD195" s="590"/>
      <c r="DE195" s="590"/>
      <c r="DF195" s="590"/>
      <c r="DG195" s="590"/>
      <c r="DH195" s="590"/>
      <c r="DI195" s="590"/>
      <c r="DJ195" s="590"/>
      <c r="DK195" s="590"/>
      <c r="DL195" s="590"/>
      <c r="DM195" s="590"/>
      <c r="DN195" s="590"/>
      <c r="DO195" s="590"/>
      <c r="DP195" s="590"/>
      <c r="DQ195" s="590"/>
    </row>
    <row r="196" spans="1:218" ht="12" customHeight="1" x14ac:dyDescent="0.15">
      <c r="A196" s="588"/>
      <c r="B196" s="744"/>
      <c r="C196" s="581"/>
      <c r="D196" s="581"/>
      <c r="E196" s="581"/>
      <c r="F196" s="541"/>
      <c r="G196" s="1271" t="s">
        <v>158</v>
      </c>
      <c r="H196" s="1271"/>
      <c r="I196" s="1271"/>
      <c r="J196" s="1271"/>
      <c r="K196" s="1271"/>
      <c r="L196" s="1271"/>
      <c r="M196" s="1271"/>
      <c r="N196" s="1271"/>
      <c r="O196" s="1271"/>
      <c r="P196" s="1271"/>
      <c r="Q196" s="1271"/>
      <c r="R196" s="546"/>
      <c r="S196" s="1299"/>
      <c r="T196" s="1299"/>
      <c r="U196" s="1299"/>
      <c r="V196" s="1299"/>
      <c r="W196" s="1299"/>
      <c r="X196" s="792"/>
      <c r="Y196" s="1299"/>
      <c r="Z196" s="1299"/>
      <c r="AA196" s="1299"/>
      <c r="AB196" s="1299"/>
      <c r="AC196" s="1299"/>
      <c r="AD196" s="1299"/>
      <c r="AE196" s="1299"/>
      <c r="AF196" s="793"/>
      <c r="AG196" s="792"/>
      <c r="AH196" s="1299"/>
      <c r="AI196" s="1299"/>
      <c r="AJ196" s="1299"/>
      <c r="AK196" s="1299"/>
      <c r="AL196" s="1299"/>
      <c r="AM196" s="1299"/>
      <c r="AN196" s="792"/>
      <c r="AO196" s="1270">
        <f>S196+Y196+AH196</f>
        <v>0</v>
      </c>
      <c r="AP196" s="1270"/>
      <c r="AQ196" s="1270"/>
      <c r="AR196" s="1270"/>
      <c r="AS196" s="1270"/>
      <c r="AT196" s="794"/>
      <c r="AU196" s="794"/>
      <c r="AV196" s="794"/>
      <c r="AW196" s="794"/>
      <c r="AX196" s="618"/>
      <c r="AY196" s="682"/>
      <c r="AZ196" s="618"/>
      <c r="BA196" s="618"/>
      <c r="BB196" s="618"/>
      <c r="BC196" s="618"/>
      <c r="BD196" s="556"/>
      <c r="BE196" s="556"/>
      <c r="BF196" s="556"/>
      <c r="BG196" s="598"/>
      <c r="BH196" s="595"/>
      <c r="BI196" s="595"/>
      <c r="BJ196" s="595"/>
      <c r="BK196" s="595"/>
      <c r="BL196" s="595"/>
      <c r="BM196" s="746"/>
      <c r="BN196" s="590"/>
      <c r="BO196" s="590"/>
      <c r="BP196" s="590"/>
      <c r="BQ196" s="590"/>
      <c r="BR196" s="590"/>
      <c r="BS196" s="590"/>
      <c r="BT196" s="764"/>
      <c r="BU196" s="764"/>
      <c r="BV196" s="764"/>
      <c r="BW196" s="764"/>
      <c r="BX196" s="764"/>
      <c r="BY196" s="651"/>
      <c r="BZ196" s="651"/>
      <c r="CA196" s="651"/>
      <c r="CB196" s="651"/>
      <c r="CC196" s="651"/>
      <c r="CD196" s="590"/>
      <c r="CE196" s="590"/>
      <c r="CF196" s="590"/>
      <c r="CG196" s="590"/>
      <c r="CH196" s="590"/>
      <c r="CI196" s="590"/>
      <c r="CJ196" s="590"/>
      <c r="CK196" s="590"/>
      <c r="CL196" s="590"/>
      <c r="CM196" s="590"/>
      <c r="CN196" s="590"/>
      <c r="CO196" s="590"/>
      <c r="CP196" s="590"/>
      <c r="CQ196" s="590"/>
      <c r="CR196" s="590"/>
      <c r="CS196" s="590"/>
      <c r="CT196" s="590"/>
      <c r="CU196" s="590"/>
      <c r="CV196" s="590"/>
      <c r="CW196" s="591"/>
      <c r="CX196" s="590"/>
      <c r="CY196" s="590"/>
      <c r="CZ196" s="590"/>
      <c r="DA196" s="590"/>
      <c r="DB196" s="590"/>
      <c r="DC196" s="590"/>
      <c r="DD196" s="590"/>
      <c r="DE196" s="590"/>
      <c r="DF196" s="590"/>
      <c r="DG196" s="590"/>
      <c r="DH196" s="590"/>
      <c r="DI196" s="590"/>
      <c r="DJ196" s="590"/>
      <c r="DK196" s="590"/>
      <c r="DL196" s="590"/>
      <c r="DM196" s="590"/>
      <c r="DN196" s="590"/>
      <c r="DO196" s="590"/>
      <c r="DP196" s="590"/>
      <c r="DQ196" s="590"/>
    </row>
    <row r="197" spans="1:218" ht="12" customHeight="1" x14ac:dyDescent="0.15">
      <c r="A197" s="588"/>
      <c r="B197" s="744"/>
      <c r="C197" s="581"/>
      <c r="D197" s="581"/>
      <c r="E197" s="581"/>
      <c r="F197" s="581"/>
      <c r="G197" s="571"/>
      <c r="H197" s="571"/>
      <c r="I197" s="571"/>
      <c r="J197" s="571"/>
      <c r="K197" s="790"/>
      <c r="L197" s="617"/>
      <c r="M197" s="797" t="str">
        <f>IF(TT_kategoria="regionális beruházási támogatás",IF(nettopenzigeny*0.25&gt;tammentessajatero,"Regionális beruházási támogatási kategória esetén a saját erőnek minimum 25%-nak kell lennie minden állami támogatástól mentesen!", ""),"")</f>
        <v/>
      </c>
      <c r="N197" s="798"/>
      <c r="O197" s="546"/>
      <c r="P197" s="546"/>
      <c r="Q197" s="546"/>
      <c r="R197" s="546"/>
      <c r="S197" s="651"/>
      <c r="T197" s="792"/>
      <c r="U197" s="792"/>
      <c r="V197" s="792"/>
      <c r="W197" s="792"/>
      <c r="X197" s="792"/>
      <c r="Y197" s="792"/>
      <c r="Z197" s="792"/>
      <c r="AA197" s="792"/>
      <c r="AB197" s="792"/>
      <c r="AC197" s="792"/>
      <c r="AD197" s="792"/>
      <c r="AE197" s="792"/>
      <c r="AF197" s="792"/>
      <c r="AG197" s="792"/>
      <c r="AH197" s="792"/>
      <c r="AI197" s="792"/>
      <c r="AJ197" s="792"/>
      <c r="AK197" s="792"/>
      <c r="AL197" s="792"/>
      <c r="AM197" s="792"/>
      <c r="AN197" s="792"/>
      <c r="AO197" s="792"/>
      <c r="AP197" s="792"/>
      <c r="AQ197" s="792"/>
      <c r="AR197" s="792"/>
      <c r="AS197" s="682"/>
      <c r="AT197" s="682"/>
      <c r="AU197" s="682"/>
      <c r="AV197" s="682"/>
      <c r="AW197" s="682"/>
      <c r="AX197" s="682"/>
      <c r="AY197" s="682"/>
      <c r="AZ197" s="682"/>
      <c r="BA197" s="682"/>
      <c r="BB197" s="682"/>
      <c r="BC197" s="682"/>
      <c r="BD197" s="542"/>
      <c r="BE197" s="542"/>
      <c r="BF197" s="542"/>
      <c r="BG197" s="598"/>
      <c r="BH197" s="595"/>
      <c r="BI197" s="595"/>
      <c r="BJ197" s="595"/>
      <c r="BK197" s="595"/>
      <c r="BL197" s="595"/>
      <c r="BM197" s="746"/>
      <c r="BN197" s="590"/>
      <c r="BO197" s="590"/>
      <c r="BP197" s="590"/>
      <c r="BQ197" s="590"/>
      <c r="BR197" s="590"/>
      <c r="BS197" s="590"/>
      <c r="BT197" s="764"/>
      <c r="BU197" s="764"/>
      <c r="BV197" s="764"/>
      <c r="BW197" s="764"/>
      <c r="BX197" s="764"/>
      <c r="BY197" s="651"/>
      <c r="BZ197" s="651"/>
      <c r="CA197" s="651"/>
      <c r="CB197" s="651"/>
      <c r="CC197" s="651"/>
      <c r="CD197" s="590"/>
      <c r="CE197" s="590"/>
      <c r="CF197" s="590"/>
      <c r="CG197" s="590"/>
      <c r="CH197" s="590"/>
      <c r="CI197" s="590"/>
      <c r="CJ197" s="590"/>
      <c r="CK197" s="590"/>
      <c r="CL197" s="590"/>
      <c r="CM197" s="590"/>
      <c r="CN197" s="590"/>
      <c r="CO197" s="590"/>
      <c r="CP197" s="590"/>
      <c r="CQ197" s="590"/>
      <c r="CR197" s="590"/>
      <c r="CS197" s="590"/>
      <c r="CT197" s="590"/>
      <c r="CU197" s="590"/>
      <c r="CV197" s="590"/>
      <c r="CW197" s="591"/>
      <c r="CX197" s="590"/>
      <c r="CY197" s="590"/>
      <c r="CZ197" s="590"/>
      <c r="DA197" s="590"/>
      <c r="DB197" s="590"/>
      <c r="DC197" s="590"/>
      <c r="DD197" s="590"/>
      <c r="DE197" s="590"/>
      <c r="DF197" s="590"/>
      <c r="DG197" s="590"/>
      <c r="DH197" s="590"/>
      <c r="DI197" s="590"/>
      <c r="DJ197" s="590"/>
      <c r="DK197" s="590"/>
      <c r="DL197" s="590"/>
      <c r="DM197" s="590"/>
      <c r="DN197" s="590"/>
      <c r="DO197" s="590"/>
      <c r="DP197" s="590"/>
      <c r="DQ197" s="590"/>
    </row>
    <row r="198" spans="1:218" ht="14" x14ac:dyDescent="0.15">
      <c r="A198" s="588"/>
      <c r="B198" s="744"/>
      <c r="C198" s="581"/>
      <c r="D198" s="581" t="s">
        <v>409</v>
      </c>
      <c r="E198" s="581"/>
      <c r="F198" s="581"/>
      <c r="G198" s="571"/>
      <c r="H198" s="571"/>
      <c r="I198" s="571"/>
      <c r="J198" s="571"/>
      <c r="K198" s="790"/>
      <c r="L198" s="617"/>
      <c r="M198" s="790"/>
      <c r="N198" s="685"/>
      <c r="O198" s="546"/>
      <c r="P198" s="546"/>
      <c r="Q198" s="546"/>
      <c r="R198" s="546"/>
      <c r="S198" s="1270">
        <f>+S200+S202</f>
        <v>0</v>
      </c>
      <c r="T198" s="1270"/>
      <c r="U198" s="1270"/>
      <c r="V198" s="1270"/>
      <c r="W198" s="1270"/>
      <c r="X198" s="792"/>
      <c r="Y198" s="1270">
        <f>+Y200+Y202</f>
        <v>0</v>
      </c>
      <c r="Z198" s="1270"/>
      <c r="AA198" s="1270"/>
      <c r="AB198" s="1270"/>
      <c r="AC198" s="1270"/>
      <c r="AD198" s="1270"/>
      <c r="AE198" s="1270"/>
      <c r="AF198" s="792"/>
      <c r="AG198" s="792"/>
      <c r="AH198" s="1270">
        <f>+AH200+AH202</f>
        <v>0</v>
      </c>
      <c r="AI198" s="1270"/>
      <c r="AJ198" s="1270"/>
      <c r="AK198" s="1270"/>
      <c r="AL198" s="1270"/>
      <c r="AM198" s="1270"/>
      <c r="AN198" s="792"/>
      <c r="AO198" s="1270">
        <f>S198+Y198+AH198</f>
        <v>0</v>
      </c>
      <c r="AP198" s="1270"/>
      <c r="AQ198" s="1270"/>
      <c r="AR198" s="1270"/>
      <c r="AS198" s="1270"/>
      <c r="AT198" s="794"/>
      <c r="AU198" s="794"/>
      <c r="AV198" s="794"/>
      <c r="AW198" s="794"/>
      <c r="AX198" s="618"/>
      <c r="AY198" s="682"/>
      <c r="AZ198" s="618"/>
      <c r="BA198" s="618"/>
      <c r="BB198" s="618"/>
      <c r="BC198" s="618"/>
      <c r="BD198" s="556"/>
      <c r="BE198" s="556"/>
      <c r="BF198" s="556"/>
      <c r="BG198" s="598"/>
      <c r="BH198" s="595"/>
      <c r="BI198" s="595"/>
      <c r="BJ198" s="595"/>
      <c r="BK198" s="595"/>
      <c r="BL198" s="595"/>
      <c r="BM198" s="746"/>
      <c r="BN198" s="590"/>
      <c r="BO198" s="590"/>
      <c r="BP198" s="590"/>
      <c r="BQ198" s="590"/>
      <c r="BR198" s="590"/>
      <c r="BS198" s="590"/>
      <c r="BT198" s="764"/>
      <c r="BU198" s="764"/>
      <c r="BV198" s="764"/>
      <c r="BW198" s="764"/>
      <c r="BX198" s="764"/>
      <c r="BY198" s="651"/>
      <c r="BZ198" s="651"/>
      <c r="CA198" s="651"/>
      <c r="CB198" s="651"/>
      <c r="CC198" s="651"/>
      <c r="CD198" s="590"/>
      <c r="CE198" s="590"/>
      <c r="CF198" s="590"/>
      <c r="CG198" s="590"/>
      <c r="CH198" s="590"/>
      <c r="CI198" s="590"/>
      <c r="CJ198" s="590"/>
      <c r="CK198" s="590"/>
      <c r="CL198" s="590"/>
      <c r="CM198" s="590"/>
      <c r="CN198" s="590"/>
      <c r="CO198" s="590"/>
      <c r="CP198" s="590"/>
      <c r="CQ198" s="590"/>
      <c r="CR198" s="590"/>
      <c r="CS198" s="590"/>
      <c r="CT198" s="590"/>
      <c r="CU198" s="590"/>
      <c r="CV198" s="590"/>
      <c r="CW198" s="591"/>
      <c r="CX198" s="590"/>
      <c r="CY198" s="590"/>
      <c r="CZ198" s="590"/>
      <c r="DA198" s="590"/>
      <c r="DB198" s="590"/>
      <c r="DC198" s="590"/>
      <c r="DD198" s="590"/>
      <c r="DE198" s="590"/>
      <c r="DF198" s="590"/>
      <c r="DG198" s="590"/>
      <c r="DH198" s="590"/>
      <c r="DI198" s="590"/>
      <c r="DJ198" s="590"/>
      <c r="DK198" s="590"/>
      <c r="DL198" s="590"/>
      <c r="DM198" s="590"/>
      <c r="DN198" s="590"/>
      <c r="DO198" s="590"/>
      <c r="DP198" s="590"/>
      <c r="DQ198" s="590"/>
    </row>
    <row r="199" spans="1:218" ht="11.25" customHeight="1" x14ac:dyDescent="0.15">
      <c r="A199" s="588"/>
      <c r="B199" s="744"/>
      <c r="C199" s="581"/>
      <c r="D199" s="581"/>
      <c r="E199" s="581"/>
      <c r="F199" s="581" t="s">
        <v>157</v>
      </c>
      <c r="G199" s="571"/>
      <c r="H199" s="571"/>
      <c r="I199" s="571"/>
      <c r="J199" s="571"/>
      <c r="K199" s="790"/>
      <c r="L199" s="617"/>
      <c r="M199" s="790"/>
      <c r="N199" s="798"/>
      <c r="O199" s="546"/>
      <c r="P199" s="546"/>
      <c r="Q199" s="546"/>
      <c r="R199" s="546"/>
      <c r="S199" s="792"/>
      <c r="T199" s="792"/>
      <c r="U199" s="792"/>
      <c r="V199" s="792"/>
      <c r="W199" s="792"/>
      <c r="X199" s="792"/>
      <c r="Y199" s="792"/>
      <c r="Z199" s="792"/>
      <c r="AA199" s="792"/>
      <c r="AB199" s="792"/>
      <c r="AC199" s="792"/>
      <c r="AD199" s="792"/>
      <c r="AE199" s="792"/>
      <c r="AF199" s="792"/>
      <c r="AG199" s="792"/>
      <c r="AH199" s="792"/>
      <c r="AI199" s="792"/>
      <c r="AJ199" s="792"/>
      <c r="AK199" s="792"/>
      <c r="AL199" s="792"/>
      <c r="AM199" s="792"/>
      <c r="AN199" s="792"/>
      <c r="AO199" s="792"/>
      <c r="AP199" s="792"/>
      <c r="AQ199" s="792"/>
      <c r="AR199" s="792"/>
      <c r="AS199" s="682"/>
      <c r="AT199" s="682"/>
      <c r="AU199" s="682"/>
      <c r="AV199" s="682"/>
      <c r="AW199" s="682"/>
      <c r="AX199" s="682"/>
      <c r="AY199" s="682"/>
      <c r="AZ199" s="682"/>
      <c r="BA199" s="682"/>
      <c r="BB199" s="682"/>
      <c r="BC199" s="682"/>
      <c r="BD199" s="542"/>
      <c r="BE199" s="542"/>
      <c r="BF199" s="542"/>
      <c r="BG199" s="598"/>
      <c r="BH199" s="595"/>
      <c r="BI199" s="595"/>
      <c r="BJ199" s="595"/>
      <c r="BK199" s="595"/>
      <c r="BL199" s="595"/>
      <c r="BM199" s="746"/>
      <c r="BN199" s="590"/>
      <c r="BO199" s="590"/>
      <c r="BP199" s="590"/>
      <c r="BQ199" s="590"/>
      <c r="BR199" s="590"/>
      <c r="BS199" s="590"/>
      <c r="BT199" s="590"/>
      <c r="BU199" s="590"/>
      <c r="BV199" s="590"/>
      <c r="BW199" s="590"/>
      <c r="BX199" s="590"/>
      <c r="BY199" s="590"/>
      <c r="BZ199" s="590"/>
      <c r="CA199" s="590"/>
      <c r="CB199" s="590"/>
      <c r="CC199" s="590"/>
      <c r="CD199" s="590"/>
      <c r="CE199" s="590"/>
      <c r="CF199" s="590"/>
      <c r="CG199" s="590"/>
      <c r="CH199" s="590"/>
      <c r="CI199" s="627"/>
      <c r="CJ199" s="590"/>
      <c r="CK199" s="590"/>
      <c r="CL199" s="590"/>
      <c r="CM199" s="590"/>
      <c r="CN199" s="590"/>
      <c r="CO199" s="590"/>
      <c r="CP199" s="590"/>
      <c r="CQ199" s="590"/>
      <c r="CR199" s="590"/>
      <c r="CS199" s="590"/>
      <c r="CT199" s="590"/>
      <c r="CU199" s="590"/>
      <c r="CV199" s="590"/>
      <c r="CW199" s="591"/>
      <c r="CX199" s="590"/>
      <c r="CY199" s="590"/>
      <c r="CZ199" s="590"/>
      <c r="DA199" s="590"/>
      <c r="DB199" s="590"/>
      <c r="DC199" s="590"/>
      <c r="DD199" s="590"/>
      <c r="DE199" s="590"/>
      <c r="DF199" s="590"/>
      <c r="DG199" s="590"/>
      <c r="DH199" s="590"/>
      <c r="DI199" s="590"/>
      <c r="DJ199" s="590"/>
      <c r="DK199" s="590"/>
      <c r="DL199" s="590"/>
      <c r="DM199" s="590"/>
      <c r="DN199" s="590"/>
      <c r="DO199" s="590"/>
      <c r="DP199" s="590"/>
      <c r="DQ199" s="590"/>
    </row>
    <row r="200" spans="1:218" ht="12" customHeight="1" x14ac:dyDescent="0.15">
      <c r="A200" s="588"/>
      <c r="B200" s="744"/>
      <c r="C200" s="581"/>
      <c r="D200" s="552"/>
      <c r="E200" s="581"/>
      <c r="F200" s="541"/>
      <c r="G200" s="571" t="s">
        <v>465</v>
      </c>
      <c r="H200" s="546"/>
      <c r="I200" s="571"/>
      <c r="J200" s="571"/>
      <c r="K200" s="790"/>
      <c r="L200" s="617"/>
      <c r="M200" s="790"/>
      <c r="N200" s="685"/>
      <c r="O200" s="546"/>
      <c r="P200" s="546"/>
      <c r="Q200" s="546"/>
      <c r="R200" s="546"/>
      <c r="S200" s="1299"/>
      <c r="T200" s="1299"/>
      <c r="U200" s="1299"/>
      <c r="V200" s="1299"/>
      <c r="W200" s="1299"/>
      <c r="X200" s="792"/>
      <c r="Y200" s="1299"/>
      <c r="Z200" s="1299"/>
      <c r="AA200" s="1299"/>
      <c r="AB200" s="1299"/>
      <c r="AC200" s="1299"/>
      <c r="AD200" s="1299"/>
      <c r="AE200" s="1299"/>
      <c r="AF200" s="792"/>
      <c r="AG200" s="792"/>
      <c r="AH200" s="1299"/>
      <c r="AI200" s="1299"/>
      <c r="AJ200" s="1299"/>
      <c r="AK200" s="1299"/>
      <c r="AL200" s="1299"/>
      <c r="AM200" s="1299"/>
      <c r="AN200" s="792"/>
      <c r="AO200" s="1270">
        <f>S200+Y200+AH200</f>
        <v>0</v>
      </c>
      <c r="AP200" s="1270"/>
      <c r="AQ200" s="1270"/>
      <c r="AR200" s="1270"/>
      <c r="AS200" s="1270"/>
      <c r="AT200" s="794"/>
      <c r="AU200" s="794"/>
      <c r="AV200" s="794"/>
      <c r="AW200" s="794"/>
      <c r="AX200" s="618"/>
      <c r="AY200" s="682"/>
      <c r="AZ200" s="618"/>
      <c r="BA200" s="618"/>
      <c r="BB200" s="618"/>
      <c r="BC200" s="618"/>
      <c r="BD200" s="556"/>
      <c r="BE200" s="556"/>
      <c r="BF200" s="556"/>
      <c r="BG200" s="598"/>
      <c r="BH200" s="595"/>
      <c r="BI200" s="595"/>
      <c r="BJ200" s="595"/>
      <c r="BK200" s="595"/>
      <c r="BL200" s="595"/>
      <c r="BM200" s="746"/>
      <c r="BN200" s="590"/>
      <c r="BO200" s="590"/>
      <c r="BP200" s="590"/>
      <c r="BQ200" s="590"/>
      <c r="BR200" s="590"/>
      <c r="BS200" s="590"/>
      <c r="BT200" s="590"/>
      <c r="BU200" s="590"/>
      <c r="BV200" s="590"/>
      <c r="BW200" s="590"/>
      <c r="BX200" s="590"/>
      <c r="BY200" s="590"/>
      <c r="BZ200" s="590"/>
      <c r="CA200" s="590"/>
      <c r="CB200" s="590"/>
      <c r="CC200" s="590"/>
      <c r="CD200" s="590"/>
      <c r="CE200" s="590"/>
      <c r="CF200" s="590"/>
      <c r="CG200" s="590"/>
      <c r="CH200" s="590"/>
      <c r="CI200" s="627"/>
      <c r="CJ200" s="590"/>
      <c r="CK200" s="590"/>
      <c r="CL200" s="590"/>
      <c r="CM200" s="590"/>
      <c r="CN200" s="590"/>
      <c r="CO200" s="590"/>
      <c r="CP200" s="590"/>
      <c r="CQ200" s="590"/>
      <c r="CR200" s="590"/>
      <c r="CS200" s="590"/>
      <c r="CT200" s="590"/>
      <c r="CU200" s="590"/>
      <c r="CV200" s="590"/>
      <c r="CW200" s="591"/>
      <c r="CX200" s="590"/>
      <c r="CY200" s="590"/>
      <c r="CZ200" s="590"/>
      <c r="DA200" s="590"/>
      <c r="DB200" s="590"/>
      <c r="DC200" s="590"/>
      <c r="DD200" s="590"/>
      <c r="DE200" s="590"/>
      <c r="DF200" s="590"/>
      <c r="DG200" s="590"/>
      <c r="DH200" s="590"/>
      <c r="DI200" s="590"/>
      <c r="DJ200" s="590"/>
      <c r="DK200" s="590"/>
      <c r="DL200" s="590"/>
      <c r="DM200" s="590"/>
      <c r="DN200" s="590"/>
      <c r="DO200" s="590"/>
      <c r="DP200" s="590"/>
      <c r="DQ200" s="590"/>
    </row>
    <row r="201" spans="1:218" s="590" customFormat="1" ht="12" customHeight="1" x14ac:dyDescent="0.15">
      <c r="A201" s="588"/>
      <c r="B201" s="744"/>
      <c r="C201" s="581"/>
      <c r="D201" s="581"/>
      <c r="E201" s="581"/>
      <c r="F201" s="581"/>
      <c r="G201" s="571"/>
      <c r="H201" s="571"/>
      <c r="I201" s="571"/>
      <c r="J201" s="571"/>
      <c r="K201" s="790"/>
      <c r="L201" s="617"/>
      <c r="M201" s="790"/>
      <c r="N201" s="798"/>
      <c r="O201" s="546"/>
      <c r="P201" s="546"/>
      <c r="Q201" s="546"/>
      <c r="R201" s="546"/>
      <c r="S201" s="792"/>
      <c r="T201" s="792"/>
      <c r="U201" s="792"/>
      <c r="V201" s="792"/>
      <c r="W201" s="792"/>
      <c r="X201" s="792"/>
      <c r="Y201" s="792"/>
      <c r="Z201" s="792"/>
      <c r="AA201" s="792"/>
      <c r="AB201" s="792"/>
      <c r="AC201" s="792"/>
      <c r="AD201" s="792"/>
      <c r="AE201" s="792"/>
      <c r="AF201" s="792"/>
      <c r="AG201" s="792"/>
      <c r="AH201" s="792"/>
      <c r="AI201" s="792"/>
      <c r="AJ201" s="792"/>
      <c r="AK201" s="792"/>
      <c r="AL201" s="792"/>
      <c r="AM201" s="792"/>
      <c r="AN201" s="792"/>
      <c r="AO201" s="792"/>
      <c r="AP201" s="792"/>
      <c r="AQ201" s="792"/>
      <c r="AR201" s="792"/>
      <c r="AS201" s="682"/>
      <c r="AT201" s="682"/>
      <c r="AU201" s="682"/>
      <c r="AV201" s="682"/>
      <c r="AW201" s="682"/>
      <c r="AX201" s="682"/>
      <c r="AY201" s="682"/>
      <c r="AZ201" s="682"/>
      <c r="BA201" s="682"/>
      <c r="BB201" s="682"/>
      <c r="BC201" s="682"/>
      <c r="BD201" s="542"/>
      <c r="BE201" s="542"/>
      <c r="BF201" s="542"/>
      <c r="BG201" s="598"/>
      <c r="BH201" s="595"/>
      <c r="BI201" s="595"/>
      <c r="BJ201" s="595"/>
      <c r="BK201" s="595"/>
      <c r="BL201" s="595"/>
      <c r="BM201" s="746"/>
      <c r="CI201" s="627"/>
      <c r="CW201" s="591"/>
      <c r="EJ201" s="651"/>
      <c r="EK201" s="651"/>
      <c r="EL201" s="651"/>
      <c r="EM201" s="651"/>
      <c r="EN201" s="651"/>
      <c r="EO201" s="651"/>
      <c r="EP201" s="651"/>
      <c r="EQ201" s="651"/>
      <c r="ER201" s="651"/>
      <c r="ES201" s="651"/>
      <c r="ET201" s="651"/>
      <c r="EU201" s="651"/>
      <c r="EV201" s="651"/>
      <c r="EW201" s="651"/>
      <c r="EX201" s="651"/>
      <c r="EY201" s="651"/>
      <c r="EZ201" s="651"/>
      <c r="FA201" s="651"/>
      <c r="FB201" s="651"/>
      <c r="FC201" s="651"/>
      <c r="FD201" s="651"/>
      <c r="FE201" s="651"/>
      <c r="FF201" s="651"/>
      <c r="FG201" s="651"/>
      <c r="FH201" s="651"/>
      <c r="FI201" s="651"/>
      <c r="FJ201" s="651"/>
      <c r="FK201" s="651"/>
      <c r="FL201" s="651"/>
      <c r="FM201" s="651"/>
      <c r="FN201" s="651"/>
      <c r="FO201" s="651"/>
      <c r="FP201" s="651"/>
      <c r="FQ201" s="651"/>
      <c r="FR201" s="651"/>
      <c r="FS201" s="651"/>
      <c r="FT201" s="651"/>
      <c r="FU201" s="651"/>
      <c r="FV201" s="651"/>
      <c r="FW201" s="651"/>
      <c r="FX201" s="651"/>
      <c r="FY201" s="651"/>
      <c r="FZ201" s="651"/>
      <c r="GA201" s="651"/>
      <c r="GB201" s="651"/>
      <c r="GC201" s="651"/>
      <c r="GD201" s="651"/>
      <c r="GE201" s="651"/>
      <c r="GF201" s="651"/>
      <c r="GG201" s="651"/>
      <c r="GH201" s="651"/>
      <c r="GI201" s="651"/>
      <c r="GJ201" s="651"/>
      <c r="GK201" s="651"/>
      <c r="GL201" s="651"/>
      <c r="GM201" s="651"/>
      <c r="GN201" s="651"/>
      <c r="GO201" s="651"/>
      <c r="GP201" s="651"/>
      <c r="GQ201" s="651"/>
      <c r="GR201" s="651"/>
      <c r="GS201" s="651"/>
      <c r="GT201" s="651"/>
      <c r="GU201" s="651"/>
      <c r="GV201" s="651"/>
      <c r="GW201" s="651"/>
      <c r="GX201" s="651"/>
      <c r="GY201" s="651"/>
      <c r="GZ201" s="651"/>
      <c r="HA201" s="651"/>
      <c r="HB201" s="651"/>
      <c r="HC201" s="651"/>
      <c r="HD201" s="651"/>
      <c r="HE201" s="651"/>
      <c r="HF201" s="651"/>
      <c r="HG201" s="651"/>
      <c r="HH201" s="651"/>
      <c r="HI201" s="651"/>
      <c r="HJ201" s="651"/>
    </row>
    <row r="202" spans="1:218" ht="12" customHeight="1" x14ac:dyDescent="0.15">
      <c r="A202" s="588"/>
      <c r="B202" s="744"/>
      <c r="C202" s="581"/>
      <c r="D202" s="581"/>
      <c r="E202" s="581"/>
      <c r="F202" s="541"/>
      <c r="G202" s="571" t="s">
        <v>158</v>
      </c>
      <c r="H202" s="546"/>
      <c r="I202" s="571"/>
      <c r="J202" s="571"/>
      <c r="K202" s="790"/>
      <c r="L202" s="617"/>
      <c r="M202" s="790"/>
      <c r="N202" s="685"/>
      <c r="O202" s="546"/>
      <c r="P202" s="546"/>
      <c r="Q202" s="546"/>
      <c r="R202" s="546"/>
      <c r="S202" s="1299"/>
      <c r="T202" s="1299"/>
      <c r="U202" s="1299"/>
      <c r="V202" s="1299"/>
      <c r="W202" s="1299"/>
      <c r="X202" s="792"/>
      <c r="Y202" s="1299"/>
      <c r="Z202" s="1299"/>
      <c r="AA202" s="1299"/>
      <c r="AB202" s="1299"/>
      <c r="AC202" s="1299"/>
      <c r="AD202" s="1299"/>
      <c r="AE202" s="1299"/>
      <c r="AF202" s="792"/>
      <c r="AG202" s="792"/>
      <c r="AH202" s="1299"/>
      <c r="AI202" s="1299"/>
      <c r="AJ202" s="1299"/>
      <c r="AK202" s="1299"/>
      <c r="AL202" s="1299"/>
      <c r="AM202" s="1299"/>
      <c r="AN202" s="792"/>
      <c r="AO202" s="1270">
        <f>S202+Y202+AH202</f>
        <v>0</v>
      </c>
      <c r="AP202" s="1270"/>
      <c r="AQ202" s="1270"/>
      <c r="AR202" s="1270"/>
      <c r="AS202" s="1270"/>
      <c r="AT202" s="794"/>
      <c r="AU202" s="794"/>
      <c r="AV202" s="794"/>
      <c r="AW202" s="794"/>
      <c r="AX202" s="618"/>
      <c r="AY202" s="682"/>
      <c r="AZ202" s="618"/>
      <c r="BA202" s="618"/>
      <c r="BB202" s="618"/>
      <c r="BC202" s="618"/>
      <c r="BD202" s="556"/>
      <c r="BE202" s="556"/>
      <c r="BF202" s="556"/>
      <c r="BG202" s="598"/>
      <c r="BH202" s="595"/>
      <c r="BI202" s="595"/>
      <c r="BJ202" s="595"/>
      <c r="BK202" s="595"/>
      <c r="BL202" s="595"/>
      <c r="BM202" s="746"/>
      <c r="BN202" s="590"/>
      <c r="BO202" s="590"/>
      <c r="BP202" s="590"/>
      <c r="BQ202" s="590"/>
      <c r="BR202" s="590"/>
      <c r="BS202" s="590"/>
      <c r="BT202" s="590"/>
      <c r="BU202" s="590"/>
      <c r="BV202" s="590"/>
      <c r="BW202" s="590"/>
      <c r="BX202" s="590"/>
      <c r="BY202" s="590"/>
      <c r="BZ202" s="590"/>
      <c r="CA202" s="590"/>
      <c r="CB202" s="590"/>
      <c r="CC202" s="590"/>
      <c r="CD202" s="590"/>
      <c r="CE202" s="590"/>
      <c r="CF202" s="590"/>
      <c r="CG202" s="590"/>
      <c r="CH202" s="590"/>
      <c r="CI202" s="627"/>
      <c r="CJ202" s="590"/>
      <c r="CK202" s="590"/>
      <c r="CL202" s="590"/>
      <c r="CM202" s="590"/>
      <c r="CN202" s="590"/>
      <c r="CO202" s="590"/>
      <c r="CP202" s="590"/>
      <c r="CQ202" s="590"/>
      <c r="CR202" s="590"/>
      <c r="CS202" s="590"/>
      <c r="CT202" s="590"/>
      <c r="CU202" s="590"/>
      <c r="CV202" s="590"/>
      <c r="CW202" s="591"/>
      <c r="CX202" s="590"/>
      <c r="CY202" s="590"/>
      <c r="CZ202" s="590"/>
      <c r="DA202" s="590"/>
      <c r="DB202" s="590"/>
      <c r="DC202" s="590"/>
      <c r="DD202" s="590"/>
      <c r="DE202" s="590"/>
      <c r="DF202" s="590"/>
      <c r="DG202" s="590"/>
      <c r="DH202" s="590"/>
      <c r="DI202" s="590"/>
      <c r="DJ202" s="590"/>
      <c r="DK202" s="590"/>
      <c r="DL202" s="590"/>
      <c r="DM202" s="590"/>
      <c r="DN202" s="590"/>
      <c r="DO202" s="590"/>
      <c r="DP202" s="590"/>
      <c r="DQ202" s="590"/>
    </row>
    <row r="203" spans="1:218" ht="14" x14ac:dyDescent="0.15">
      <c r="A203" s="588"/>
      <c r="B203" s="744"/>
      <c r="C203" s="581"/>
      <c r="D203" s="581"/>
      <c r="E203" s="581"/>
      <c r="F203" s="581"/>
      <c r="G203" s="571"/>
      <c r="H203" s="571"/>
      <c r="I203" s="571"/>
      <c r="J203" s="571"/>
      <c r="K203" s="790"/>
      <c r="L203" s="617"/>
      <c r="M203" s="790"/>
      <c r="N203" s="792"/>
      <c r="O203" s="546"/>
      <c r="P203" s="546"/>
      <c r="Q203" s="546"/>
      <c r="R203" s="546"/>
      <c r="S203" s="798"/>
      <c r="T203" s="798"/>
      <c r="U203" s="792"/>
      <c r="V203" s="798"/>
      <c r="W203" s="798"/>
      <c r="X203" s="798"/>
      <c r="Y203" s="798"/>
      <c r="Z203" s="686"/>
      <c r="AA203" s="686"/>
      <c r="AB203" s="686"/>
      <c r="AC203" s="686"/>
      <c r="AD203" s="686"/>
      <c r="AE203" s="686"/>
      <c r="AF203" s="686"/>
      <c r="AG203" s="686"/>
      <c r="AH203" s="682"/>
      <c r="AI203" s="682"/>
      <c r="AJ203" s="682"/>
      <c r="AK203" s="682"/>
      <c r="AL203" s="682"/>
      <c r="AM203" s="682"/>
      <c r="AN203" s="682"/>
      <c r="AO203" s="682"/>
      <c r="AP203" s="682"/>
      <c r="AQ203" s="682"/>
      <c r="AR203" s="682"/>
      <c r="AS203" s="682"/>
      <c r="AT203" s="682"/>
      <c r="AU203" s="682"/>
      <c r="AV203" s="682"/>
      <c r="AW203" s="682"/>
      <c r="AX203" s="682"/>
      <c r="AY203" s="682"/>
      <c r="AZ203" s="682"/>
      <c r="BA203" s="682"/>
      <c r="BB203" s="682"/>
      <c r="BC203" s="682"/>
      <c r="BD203" s="542"/>
      <c r="BE203" s="542"/>
      <c r="BF203" s="542"/>
      <c r="BG203" s="598"/>
      <c r="BH203" s="595"/>
      <c r="BI203" s="550"/>
      <c r="BJ203" s="550"/>
      <c r="BK203" s="550"/>
      <c r="BL203" s="550"/>
      <c r="BM203" s="551"/>
      <c r="BN203" s="590"/>
      <c r="BO203" s="590"/>
      <c r="BP203" s="590"/>
      <c r="BQ203" s="590"/>
      <c r="BR203" s="590"/>
      <c r="BS203" s="590"/>
      <c r="BT203" s="590"/>
      <c r="BU203" s="590"/>
      <c r="BV203" s="590"/>
      <c r="BW203" s="590"/>
      <c r="BX203" s="590"/>
      <c r="BY203" s="590"/>
      <c r="BZ203" s="590"/>
      <c r="CA203" s="590"/>
      <c r="CB203" s="590"/>
      <c r="CC203" s="590"/>
      <c r="CD203" s="590"/>
      <c r="CE203" s="590"/>
      <c r="CF203" s="590"/>
      <c r="CG203" s="590"/>
      <c r="CH203" s="590"/>
      <c r="CI203" s="541"/>
      <c r="CJ203" s="590"/>
      <c r="CK203" s="590"/>
      <c r="CL203" s="590"/>
      <c r="CM203" s="590"/>
      <c r="CN203" s="590"/>
      <c r="CO203" s="590"/>
      <c r="CP203" s="590"/>
      <c r="CQ203" s="590"/>
      <c r="CR203" s="590"/>
      <c r="CS203" s="590"/>
      <c r="CT203" s="590"/>
      <c r="CU203" s="590"/>
      <c r="CV203" s="590"/>
      <c r="CW203" s="591"/>
      <c r="CX203" s="590"/>
      <c r="CY203" s="590"/>
      <c r="CZ203" s="590"/>
      <c r="DA203" s="590"/>
      <c r="DB203" s="590"/>
      <c r="DC203" s="590"/>
      <c r="DD203" s="590"/>
      <c r="DE203" s="590"/>
      <c r="DF203" s="590"/>
      <c r="DG203" s="590"/>
      <c r="DH203" s="590"/>
      <c r="DI203" s="590"/>
      <c r="DJ203" s="590"/>
      <c r="DK203" s="590"/>
      <c r="DL203" s="590"/>
      <c r="DM203" s="590"/>
      <c r="DN203" s="590"/>
      <c r="DO203" s="590"/>
      <c r="DP203" s="590"/>
      <c r="DQ203" s="590"/>
    </row>
    <row r="204" spans="1:218" ht="12" customHeight="1" x14ac:dyDescent="0.15">
      <c r="A204" s="588"/>
      <c r="B204" s="744"/>
      <c r="C204" s="581"/>
      <c r="D204" s="581" t="s">
        <v>159</v>
      </c>
      <c r="E204" s="581"/>
      <c r="F204" s="581"/>
      <c r="G204" s="571"/>
      <c r="H204" s="571"/>
      <c r="I204" s="571"/>
      <c r="J204" s="571"/>
      <c r="K204" s="790"/>
      <c r="L204" s="617"/>
      <c r="M204" s="790"/>
      <c r="N204" s="792"/>
      <c r="O204" s="546"/>
      <c r="P204" s="546"/>
      <c r="Q204" s="546"/>
      <c r="R204" s="546"/>
      <c r="S204" s="1270">
        <f>+S206+S208+S211</f>
        <v>0</v>
      </c>
      <c r="T204" s="1270"/>
      <c r="U204" s="1270"/>
      <c r="V204" s="1270"/>
      <c r="W204" s="1270"/>
      <c r="X204" s="685"/>
      <c r="Y204" s="1270">
        <f>+Y206+Y208+Y211</f>
        <v>0</v>
      </c>
      <c r="Z204" s="1270"/>
      <c r="AA204" s="1270"/>
      <c r="AB204" s="1270"/>
      <c r="AC204" s="1270"/>
      <c r="AD204" s="1270"/>
      <c r="AE204" s="1270"/>
      <c r="AF204" s="792"/>
      <c r="AG204" s="792"/>
      <c r="AH204" s="1270">
        <f>+AH206+AH208+AH211</f>
        <v>0</v>
      </c>
      <c r="AI204" s="1270"/>
      <c r="AJ204" s="1270"/>
      <c r="AK204" s="1270"/>
      <c r="AL204" s="1270"/>
      <c r="AM204" s="1270"/>
      <c r="AN204" s="618"/>
      <c r="AO204" s="1270">
        <f>S204+Y204+AH204</f>
        <v>0</v>
      </c>
      <c r="AP204" s="1270"/>
      <c r="AQ204" s="1270"/>
      <c r="AR204" s="1270"/>
      <c r="AS204" s="1270"/>
      <c r="AT204" s="794"/>
      <c r="AU204" s="794"/>
      <c r="AV204" s="794"/>
      <c r="AW204" s="794"/>
      <c r="AX204" s="682"/>
      <c r="AY204" s="682"/>
      <c r="AZ204" s="682"/>
      <c r="BA204" s="682"/>
      <c r="BB204" s="682"/>
      <c r="BC204" s="682"/>
      <c r="BD204" s="542"/>
      <c r="BE204" s="542"/>
      <c r="BF204" s="542"/>
      <c r="BG204" s="598"/>
      <c r="BH204" s="595"/>
      <c r="BI204" s="550"/>
      <c r="BJ204" s="550"/>
      <c r="BK204" s="550"/>
      <c r="BL204" s="550"/>
      <c r="BM204" s="551"/>
      <c r="BN204" s="590"/>
      <c r="BO204" s="590"/>
      <c r="BP204" s="590"/>
      <c r="BQ204" s="590"/>
      <c r="BR204" s="590"/>
      <c r="BS204" s="590"/>
      <c r="BT204" s="590"/>
      <c r="BU204" s="590"/>
      <c r="BV204" s="590"/>
      <c r="BW204" s="590"/>
      <c r="BX204" s="590"/>
      <c r="BY204" s="590"/>
      <c r="BZ204" s="590"/>
      <c r="CA204" s="590"/>
      <c r="CB204" s="590"/>
      <c r="CC204" s="590"/>
      <c r="CD204" s="590"/>
      <c r="CE204" s="590"/>
      <c r="CF204" s="590"/>
      <c r="CG204" s="590"/>
      <c r="CH204" s="590"/>
      <c r="CI204" s="627"/>
      <c r="CJ204" s="590"/>
      <c r="CK204" s="590"/>
      <c r="CL204" s="590"/>
      <c r="CM204" s="590"/>
      <c r="CN204" s="590"/>
      <c r="CO204" s="590"/>
      <c r="CP204" s="590"/>
      <c r="CQ204" s="590"/>
      <c r="CR204" s="590"/>
      <c r="CS204" s="590"/>
      <c r="CT204" s="590"/>
      <c r="CU204" s="590"/>
      <c r="CV204" s="590"/>
      <c r="CW204" s="591"/>
      <c r="CX204" s="590"/>
      <c r="CY204" s="590"/>
      <c r="CZ204" s="590"/>
      <c r="DA204" s="590"/>
      <c r="DB204" s="590"/>
      <c r="DC204" s="590"/>
      <c r="DD204" s="590"/>
      <c r="DE204" s="590"/>
      <c r="DF204" s="590"/>
      <c r="DG204" s="590"/>
      <c r="DH204" s="590"/>
      <c r="DI204" s="590"/>
      <c r="DJ204" s="590"/>
      <c r="DK204" s="590"/>
      <c r="DL204" s="590"/>
      <c r="DM204" s="590"/>
      <c r="DN204" s="590"/>
      <c r="DO204" s="590"/>
      <c r="DP204" s="590"/>
      <c r="DQ204" s="590"/>
    </row>
    <row r="205" spans="1:218" ht="12" customHeight="1" x14ac:dyDescent="0.15">
      <c r="A205" s="588"/>
      <c r="B205" s="744"/>
      <c r="C205" s="581"/>
      <c r="D205" s="581"/>
      <c r="E205" s="581"/>
      <c r="F205" s="581" t="s">
        <v>157</v>
      </c>
      <c r="G205" s="571"/>
      <c r="H205" s="571"/>
      <c r="I205" s="571"/>
      <c r="J205" s="571"/>
      <c r="K205" s="790"/>
      <c r="L205" s="617"/>
      <c r="M205" s="790"/>
      <c r="N205" s="792"/>
      <c r="O205" s="546"/>
      <c r="P205" s="546"/>
      <c r="Q205" s="546"/>
      <c r="R205" s="546"/>
      <c r="S205" s="798"/>
      <c r="T205" s="798"/>
      <c r="U205" s="792"/>
      <c r="V205" s="798"/>
      <c r="W205" s="798"/>
      <c r="X205" s="798"/>
      <c r="Y205" s="798"/>
      <c r="Z205" s="686"/>
      <c r="AA205" s="686"/>
      <c r="AB205" s="686"/>
      <c r="AC205" s="686"/>
      <c r="AD205" s="686"/>
      <c r="AE205" s="686"/>
      <c r="AF205" s="686"/>
      <c r="AG205" s="686"/>
      <c r="AH205" s="682"/>
      <c r="AI205" s="682"/>
      <c r="AJ205" s="682"/>
      <c r="AK205" s="682"/>
      <c r="AL205" s="682"/>
      <c r="AM205" s="682"/>
      <c r="AN205" s="682"/>
      <c r="AO205" s="682"/>
      <c r="AP205" s="682"/>
      <c r="AQ205" s="682"/>
      <c r="AR205" s="682"/>
      <c r="AS205" s="682"/>
      <c r="AT205" s="682"/>
      <c r="AU205" s="682"/>
      <c r="AV205" s="682"/>
      <c r="AW205" s="682"/>
      <c r="AX205" s="682"/>
      <c r="AY205" s="682"/>
      <c r="AZ205" s="682"/>
      <c r="BA205" s="682"/>
      <c r="BB205" s="682"/>
      <c r="BC205" s="682"/>
      <c r="BD205" s="542"/>
      <c r="BE205" s="542"/>
      <c r="BF205" s="542"/>
      <c r="BG205" s="598"/>
      <c r="BH205" s="550"/>
      <c r="BI205" s="550"/>
      <c r="BJ205" s="550"/>
      <c r="BK205" s="550"/>
      <c r="BL205" s="550"/>
      <c r="BM205" s="551"/>
      <c r="BN205" s="590"/>
      <c r="BO205" s="590"/>
      <c r="BP205" s="590"/>
      <c r="BQ205" s="590"/>
      <c r="BR205" s="590"/>
      <c r="BS205" s="590"/>
      <c r="BT205" s="590"/>
      <c r="BU205" s="590"/>
      <c r="BV205" s="590"/>
      <c r="BW205" s="590"/>
      <c r="BX205" s="590"/>
      <c r="BY205" s="590"/>
      <c r="BZ205" s="590"/>
      <c r="CA205" s="590"/>
      <c r="CB205" s="590"/>
      <c r="CC205" s="590"/>
      <c r="CD205" s="590"/>
      <c r="CE205" s="590"/>
      <c r="CF205" s="590"/>
      <c r="CG205" s="590"/>
      <c r="CH205" s="590"/>
      <c r="CI205" s="541"/>
      <c r="CJ205" s="590"/>
      <c r="CK205" s="590"/>
      <c r="CL205" s="590"/>
      <c r="CM205" s="590"/>
      <c r="CN205" s="590"/>
      <c r="CO205" s="590"/>
      <c r="CP205" s="590"/>
      <c r="CQ205" s="590"/>
      <c r="CR205" s="590"/>
      <c r="CS205" s="590"/>
      <c r="CT205" s="590"/>
      <c r="CU205" s="590"/>
      <c r="CV205" s="590"/>
      <c r="CW205" s="591"/>
      <c r="CX205" s="590"/>
      <c r="CY205" s="590"/>
      <c r="CZ205" s="590"/>
      <c r="DA205" s="590"/>
      <c r="DB205" s="590"/>
      <c r="DC205" s="590"/>
      <c r="DD205" s="590"/>
      <c r="DE205" s="590"/>
      <c r="DF205" s="590"/>
      <c r="DG205" s="590"/>
      <c r="DH205" s="590"/>
      <c r="DI205" s="590"/>
      <c r="DJ205" s="590"/>
      <c r="DK205" s="590"/>
      <c r="DL205" s="590"/>
      <c r="DM205" s="590"/>
      <c r="DN205" s="590"/>
      <c r="DO205" s="590"/>
      <c r="DP205" s="590"/>
      <c r="DQ205" s="590"/>
    </row>
    <row r="206" spans="1:218" ht="12" customHeight="1" x14ac:dyDescent="0.15">
      <c r="A206" s="590"/>
      <c r="B206" s="744"/>
      <c r="C206" s="581"/>
      <c r="D206" s="541"/>
      <c r="E206" s="550"/>
      <c r="F206" s="550"/>
      <c r="G206" s="618" t="s">
        <v>292</v>
      </c>
      <c r="H206" s="618"/>
      <c r="I206" s="618"/>
      <c r="J206" s="618"/>
      <c r="K206" s="618"/>
      <c r="L206" s="618"/>
      <c r="M206" s="618"/>
      <c r="N206" s="571"/>
      <c r="O206" s="546"/>
      <c r="P206" s="546"/>
      <c r="Q206" s="546"/>
      <c r="R206" s="546"/>
      <c r="S206" s="1299"/>
      <c r="T206" s="1299"/>
      <c r="U206" s="1299"/>
      <c r="V206" s="1299"/>
      <c r="W206" s="1299"/>
      <c r="X206" s="546"/>
      <c r="Y206" s="1299"/>
      <c r="Z206" s="1299"/>
      <c r="AA206" s="1299"/>
      <c r="AB206" s="1299"/>
      <c r="AC206" s="1299"/>
      <c r="AD206" s="1299"/>
      <c r="AE206" s="1299"/>
      <c r="AF206" s="546"/>
      <c r="AG206" s="546"/>
      <c r="AH206" s="1299"/>
      <c r="AI206" s="1299"/>
      <c r="AJ206" s="1299"/>
      <c r="AK206" s="1299"/>
      <c r="AL206" s="1299"/>
      <c r="AM206" s="1299"/>
      <c r="AN206" s="546"/>
      <c r="AO206" s="1270">
        <f>+S206+Y206+AH206</f>
        <v>0</v>
      </c>
      <c r="AP206" s="1270"/>
      <c r="AQ206" s="1270"/>
      <c r="AR206" s="1270"/>
      <c r="AS206" s="1270"/>
      <c r="AT206" s="801"/>
      <c r="AU206" s="801"/>
      <c r="AV206" s="801"/>
      <c r="AW206" s="801"/>
      <c r="AX206" s="618"/>
      <c r="AY206" s="682"/>
      <c r="AZ206" s="618"/>
      <c r="BA206" s="618"/>
      <c r="BB206" s="618"/>
      <c r="BC206" s="618"/>
      <c r="BD206" s="556"/>
      <c r="BE206" s="556"/>
      <c r="BF206" s="556"/>
      <c r="BG206" s="598"/>
      <c r="BH206" s="550"/>
      <c r="BI206" s="550"/>
      <c r="BJ206" s="550"/>
      <c r="BK206" s="550"/>
      <c r="BL206" s="550"/>
      <c r="BM206" s="551"/>
      <c r="BN206" s="590"/>
      <c r="BO206" s="590"/>
      <c r="BP206" s="590"/>
      <c r="BQ206" s="590"/>
      <c r="BR206" s="590"/>
      <c r="BS206" s="590"/>
      <c r="BT206" s="590"/>
      <c r="BU206" s="590"/>
      <c r="BV206" s="590"/>
      <c r="BW206" s="590"/>
      <c r="BX206" s="590"/>
      <c r="BY206" s="590"/>
      <c r="BZ206" s="590"/>
      <c r="CA206" s="590"/>
      <c r="CB206" s="590"/>
      <c r="CC206" s="590"/>
      <c r="CD206" s="590"/>
      <c r="CE206" s="590"/>
      <c r="CF206" s="590"/>
      <c r="CG206" s="590"/>
      <c r="CH206" s="590"/>
      <c r="CI206" s="541"/>
      <c r="CJ206" s="590"/>
      <c r="CK206" s="590"/>
      <c r="CL206" s="590"/>
      <c r="CM206" s="590"/>
      <c r="CN206" s="590"/>
      <c r="CO206" s="590"/>
      <c r="CP206" s="590"/>
      <c r="CQ206" s="590"/>
      <c r="CR206" s="590"/>
      <c r="CS206" s="590"/>
      <c r="CT206" s="590"/>
      <c r="CU206" s="590"/>
      <c r="CV206" s="590"/>
      <c r="CW206" s="591"/>
      <c r="CX206" s="590"/>
      <c r="CY206" s="590"/>
      <c r="CZ206" s="590"/>
      <c r="DA206" s="590"/>
      <c r="DB206" s="590"/>
      <c r="DC206" s="590"/>
      <c r="DD206" s="590"/>
      <c r="DE206" s="590"/>
      <c r="DF206" s="590"/>
      <c r="DG206" s="590"/>
      <c r="DH206" s="590"/>
      <c r="DI206" s="590"/>
      <c r="DJ206" s="590"/>
      <c r="DK206" s="590"/>
      <c r="DL206" s="590"/>
      <c r="DM206" s="590"/>
      <c r="DN206" s="590"/>
      <c r="DO206" s="590"/>
      <c r="DP206" s="590"/>
      <c r="DQ206" s="590"/>
    </row>
    <row r="207" spans="1:218" ht="14" x14ac:dyDescent="0.15">
      <c r="A207" s="588"/>
      <c r="B207" s="744"/>
      <c r="C207" s="581"/>
      <c r="D207" s="541"/>
      <c r="E207" s="550"/>
      <c r="F207" s="550"/>
      <c r="G207" s="618"/>
      <c r="H207" s="618"/>
      <c r="I207" s="618"/>
      <c r="J207" s="618"/>
      <c r="K207" s="618"/>
      <c r="L207" s="618"/>
      <c r="M207" s="618"/>
      <c r="N207" s="571"/>
      <c r="O207" s="546"/>
      <c r="P207" s="546"/>
      <c r="Q207" s="546"/>
      <c r="R207" s="546"/>
      <c r="S207" s="802"/>
      <c r="T207" s="802"/>
      <c r="U207" s="802"/>
      <c r="V207" s="802"/>
      <c r="W207" s="802"/>
      <c r="X207" s="546"/>
      <c r="Y207" s="802"/>
      <c r="Z207" s="802"/>
      <c r="AA207" s="803"/>
      <c r="AB207" s="802"/>
      <c r="AC207" s="546"/>
      <c r="AD207" s="546"/>
      <c r="AE207" s="546"/>
      <c r="AF207" s="546"/>
      <c r="AG207" s="546"/>
      <c r="AH207" s="802"/>
      <c r="AI207" s="802"/>
      <c r="AJ207" s="802"/>
      <c r="AK207" s="802"/>
      <c r="AL207" s="546"/>
      <c r="AM207" s="546"/>
      <c r="AN207" s="546"/>
      <c r="AO207" s="802"/>
      <c r="AP207" s="802"/>
      <c r="AQ207" s="802"/>
      <c r="AR207" s="802"/>
      <c r="AS207" s="801"/>
      <c r="AT207" s="801"/>
      <c r="AU207" s="801"/>
      <c r="AV207" s="801"/>
      <c r="AW207" s="801"/>
      <c r="AX207" s="618"/>
      <c r="AY207" s="682"/>
      <c r="AZ207" s="618"/>
      <c r="BA207" s="618"/>
      <c r="BB207" s="618"/>
      <c r="BC207" s="618"/>
      <c r="BD207" s="556"/>
      <c r="BE207" s="556"/>
      <c r="BF207" s="556"/>
      <c r="BG207" s="598"/>
      <c r="BH207" s="550"/>
      <c r="BI207" s="550"/>
      <c r="BJ207" s="550"/>
      <c r="BK207" s="550"/>
      <c r="BL207" s="550"/>
      <c r="BM207" s="551"/>
      <c r="BN207" s="590"/>
      <c r="BO207" s="590"/>
      <c r="BP207" s="590"/>
      <c r="BQ207" s="590"/>
      <c r="BR207" s="590"/>
      <c r="BS207" s="590"/>
      <c r="BT207" s="590"/>
      <c r="BU207" s="590"/>
      <c r="BV207" s="590"/>
      <c r="BW207" s="590"/>
      <c r="BX207" s="590"/>
      <c r="BY207" s="590"/>
      <c r="BZ207" s="590"/>
      <c r="CA207" s="590"/>
      <c r="CB207" s="590"/>
      <c r="CC207" s="590"/>
      <c r="CD207" s="590"/>
      <c r="CE207" s="590"/>
      <c r="CF207" s="590"/>
      <c r="CG207" s="590"/>
      <c r="CH207" s="590"/>
      <c r="CI207" s="627"/>
      <c r="CJ207" s="590"/>
      <c r="CK207" s="590"/>
      <c r="CL207" s="590"/>
      <c r="CM207" s="590"/>
      <c r="CN207" s="590"/>
      <c r="CO207" s="590"/>
      <c r="CP207" s="590"/>
      <c r="CQ207" s="590"/>
      <c r="CR207" s="590"/>
      <c r="CS207" s="590"/>
      <c r="CT207" s="590"/>
      <c r="CU207" s="590"/>
      <c r="CV207" s="590"/>
      <c r="CW207" s="591"/>
      <c r="CX207" s="590"/>
      <c r="CY207" s="590"/>
      <c r="CZ207" s="590"/>
      <c r="DA207" s="590"/>
      <c r="DB207" s="590"/>
      <c r="DC207" s="590"/>
      <c r="DD207" s="590"/>
      <c r="DE207" s="590"/>
      <c r="DF207" s="590"/>
      <c r="DG207" s="590"/>
      <c r="DH207" s="590"/>
      <c r="DI207" s="590"/>
      <c r="DJ207" s="590"/>
      <c r="DK207" s="590"/>
      <c r="DL207" s="590"/>
      <c r="DM207" s="590"/>
      <c r="DN207" s="590"/>
      <c r="DO207" s="590"/>
      <c r="DP207" s="590"/>
      <c r="DQ207" s="590"/>
    </row>
    <row r="208" spans="1:218" s="807" customFormat="1" ht="14" x14ac:dyDescent="0.15">
      <c r="A208" s="588"/>
      <c r="B208" s="744"/>
      <c r="C208" s="581"/>
      <c r="D208" s="541"/>
      <c r="E208" s="550"/>
      <c r="F208" s="550"/>
      <c r="G208" s="618" t="s">
        <v>290</v>
      </c>
      <c r="H208" s="618"/>
      <c r="I208" s="618"/>
      <c r="J208" s="618"/>
      <c r="K208" s="618"/>
      <c r="L208" s="618"/>
      <c r="M208" s="618"/>
      <c r="N208" s="571"/>
      <c r="O208" s="546"/>
      <c r="P208" s="546"/>
      <c r="Q208" s="546"/>
      <c r="R208" s="546"/>
      <c r="S208" s="1299"/>
      <c r="T208" s="1299"/>
      <c r="U208" s="1299"/>
      <c r="V208" s="1299"/>
      <c r="W208" s="1299"/>
      <c r="X208" s="546"/>
      <c r="Y208" s="1299"/>
      <c r="Z208" s="1299"/>
      <c r="AA208" s="1299"/>
      <c r="AB208" s="1299"/>
      <c r="AC208" s="1299"/>
      <c r="AD208" s="1299"/>
      <c r="AE208" s="1299"/>
      <c r="AF208" s="546"/>
      <c r="AG208" s="546"/>
      <c r="AH208" s="1299"/>
      <c r="AI208" s="1299"/>
      <c r="AJ208" s="1299"/>
      <c r="AK208" s="1299"/>
      <c r="AL208" s="1299"/>
      <c r="AM208" s="1299"/>
      <c r="AN208" s="546"/>
      <c r="AO208" s="1270">
        <f>+S208+Y208+AH208</f>
        <v>0</v>
      </c>
      <c r="AP208" s="1270"/>
      <c r="AQ208" s="1270"/>
      <c r="AR208" s="1270"/>
      <c r="AS208" s="1270"/>
      <c r="AT208" s="801"/>
      <c r="AU208" s="801"/>
      <c r="AV208" s="801"/>
      <c r="AW208" s="801"/>
      <c r="AX208" s="618"/>
      <c r="AY208" s="682"/>
      <c r="AZ208" s="618"/>
      <c r="BA208" s="618"/>
      <c r="BB208" s="618"/>
      <c r="BC208" s="618"/>
      <c r="BD208" s="556"/>
      <c r="BE208" s="556"/>
      <c r="BF208" s="556"/>
      <c r="BG208" s="598"/>
      <c r="BH208" s="550"/>
      <c r="BI208" s="550"/>
      <c r="BJ208" s="550"/>
      <c r="BK208" s="550"/>
      <c r="BL208" s="550"/>
      <c r="BM208" s="551"/>
      <c r="BN208" s="805"/>
      <c r="BO208" s="805"/>
      <c r="BP208" s="805"/>
      <c r="BQ208" s="805"/>
      <c r="BR208" s="805"/>
      <c r="BS208" s="805"/>
      <c r="BT208" s="805"/>
      <c r="BU208" s="805"/>
      <c r="BV208" s="805"/>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6"/>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EJ208" s="808"/>
      <c r="EK208" s="808"/>
      <c r="EL208" s="808"/>
      <c r="EM208" s="808"/>
      <c r="EN208" s="808"/>
      <c r="EO208" s="808"/>
      <c r="EP208" s="808"/>
      <c r="EQ208" s="808"/>
      <c r="ER208" s="808"/>
      <c r="ES208" s="808"/>
      <c r="ET208" s="808"/>
      <c r="EU208" s="808"/>
      <c r="EV208" s="808"/>
      <c r="EW208" s="808"/>
      <c r="EX208" s="808"/>
      <c r="EY208" s="808"/>
      <c r="EZ208" s="808"/>
      <c r="FA208" s="808"/>
      <c r="FB208" s="808"/>
      <c r="FC208" s="808"/>
      <c r="FD208" s="808"/>
      <c r="FE208" s="808"/>
      <c r="FF208" s="808"/>
      <c r="FG208" s="808"/>
      <c r="FH208" s="808"/>
      <c r="FI208" s="808"/>
      <c r="FJ208" s="808"/>
      <c r="FK208" s="808"/>
      <c r="FL208" s="808"/>
      <c r="FM208" s="808"/>
      <c r="FN208" s="808"/>
      <c r="FO208" s="808"/>
      <c r="FP208" s="808"/>
      <c r="FQ208" s="808"/>
      <c r="FR208" s="808"/>
      <c r="FS208" s="808"/>
      <c r="FT208" s="808"/>
      <c r="FU208" s="808"/>
      <c r="FV208" s="808"/>
      <c r="FW208" s="808"/>
      <c r="FX208" s="808"/>
      <c r="FY208" s="808"/>
      <c r="FZ208" s="808"/>
      <c r="GA208" s="808"/>
      <c r="GB208" s="808"/>
      <c r="GC208" s="808"/>
      <c r="GD208" s="808"/>
      <c r="GE208" s="808"/>
      <c r="GF208" s="808"/>
      <c r="GG208" s="808"/>
      <c r="GH208" s="808"/>
      <c r="GI208" s="808"/>
      <c r="GJ208" s="808"/>
      <c r="GK208" s="808"/>
      <c r="GL208" s="808"/>
      <c r="GM208" s="808"/>
      <c r="GN208" s="808"/>
      <c r="GO208" s="808"/>
      <c r="GP208" s="808"/>
      <c r="GQ208" s="808"/>
      <c r="GR208" s="808"/>
      <c r="GS208" s="808"/>
      <c r="GT208" s="808"/>
      <c r="GU208" s="808"/>
      <c r="GV208" s="808"/>
      <c r="GW208" s="808"/>
      <c r="GX208" s="808"/>
      <c r="GY208" s="808"/>
      <c r="GZ208" s="808"/>
      <c r="HA208" s="808"/>
      <c r="HB208" s="808"/>
      <c r="HC208" s="808"/>
      <c r="HD208" s="808"/>
      <c r="HE208" s="808"/>
      <c r="HF208" s="808"/>
      <c r="HG208" s="808"/>
      <c r="HH208" s="808"/>
      <c r="HI208" s="808"/>
      <c r="HJ208" s="808"/>
    </row>
    <row r="209" spans="1:218" s="807" customFormat="1" ht="15.75" customHeight="1" x14ac:dyDescent="0.15">
      <c r="A209" s="588"/>
      <c r="B209" s="744"/>
      <c r="C209" s="581"/>
      <c r="D209" s="541"/>
      <c r="E209" s="550"/>
      <c r="F209" s="550"/>
      <c r="G209" s="618"/>
      <c r="H209" s="618"/>
      <c r="I209" s="618"/>
      <c r="J209" s="618"/>
      <c r="K209" s="618"/>
      <c r="L209" s="618"/>
      <c r="M209" s="618"/>
      <c r="N209" s="571"/>
      <c r="O209" s="546"/>
      <c r="P209" s="546"/>
      <c r="Q209" s="546"/>
      <c r="R209" s="546"/>
      <c r="S209" s="802"/>
      <c r="T209" s="802"/>
      <c r="U209" s="802"/>
      <c r="V209" s="802"/>
      <c r="W209" s="802"/>
      <c r="X209" s="546"/>
      <c r="Y209" s="802"/>
      <c r="Z209" s="802"/>
      <c r="AA209" s="802"/>
      <c r="AB209" s="802"/>
      <c r="AC209" s="546"/>
      <c r="AD209" s="546"/>
      <c r="AE209" s="546"/>
      <c r="AF209" s="546"/>
      <c r="AG209" s="546"/>
      <c r="AH209" s="802"/>
      <c r="AI209" s="802"/>
      <c r="AJ209" s="802"/>
      <c r="AK209" s="802"/>
      <c r="AL209" s="546"/>
      <c r="AM209" s="546"/>
      <c r="AN209" s="546"/>
      <c r="AO209" s="802"/>
      <c r="AP209" s="802"/>
      <c r="AQ209" s="802"/>
      <c r="AR209" s="802"/>
      <c r="AS209" s="801"/>
      <c r="AT209" s="801"/>
      <c r="AU209" s="801"/>
      <c r="AV209" s="801"/>
      <c r="AW209" s="801"/>
      <c r="AX209" s="618"/>
      <c r="AY209" s="682"/>
      <c r="AZ209" s="618"/>
      <c r="BA209" s="618"/>
      <c r="BB209" s="618"/>
      <c r="BC209" s="618"/>
      <c r="BD209" s="556"/>
      <c r="BE209" s="556"/>
      <c r="BF209" s="556"/>
      <c r="BG209" s="598"/>
      <c r="BH209" s="550"/>
      <c r="BI209" s="550"/>
      <c r="BJ209" s="550"/>
      <c r="BK209" s="550"/>
      <c r="BL209" s="550"/>
      <c r="BM209" s="551"/>
      <c r="BN209" s="805"/>
      <c r="BO209" s="805"/>
      <c r="BP209" s="805"/>
      <c r="BQ209" s="805"/>
      <c r="BR209" s="805"/>
      <c r="BS209" s="805"/>
      <c r="BT209" s="805"/>
      <c r="BU209" s="805"/>
      <c r="BV209" s="805"/>
      <c r="BW209" s="805"/>
      <c r="BX209" s="805"/>
      <c r="BY209" s="805"/>
      <c r="BZ209" s="805"/>
      <c r="CA209" s="805"/>
      <c r="CB209" s="805"/>
      <c r="CC209" s="805"/>
      <c r="CD209" s="805"/>
      <c r="CE209" s="805"/>
      <c r="CF209" s="805"/>
      <c r="CG209" s="805"/>
      <c r="CH209" s="805"/>
      <c r="CI209" s="805"/>
      <c r="CJ209" s="805"/>
      <c r="CK209" s="805"/>
      <c r="CL209" s="805"/>
      <c r="CM209" s="805"/>
      <c r="CN209" s="805"/>
      <c r="CO209" s="805"/>
      <c r="CP209" s="805"/>
      <c r="CQ209" s="805"/>
      <c r="CR209" s="805"/>
      <c r="CS209" s="805"/>
      <c r="CT209" s="805"/>
      <c r="CU209" s="805"/>
      <c r="CV209" s="805"/>
      <c r="CW209" s="806"/>
      <c r="CX209" s="805"/>
      <c r="CY209" s="805"/>
      <c r="CZ209" s="805"/>
      <c r="DA209" s="805"/>
      <c r="DB209" s="805"/>
      <c r="DC209" s="805"/>
      <c r="DD209" s="805"/>
      <c r="DE209" s="805"/>
      <c r="DF209" s="805"/>
      <c r="DG209" s="805"/>
      <c r="DH209" s="805"/>
      <c r="DI209" s="805"/>
      <c r="DJ209" s="805"/>
      <c r="DK209" s="805"/>
      <c r="DL209" s="805"/>
      <c r="DM209" s="805"/>
      <c r="DN209" s="805"/>
      <c r="DO209" s="805"/>
      <c r="DP209" s="805"/>
      <c r="DQ209" s="805"/>
      <c r="EJ209" s="808"/>
      <c r="EK209" s="808"/>
      <c r="EL209" s="808"/>
      <c r="EM209" s="808"/>
      <c r="EN209" s="808"/>
      <c r="EO209" s="808"/>
      <c r="EP209" s="808"/>
      <c r="EQ209" s="808"/>
      <c r="ER209" s="808"/>
      <c r="ES209" s="808"/>
      <c r="ET209" s="808"/>
      <c r="EU209" s="808"/>
      <c r="EV209" s="808"/>
      <c r="EW209" s="808"/>
      <c r="EX209" s="808"/>
      <c r="EY209" s="808"/>
      <c r="EZ209" s="808"/>
      <c r="FA209" s="808"/>
      <c r="FB209" s="808"/>
      <c r="FC209" s="808"/>
      <c r="FD209" s="808"/>
      <c r="FE209" s="808"/>
      <c r="FF209" s="808"/>
      <c r="FG209" s="808"/>
      <c r="FH209" s="808"/>
      <c r="FI209" s="808"/>
      <c r="FJ209" s="808"/>
      <c r="FK209" s="808"/>
      <c r="FL209" s="808"/>
      <c r="FM209" s="808"/>
      <c r="FN209" s="808"/>
      <c r="FO209" s="808"/>
      <c r="FP209" s="808"/>
      <c r="FQ209" s="808"/>
      <c r="FR209" s="808"/>
      <c r="FS209" s="808"/>
      <c r="FT209" s="808"/>
      <c r="FU209" s="808"/>
      <c r="FV209" s="808"/>
      <c r="FW209" s="808"/>
      <c r="FX209" s="808"/>
      <c r="FY209" s="808"/>
      <c r="FZ209" s="808"/>
      <c r="GA209" s="808"/>
      <c r="GB209" s="808"/>
      <c r="GC209" s="808"/>
      <c r="GD209" s="808"/>
      <c r="GE209" s="808"/>
      <c r="GF209" s="808"/>
      <c r="GG209" s="808"/>
      <c r="GH209" s="808"/>
      <c r="GI209" s="808"/>
      <c r="GJ209" s="808"/>
      <c r="GK209" s="808"/>
      <c r="GL209" s="808"/>
      <c r="GM209" s="808"/>
      <c r="GN209" s="808"/>
      <c r="GO209" s="808"/>
      <c r="GP209" s="808"/>
      <c r="GQ209" s="808"/>
      <c r="GR209" s="808"/>
      <c r="GS209" s="808"/>
      <c r="GT209" s="808"/>
      <c r="GU209" s="808"/>
      <c r="GV209" s="808"/>
      <c r="GW209" s="808"/>
      <c r="GX209" s="808"/>
      <c r="GY209" s="808"/>
      <c r="GZ209" s="808"/>
      <c r="HA209" s="808"/>
      <c r="HB209" s="808"/>
      <c r="HC209" s="808"/>
      <c r="HD209" s="808"/>
      <c r="HE209" s="808"/>
      <c r="HF209" s="808"/>
      <c r="HG209" s="808"/>
      <c r="HH209" s="808"/>
      <c r="HI209" s="808"/>
      <c r="HJ209" s="808"/>
    </row>
    <row r="210" spans="1:218" s="807" customFormat="1" ht="15.75" customHeight="1" x14ac:dyDescent="0.15">
      <c r="A210" s="588"/>
      <c r="B210" s="744"/>
      <c r="C210" s="581"/>
      <c r="D210" s="581"/>
      <c r="E210" s="581"/>
      <c r="F210" s="581"/>
      <c r="G210" s="1423" t="s">
        <v>160</v>
      </c>
      <c r="H210" s="1423"/>
      <c r="I210" s="1423"/>
      <c r="J210" s="1423"/>
      <c r="K210" s="1423"/>
      <c r="L210" s="1423"/>
      <c r="M210" s="1423"/>
      <c r="N210" s="1423"/>
      <c r="O210" s="1423"/>
      <c r="P210" s="1423"/>
      <c r="Q210" s="1423"/>
      <c r="R210" s="546"/>
      <c r="S210" s="617"/>
      <c r="T210" s="790"/>
      <c r="U210" s="790"/>
      <c r="V210" s="611"/>
      <c r="W210" s="611"/>
      <c r="X210" s="790"/>
      <c r="Y210" s="790"/>
      <c r="Z210" s="790"/>
      <c r="AA210" s="571"/>
      <c r="AB210" s="571"/>
      <c r="AC210" s="571"/>
      <c r="AD210" s="571"/>
      <c r="AE210" s="571"/>
      <c r="AF210" s="571"/>
      <c r="AG210" s="571"/>
      <c r="AH210" s="571"/>
      <c r="AI210" s="571"/>
      <c r="AJ210" s="571"/>
      <c r="AK210" s="571"/>
      <c r="AL210" s="571"/>
      <c r="AM210" s="571"/>
      <c r="AN210" s="571"/>
      <c r="AO210" s="571"/>
      <c r="AP210" s="571"/>
      <c r="AQ210" s="571"/>
      <c r="AR210" s="571"/>
      <c r="AS210" s="571"/>
      <c r="AT210" s="571"/>
      <c r="AU210" s="571"/>
      <c r="AV210" s="571"/>
      <c r="AW210" s="571"/>
      <c r="AX210" s="571"/>
      <c r="AY210" s="571"/>
      <c r="AZ210" s="571"/>
      <c r="BA210" s="571"/>
      <c r="BB210" s="571"/>
      <c r="BC210" s="571"/>
      <c r="BD210" s="581"/>
      <c r="BE210" s="581"/>
      <c r="BF210" s="581"/>
      <c r="BG210" s="598"/>
      <c r="BH210" s="550"/>
      <c r="BI210" s="550"/>
      <c r="BJ210" s="550"/>
      <c r="BK210" s="550"/>
      <c r="BL210" s="550"/>
      <c r="BM210" s="551"/>
      <c r="BN210" s="805"/>
      <c r="BO210" s="805"/>
      <c r="BP210" s="805"/>
      <c r="BQ210" s="805"/>
      <c r="BR210" s="805"/>
      <c r="BS210" s="805"/>
      <c r="BT210" s="805"/>
      <c r="BU210" s="805"/>
      <c r="BV210" s="805"/>
      <c r="BW210" s="805"/>
      <c r="BX210" s="805"/>
      <c r="BY210" s="805"/>
      <c r="BZ210" s="805"/>
      <c r="CA210" s="805"/>
      <c r="CB210" s="805"/>
      <c r="CC210" s="805"/>
      <c r="CD210" s="805"/>
      <c r="CE210" s="805"/>
      <c r="CF210" s="805"/>
      <c r="CG210" s="805"/>
      <c r="CH210" s="805"/>
      <c r="CI210" s="805"/>
      <c r="CJ210" s="805"/>
      <c r="CK210" s="805"/>
      <c r="CL210" s="805"/>
      <c r="CM210" s="805"/>
      <c r="CN210" s="805"/>
      <c r="CO210" s="805"/>
      <c r="CP210" s="805"/>
      <c r="CQ210" s="805"/>
      <c r="CR210" s="805"/>
      <c r="CS210" s="805"/>
      <c r="CT210" s="805"/>
      <c r="CU210" s="805"/>
      <c r="CV210" s="805"/>
      <c r="CW210" s="806"/>
      <c r="CX210" s="805"/>
      <c r="CY210" s="805"/>
      <c r="CZ210" s="805"/>
      <c r="DA210" s="805"/>
      <c r="DB210" s="805"/>
      <c r="DC210" s="805"/>
      <c r="DD210" s="805"/>
      <c r="DE210" s="805"/>
      <c r="DF210" s="805"/>
      <c r="DG210" s="805"/>
      <c r="DH210" s="805"/>
      <c r="DI210" s="805"/>
      <c r="DJ210" s="805"/>
      <c r="DK210" s="805"/>
      <c r="DL210" s="805"/>
      <c r="DM210" s="805"/>
      <c r="DN210" s="805"/>
      <c r="DO210" s="805"/>
      <c r="DP210" s="805"/>
      <c r="DQ210" s="805"/>
      <c r="EJ210" s="808"/>
      <c r="EK210" s="808"/>
      <c r="EL210" s="808"/>
      <c r="EM210" s="808"/>
      <c r="EN210" s="808"/>
      <c r="EO210" s="808"/>
      <c r="EP210" s="808"/>
      <c r="EQ210" s="808"/>
      <c r="ER210" s="808"/>
      <c r="ES210" s="808"/>
      <c r="ET210" s="808"/>
      <c r="EU210" s="808"/>
      <c r="EV210" s="808"/>
      <c r="EW210" s="808"/>
      <c r="EX210" s="808"/>
      <c r="EY210" s="808"/>
      <c r="EZ210" s="808"/>
      <c r="FA210" s="808"/>
      <c r="FB210" s="808"/>
      <c r="FC210" s="808"/>
      <c r="FD210" s="808"/>
      <c r="FE210" s="808"/>
      <c r="FF210" s="808"/>
      <c r="FG210" s="808"/>
      <c r="FH210" s="808"/>
      <c r="FI210" s="808"/>
      <c r="FJ210" s="808"/>
      <c r="FK210" s="808"/>
      <c r="FL210" s="808"/>
      <c r="FM210" s="808"/>
      <c r="FN210" s="808"/>
      <c r="FO210" s="808"/>
      <c r="FP210" s="808"/>
      <c r="FQ210" s="808"/>
      <c r="FR210" s="808"/>
      <c r="FS210" s="808"/>
      <c r="FT210" s="808"/>
      <c r="FU210" s="808"/>
      <c r="FV210" s="808"/>
      <c r="FW210" s="808"/>
      <c r="FX210" s="808"/>
      <c r="FY210" s="808"/>
      <c r="FZ210" s="808"/>
      <c r="GA210" s="808"/>
      <c r="GB210" s="808"/>
      <c r="GC210" s="808"/>
      <c r="GD210" s="808"/>
      <c r="GE210" s="808"/>
      <c r="GF210" s="808"/>
      <c r="GG210" s="808"/>
      <c r="GH210" s="808"/>
      <c r="GI210" s="808"/>
      <c r="GJ210" s="808"/>
      <c r="GK210" s="808"/>
      <c r="GL210" s="808"/>
      <c r="GM210" s="808"/>
      <c r="GN210" s="808"/>
      <c r="GO210" s="808"/>
      <c r="GP210" s="808"/>
      <c r="GQ210" s="808"/>
      <c r="GR210" s="808"/>
      <c r="GS210" s="808"/>
      <c r="GT210" s="808"/>
      <c r="GU210" s="808"/>
      <c r="GV210" s="808"/>
      <c r="GW210" s="808"/>
      <c r="GX210" s="808"/>
      <c r="GY210" s="808"/>
      <c r="GZ210" s="808"/>
      <c r="HA210" s="808"/>
      <c r="HB210" s="808"/>
      <c r="HC210" s="808"/>
      <c r="HD210" s="808"/>
      <c r="HE210" s="808"/>
      <c r="HF210" s="808"/>
      <c r="HG210" s="808"/>
      <c r="HH210" s="808"/>
      <c r="HI210" s="808"/>
      <c r="HJ210" s="808"/>
    </row>
    <row r="211" spans="1:218" s="807" customFormat="1" ht="14" x14ac:dyDescent="0.15">
      <c r="A211" s="588"/>
      <c r="B211" s="744"/>
      <c r="C211" s="581"/>
      <c r="D211" s="581"/>
      <c r="E211" s="581"/>
      <c r="F211" s="581"/>
      <c r="G211" s="1423"/>
      <c r="H211" s="1423"/>
      <c r="I211" s="1423"/>
      <c r="J211" s="1423"/>
      <c r="K211" s="1423"/>
      <c r="L211" s="1423"/>
      <c r="M211" s="1423"/>
      <c r="N211" s="1423"/>
      <c r="O211" s="1423"/>
      <c r="P211" s="1423"/>
      <c r="Q211" s="1423"/>
      <c r="R211" s="546"/>
      <c r="S211" s="1299"/>
      <c r="T211" s="1299"/>
      <c r="U211" s="1299"/>
      <c r="V211" s="1299"/>
      <c r="W211" s="1299"/>
      <c r="X211" s="790"/>
      <c r="Y211" s="1299"/>
      <c r="Z211" s="1299"/>
      <c r="AA211" s="1299"/>
      <c r="AB211" s="1299"/>
      <c r="AC211" s="1299"/>
      <c r="AD211" s="1299"/>
      <c r="AE211" s="1299"/>
      <c r="AF211" s="571"/>
      <c r="AG211" s="571"/>
      <c r="AH211" s="1299"/>
      <c r="AI211" s="1299"/>
      <c r="AJ211" s="1299"/>
      <c r="AK211" s="1299"/>
      <c r="AL211" s="1299"/>
      <c r="AM211" s="1299"/>
      <c r="AN211" s="571"/>
      <c r="AO211" s="1270">
        <f>+S211+Y211+AH211</f>
        <v>0</v>
      </c>
      <c r="AP211" s="1270"/>
      <c r="AQ211" s="1270"/>
      <c r="AR211" s="1270"/>
      <c r="AS211" s="1270"/>
      <c r="AT211" s="801"/>
      <c r="AU211" s="801"/>
      <c r="AV211" s="801"/>
      <c r="AW211" s="801"/>
      <c r="AX211" s="571"/>
      <c r="AY211" s="571"/>
      <c r="AZ211" s="571"/>
      <c r="BA211" s="571"/>
      <c r="BB211" s="571"/>
      <c r="BC211" s="571"/>
      <c r="BD211" s="581"/>
      <c r="BE211" s="581"/>
      <c r="BF211" s="581"/>
      <c r="BG211" s="598"/>
      <c r="BH211" s="550"/>
      <c r="BI211" s="550"/>
      <c r="BJ211" s="550"/>
      <c r="BK211" s="550"/>
      <c r="BL211" s="550"/>
      <c r="BM211" s="551"/>
      <c r="BN211" s="805"/>
      <c r="BO211" s="805"/>
      <c r="BP211" s="805"/>
      <c r="BQ211" s="805"/>
      <c r="BR211" s="805"/>
      <c r="BS211" s="805"/>
      <c r="BT211" s="805"/>
      <c r="BU211" s="805"/>
      <c r="BV211" s="805"/>
      <c r="BW211" s="805"/>
      <c r="BX211" s="805"/>
      <c r="BY211" s="805"/>
      <c r="BZ211" s="805"/>
      <c r="CA211" s="805"/>
      <c r="CB211" s="805"/>
      <c r="CC211" s="805"/>
      <c r="CD211" s="805"/>
      <c r="CE211" s="805"/>
      <c r="CF211" s="805"/>
      <c r="CG211" s="805"/>
      <c r="CH211" s="805"/>
      <c r="CI211" s="805"/>
      <c r="CJ211" s="805"/>
      <c r="CK211" s="805"/>
      <c r="CL211" s="805"/>
      <c r="CM211" s="805"/>
      <c r="CN211" s="805"/>
      <c r="CO211" s="805"/>
      <c r="CP211" s="805"/>
      <c r="CQ211" s="805"/>
      <c r="CR211" s="805"/>
      <c r="CS211" s="805"/>
      <c r="CT211" s="805"/>
      <c r="CU211" s="805"/>
      <c r="CV211" s="805"/>
      <c r="CW211" s="806"/>
      <c r="CX211" s="805"/>
      <c r="CY211" s="805"/>
      <c r="CZ211" s="805"/>
      <c r="DA211" s="805"/>
      <c r="DB211" s="805"/>
      <c r="DC211" s="805"/>
      <c r="DD211" s="805"/>
      <c r="DE211" s="805"/>
      <c r="DF211" s="805"/>
      <c r="DG211" s="805"/>
      <c r="DH211" s="805"/>
      <c r="DI211" s="805"/>
      <c r="DJ211" s="805"/>
      <c r="DK211" s="805"/>
      <c r="DL211" s="805"/>
      <c r="DM211" s="805"/>
      <c r="DN211" s="805"/>
      <c r="DO211" s="805"/>
      <c r="DP211" s="805"/>
      <c r="DQ211" s="805"/>
      <c r="EJ211" s="808"/>
      <c r="EK211" s="808"/>
      <c r="EL211" s="808"/>
      <c r="EM211" s="808"/>
      <c r="EN211" s="808"/>
      <c r="EO211" s="808"/>
      <c r="EP211" s="808"/>
      <c r="EQ211" s="808"/>
      <c r="ER211" s="808"/>
      <c r="ES211" s="808"/>
      <c r="ET211" s="808"/>
      <c r="EU211" s="808"/>
      <c r="EV211" s="808"/>
      <c r="EW211" s="808"/>
      <c r="EX211" s="808"/>
      <c r="EY211" s="808"/>
      <c r="EZ211" s="808"/>
      <c r="FA211" s="808"/>
      <c r="FB211" s="808"/>
      <c r="FC211" s="808"/>
      <c r="FD211" s="808"/>
      <c r="FE211" s="808"/>
      <c r="FF211" s="808"/>
      <c r="FG211" s="808"/>
      <c r="FH211" s="808"/>
      <c r="FI211" s="808"/>
      <c r="FJ211" s="808"/>
      <c r="FK211" s="808"/>
      <c r="FL211" s="808"/>
      <c r="FM211" s="808"/>
      <c r="FN211" s="808"/>
      <c r="FO211" s="808"/>
      <c r="FP211" s="808"/>
      <c r="FQ211" s="808"/>
      <c r="FR211" s="808"/>
      <c r="FS211" s="808"/>
      <c r="FT211" s="808"/>
      <c r="FU211" s="808"/>
      <c r="FV211" s="808"/>
      <c r="FW211" s="808"/>
      <c r="FX211" s="808"/>
      <c r="FY211" s="808"/>
      <c r="FZ211" s="808"/>
      <c r="GA211" s="808"/>
      <c r="GB211" s="808"/>
      <c r="GC211" s="808"/>
      <c r="GD211" s="808"/>
      <c r="GE211" s="808"/>
      <c r="GF211" s="808"/>
      <c r="GG211" s="808"/>
      <c r="GH211" s="808"/>
      <c r="GI211" s="808"/>
      <c r="GJ211" s="808"/>
      <c r="GK211" s="808"/>
      <c r="GL211" s="808"/>
      <c r="GM211" s="808"/>
      <c r="GN211" s="808"/>
      <c r="GO211" s="808"/>
      <c r="GP211" s="808"/>
      <c r="GQ211" s="808"/>
      <c r="GR211" s="808"/>
      <c r="GS211" s="808"/>
      <c r="GT211" s="808"/>
      <c r="GU211" s="808"/>
      <c r="GV211" s="808"/>
      <c r="GW211" s="808"/>
      <c r="GX211" s="808"/>
      <c r="GY211" s="808"/>
      <c r="GZ211" s="808"/>
      <c r="HA211" s="808"/>
      <c r="HB211" s="808"/>
      <c r="HC211" s="808"/>
      <c r="HD211" s="808"/>
      <c r="HE211" s="808"/>
      <c r="HF211" s="808"/>
      <c r="HG211" s="808"/>
      <c r="HH211" s="808"/>
      <c r="HI211" s="808"/>
      <c r="HJ211" s="808"/>
    </row>
    <row r="212" spans="1:218" ht="14" x14ac:dyDescent="0.15">
      <c r="A212" s="588"/>
      <c r="B212" s="744"/>
      <c r="C212" s="581"/>
      <c r="D212" s="581"/>
      <c r="E212" s="581"/>
      <c r="F212" s="581"/>
      <c r="G212" s="571"/>
      <c r="H212" s="571"/>
      <c r="I212" s="571"/>
      <c r="J212" s="571"/>
      <c r="K212" s="571"/>
      <c r="L212" s="790"/>
      <c r="M212" s="617"/>
      <c r="N212" s="790"/>
      <c r="O212" s="546"/>
      <c r="P212" s="546"/>
      <c r="Q212" s="546"/>
      <c r="R212" s="546"/>
      <c r="S212" s="804"/>
      <c r="T212" s="804"/>
      <c r="U212" s="804"/>
      <c r="V212" s="804"/>
      <c r="W212" s="804"/>
      <c r="X212" s="790"/>
      <c r="Y212" s="790"/>
      <c r="Z212" s="790"/>
      <c r="AA212" s="571"/>
      <c r="AB212" s="571"/>
      <c r="AC212" s="571"/>
      <c r="AD212" s="571"/>
      <c r="AE212" s="571"/>
      <c r="AF212" s="571"/>
      <c r="AG212" s="571"/>
      <c r="AH212" s="571"/>
      <c r="AI212" s="571"/>
      <c r="AJ212" s="571"/>
      <c r="AK212" s="571"/>
      <c r="AL212" s="571"/>
      <c r="AM212" s="571"/>
      <c r="AN212" s="571"/>
      <c r="AO212" s="571"/>
      <c r="AP212" s="571"/>
      <c r="AQ212" s="571"/>
      <c r="AR212" s="571"/>
      <c r="AS212" s="571"/>
      <c r="AT212" s="571"/>
      <c r="AU212" s="571"/>
      <c r="AV212" s="571"/>
      <c r="AW212" s="571"/>
      <c r="AX212" s="571"/>
      <c r="AY212" s="571"/>
      <c r="AZ212" s="571"/>
      <c r="BA212" s="571"/>
      <c r="BB212" s="571"/>
      <c r="BC212" s="571"/>
      <c r="BD212" s="581"/>
      <c r="BE212" s="581"/>
      <c r="BF212" s="581"/>
      <c r="BG212" s="598"/>
      <c r="BH212" s="550"/>
      <c r="BI212" s="550"/>
      <c r="BJ212" s="550"/>
      <c r="BK212" s="550"/>
      <c r="BL212" s="550"/>
      <c r="BM212" s="551"/>
      <c r="BN212" s="590"/>
      <c r="BO212" s="590"/>
      <c r="BP212" s="590"/>
      <c r="BQ212" s="590"/>
      <c r="BR212" s="590"/>
      <c r="BS212" s="590"/>
      <c r="BT212" s="590"/>
      <c r="BU212" s="590"/>
      <c r="BV212" s="590"/>
      <c r="BW212" s="590"/>
      <c r="BX212" s="590"/>
      <c r="BY212" s="590"/>
      <c r="BZ212" s="590"/>
      <c r="CA212" s="590"/>
      <c r="CB212" s="590"/>
      <c r="CC212" s="590"/>
      <c r="CD212" s="590"/>
      <c r="CE212" s="590"/>
      <c r="CF212" s="590"/>
      <c r="CG212" s="590"/>
      <c r="CH212" s="590"/>
      <c r="CI212" s="590"/>
      <c r="CJ212" s="590"/>
      <c r="CK212" s="590"/>
      <c r="CL212" s="590"/>
      <c r="CM212" s="590"/>
      <c r="CN212" s="590"/>
      <c r="CO212" s="590"/>
      <c r="CP212" s="590"/>
      <c r="CQ212" s="590"/>
      <c r="CR212" s="590"/>
      <c r="CS212" s="590"/>
      <c r="CT212" s="590"/>
      <c r="CU212" s="590"/>
      <c r="CV212" s="590"/>
      <c r="CW212" s="591"/>
      <c r="CX212" s="590"/>
      <c r="CY212" s="590"/>
      <c r="CZ212" s="590"/>
      <c r="DA212" s="590"/>
      <c r="DB212" s="590"/>
      <c r="DC212" s="590"/>
      <c r="DD212" s="590"/>
      <c r="DE212" s="590"/>
      <c r="DF212" s="590"/>
      <c r="DG212" s="590"/>
      <c r="DH212" s="590"/>
      <c r="DI212" s="590"/>
      <c r="DJ212" s="590"/>
      <c r="DK212" s="590"/>
      <c r="DL212" s="590"/>
      <c r="DM212" s="590"/>
      <c r="DN212" s="590"/>
      <c r="DO212" s="590"/>
      <c r="DP212" s="590"/>
      <c r="DQ212" s="590"/>
    </row>
    <row r="213" spans="1:218" ht="14" x14ac:dyDescent="0.15">
      <c r="A213" s="588"/>
      <c r="B213" s="744"/>
      <c r="C213" s="581"/>
      <c r="D213" s="785" t="s">
        <v>161</v>
      </c>
      <c r="E213" s="581"/>
      <c r="F213" s="581"/>
      <c r="G213" s="571"/>
      <c r="H213" s="571"/>
      <c r="I213" s="571"/>
      <c r="J213" s="571"/>
      <c r="K213" s="790"/>
      <c r="L213" s="617"/>
      <c r="M213" s="790"/>
      <c r="N213" s="792"/>
      <c r="O213" s="546"/>
      <c r="P213" s="546"/>
      <c r="Q213" s="546"/>
      <c r="R213" s="546"/>
      <c r="S213" s="1270">
        <f>S192+S198+S204</f>
        <v>0</v>
      </c>
      <c r="T213" s="1270"/>
      <c r="U213" s="1270"/>
      <c r="V213" s="1270"/>
      <c r="W213" s="1270"/>
      <c r="X213" s="685"/>
      <c r="Y213" s="1270">
        <f>Y192+Y198+Y204</f>
        <v>0</v>
      </c>
      <c r="Z213" s="1270"/>
      <c r="AA213" s="1270"/>
      <c r="AB213" s="1270"/>
      <c r="AC213" s="1270"/>
      <c r="AD213" s="1270"/>
      <c r="AE213" s="1270"/>
      <c r="AF213" s="792"/>
      <c r="AG213" s="792"/>
      <c r="AH213" s="1270">
        <f>AH192+AH198+AH204</f>
        <v>0</v>
      </c>
      <c r="AI213" s="1270"/>
      <c r="AJ213" s="1270"/>
      <c r="AK213" s="1270"/>
      <c r="AL213" s="1270"/>
      <c r="AM213" s="1270"/>
      <c r="AN213" s="618"/>
      <c r="AO213" s="1270">
        <f>AO192+AO198+AO204</f>
        <v>0</v>
      </c>
      <c r="AP213" s="1270"/>
      <c r="AQ213" s="1270"/>
      <c r="AR213" s="1270"/>
      <c r="AS213" s="1270"/>
      <c r="AT213" s="794"/>
      <c r="AU213" s="794"/>
      <c r="AV213" s="794"/>
      <c r="AW213" s="794"/>
      <c r="AX213" s="571"/>
      <c r="AY213" s="571"/>
      <c r="AZ213" s="571"/>
      <c r="BA213" s="571"/>
      <c r="BB213" s="571"/>
      <c r="BC213" s="571"/>
      <c r="BD213" s="581"/>
      <c r="BE213" s="581"/>
      <c r="BF213" s="581"/>
      <c r="BG213" s="598"/>
      <c r="BH213" s="550"/>
      <c r="BI213" s="550"/>
      <c r="BJ213" s="550"/>
      <c r="BK213" s="550"/>
      <c r="BL213" s="550"/>
      <c r="BM213" s="551"/>
      <c r="BN213" s="590"/>
      <c r="BO213" s="590"/>
      <c r="BP213" s="590"/>
      <c r="BQ213" s="590"/>
      <c r="BR213" s="590"/>
      <c r="BS213" s="590"/>
      <c r="BT213" s="590"/>
      <c r="BU213" s="590"/>
      <c r="BV213" s="590"/>
      <c r="BW213" s="590"/>
      <c r="BX213" s="590"/>
      <c r="BY213" s="590"/>
      <c r="BZ213" s="590"/>
      <c r="CA213" s="590"/>
      <c r="CB213" s="590"/>
      <c r="CC213" s="590"/>
      <c r="CD213" s="590"/>
      <c r="CE213" s="590"/>
      <c r="CF213" s="590"/>
      <c r="CG213" s="590"/>
      <c r="CH213" s="590"/>
      <c r="CI213" s="590"/>
      <c r="CJ213" s="590"/>
      <c r="CK213" s="590"/>
      <c r="CL213" s="590"/>
      <c r="CM213" s="590"/>
      <c r="CN213" s="590"/>
      <c r="CO213" s="590"/>
      <c r="CP213" s="590"/>
      <c r="CQ213" s="590"/>
      <c r="CR213" s="590"/>
      <c r="CS213" s="590"/>
      <c r="CT213" s="590"/>
      <c r="CU213" s="590"/>
      <c r="CV213" s="590"/>
      <c r="CW213" s="591"/>
      <c r="CX213" s="590"/>
      <c r="CY213" s="590"/>
      <c r="CZ213" s="590"/>
      <c r="DA213" s="590"/>
      <c r="DB213" s="590"/>
      <c r="DC213" s="590"/>
      <c r="DD213" s="590"/>
      <c r="DE213" s="590"/>
      <c r="DF213" s="590"/>
      <c r="DG213" s="590"/>
      <c r="DH213" s="590"/>
      <c r="DI213" s="590"/>
      <c r="DJ213" s="590"/>
      <c r="DK213" s="590"/>
      <c r="DL213" s="590"/>
      <c r="DM213" s="590"/>
      <c r="DN213" s="590"/>
      <c r="DO213" s="590"/>
      <c r="DP213" s="590"/>
      <c r="DQ213" s="590"/>
    </row>
    <row r="214" spans="1:218" ht="12.75" customHeight="1" x14ac:dyDescent="0.15">
      <c r="A214" s="548"/>
      <c r="B214" s="809"/>
      <c r="C214" s="571"/>
      <c r="D214" s="762"/>
      <c r="E214" s="571"/>
      <c r="F214" s="571"/>
      <c r="G214" s="571"/>
      <c r="H214" s="571"/>
      <c r="I214" s="571"/>
      <c r="J214" s="571"/>
      <c r="K214" s="790"/>
      <c r="L214" s="617"/>
      <c r="M214" s="790"/>
      <c r="N214" s="792"/>
      <c r="O214" s="546"/>
      <c r="P214" s="546"/>
      <c r="Q214" s="546"/>
      <c r="R214" s="546"/>
      <c r="S214" s="802"/>
      <c r="T214" s="802"/>
      <c r="U214" s="802"/>
      <c r="V214" s="802"/>
      <c r="W214" s="802"/>
      <c r="X214" s="685"/>
      <c r="Y214" s="802"/>
      <c r="Z214" s="802"/>
      <c r="AA214" s="802"/>
      <c r="AB214" s="802"/>
      <c r="AC214" s="802"/>
      <c r="AD214" s="802"/>
      <c r="AE214" s="802"/>
      <c r="AF214" s="792"/>
      <c r="AG214" s="792"/>
      <c r="AH214" s="802"/>
      <c r="AI214" s="802"/>
      <c r="AJ214" s="802"/>
      <c r="AK214" s="802"/>
      <c r="AL214" s="802"/>
      <c r="AM214" s="802"/>
      <c r="AN214" s="618"/>
      <c r="AO214" s="802"/>
      <c r="AP214" s="802"/>
      <c r="AQ214" s="802"/>
      <c r="AR214" s="802"/>
      <c r="AS214" s="802"/>
      <c r="AT214" s="794"/>
      <c r="AU214" s="794"/>
      <c r="AV214" s="794"/>
      <c r="AW214" s="794"/>
      <c r="AX214" s="571"/>
      <c r="AY214" s="571"/>
      <c r="AZ214" s="571"/>
      <c r="BA214" s="571"/>
      <c r="BB214" s="571"/>
      <c r="BC214" s="571"/>
      <c r="BD214" s="571"/>
      <c r="BE214" s="1377"/>
      <c r="BF214" s="1377"/>
      <c r="BG214" s="1383"/>
      <c r="BH214" s="550"/>
      <c r="BI214" s="550"/>
      <c r="BJ214" s="550"/>
      <c r="BK214" s="550"/>
      <c r="BL214" s="550"/>
      <c r="BM214" s="551"/>
      <c r="BN214" s="590"/>
      <c r="BO214" s="590"/>
      <c r="BP214" s="590"/>
      <c r="BQ214" s="590"/>
      <c r="BR214" s="590"/>
      <c r="BS214" s="590"/>
      <c r="BT214" s="590"/>
      <c r="BU214" s="590"/>
      <c r="BV214" s="590"/>
      <c r="BW214" s="590"/>
      <c r="BX214" s="590"/>
      <c r="BY214" s="590"/>
      <c r="BZ214" s="590"/>
      <c r="CA214" s="590"/>
      <c r="CB214" s="590"/>
      <c r="CC214" s="590"/>
      <c r="CD214" s="590"/>
      <c r="CE214" s="590"/>
      <c r="CF214" s="590"/>
      <c r="CG214" s="590"/>
      <c r="CH214" s="590"/>
      <c r="CI214" s="590"/>
      <c r="CJ214" s="590"/>
      <c r="CK214" s="590"/>
      <c r="CL214" s="590"/>
      <c r="CM214" s="590"/>
      <c r="CN214" s="590"/>
      <c r="CO214" s="590"/>
      <c r="CP214" s="590"/>
      <c r="CQ214" s="590"/>
      <c r="CR214" s="590"/>
      <c r="CS214" s="590"/>
      <c r="CT214" s="590"/>
      <c r="CU214" s="590"/>
      <c r="CV214" s="590"/>
      <c r="CW214" s="591"/>
      <c r="CX214" s="590"/>
      <c r="CY214" s="590"/>
      <c r="CZ214" s="590"/>
      <c r="DA214" s="590"/>
      <c r="DB214" s="590"/>
      <c r="DC214" s="590"/>
      <c r="DD214" s="590"/>
      <c r="DE214" s="590"/>
      <c r="DF214" s="590"/>
      <c r="DG214" s="590"/>
      <c r="DH214" s="590"/>
      <c r="DI214" s="590"/>
      <c r="DJ214" s="590"/>
      <c r="DK214" s="590"/>
      <c r="DL214" s="590"/>
      <c r="DM214" s="590"/>
      <c r="DN214" s="590"/>
      <c r="DO214" s="590"/>
      <c r="DP214" s="590"/>
      <c r="DQ214" s="590"/>
    </row>
    <row r="215" spans="1:218" ht="24.75" customHeight="1" x14ac:dyDescent="0.15">
      <c r="A215" s="588"/>
      <c r="B215" s="809"/>
      <c r="C215" s="571"/>
      <c r="D215" s="550"/>
      <c r="E215" s="550"/>
      <c r="F215" s="550"/>
      <c r="G215" s="541"/>
      <c r="H215" s="541"/>
      <c r="I215" s="705"/>
      <c r="J215" s="705"/>
      <c r="K215" s="705"/>
      <c r="L215" s="705"/>
      <c r="M215" s="705"/>
      <c r="N215" s="705"/>
      <c r="O215" s="705"/>
      <c r="P215" s="705"/>
      <c r="Q215" s="705"/>
      <c r="R215" s="705"/>
      <c r="S215" s="705"/>
      <c r="T215" s="705"/>
      <c r="U215" s="705"/>
      <c r="V215" s="705"/>
      <c r="W215" s="705"/>
      <c r="X215" s="705"/>
      <c r="Y215" s="802"/>
      <c r="Z215" s="802"/>
      <c r="AA215" s="550"/>
      <c r="AB215" s="550"/>
      <c r="AC215" s="550"/>
      <c r="AD215" s="541"/>
      <c r="AE215" s="581"/>
      <c r="AF215" s="705"/>
      <c r="AG215" s="705"/>
      <c r="AH215" s="705"/>
      <c r="AI215" s="705"/>
      <c r="AJ215" s="705"/>
      <c r="AK215" s="705"/>
      <c r="AL215" s="705"/>
      <c r="AM215" s="705"/>
      <c r="AN215" s="705"/>
      <c r="AO215" s="705"/>
      <c r="AP215" s="705"/>
      <c r="AQ215" s="705"/>
      <c r="AR215" s="705"/>
      <c r="AS215" s="705"/>
      <c r="AT215" s="705"/>
      <c r="AU215" s="794"/>
      <c r="AV215" s="794"/>
      <c r="AW215" s="794"/>
      <c r="AX215" s="571"/>
      <c r="AY215" s="571"/>
      <c r="AZ215" s="571"/>
      <c r="BA215" s="571"/>
      <c r="BB215" s="571"/>
      <c r="BC215" s="571"/>
      <c r="BD215" s="571"/>
      <c r="BE215" s="571"/>
      <c r="BF215" s="571"/>
      <c r="BG215" s="810"/>
      <c r="BH215" s="550"/>
      <c r="BI215" s="550"/>
      <c r="BJ215" s="550"/>
      <c r="BK215" s="550"/>
      <c r="BL215" s="550"/>
      <c r="BM215" s="551"/>
      <c r="BN215" s="590"/>
      <c r="BO215" s="590"/>
      <c r="BP215" s="590"/>
      <c r="BQ215" s="590"/>
      <c r="BR215" s="590"/>
      <c r="BS215" s="590"/>
      <c r="BT215" s="590"/>
      <c r="BU215" s="590"/>
      <c r="BV215" s="590"/>
      <c r="BW215" s="590"/>
      <c r="BX215" s="590"/>
      <c r="BY215" s="590"/>
      <c r="BZ215" s="590"/>
      <c r="CA215" s="590"/>
      <c r="CB215" s="590"/>
      <c r="CC215" s="590"/>
      <c r="CD215" s="590"/>
      <c r="CE215" s="590"/>
      <c r="CF215" s="590"/>
      <c r="CG215" s="590"/>
      <c r="CH215" s="590"/>
      <c r="CI215" s="590"/>
      <c r="CJ215" s="590"/>
      <c r="CK215" s="590"/>
      <c r="CL215" s="590"/>
      <c r="CM215" s="590"/>
      <c r="CN215" s="590"/>
      <c r="CO215" s="590"/>
      <c r="CP215" s="590"/>
      <c r="CQ215" s="590"/>
      <c r="CR215" s="590"/>
      <c r="CS215" s="590"/>
      <c r="CT215" s="590"/>
      <c r="CU215" s="590"/>
      <c r="CV215" s="590"/>
      <c r="CW215" s="591"/>
      <c r="CX215" s="590"/>
      <c r="CY215" s="590"/>
      <c r="CZ215" s="590"/>
      <c r="DA215" s="590"/>
      <c r="DB215" s="590"/>
      <c r="DC215" s="590"/>
      <c r="DD215" s="590"/>
      <c r="DE215" s="590"/>
      <c r="DF215" s="590"/>
      <c r="DG215" s="590"/>
      <c r="DH215" s="590"/>
      <c r="DI215" s="590"/>
      <c r="DJ215" s="590"/>
      <c r="DK215" s="590"/>
      <c r="DL215" s="590"/>
      <c r="DM215" s="590"/>
      <c r="DN215" s="590"/>
      <c r="DO215" s="590"/>
      <c r="DP215" s="590"/>
      <c r="DQ215" s="590"/>
    </row>
    <row r="216" spans="1:218" ht="14" x14ac:dyDescent="0.15">
      <c r="A216" s="588"/>
      <c r="B216" s="717"/>
      <c r="C216" s="606"/>
      <c r="D216" s="1384" t="str">
        <f>IF(bruttópénzigény=forrásössz,"","A források összesenjének meg kell egyeznie a beruházás bruttó pénzigényével!")</f>
        <v/>
      </c>
      <c r="E216" s="1384"/>
      <c r="F216" s="1384"/>
      <c r="G216" s="1384"/>
      <c r="H216" s="1384"/>
      <c r="I216" s="1384"/>
      <c r="J216" s="1384"/>
      <c r="K216" s="1384"/>
      <c r="L216" s="1384"/>
      <c r="M216" s="1384"/>
      <c r="N216" s="1384"/>
      <c r="O216" s="1384"/>
      <c r="P216" s="1384"/>
      <c r="Q216" s="1384"/>
      <c r="R216" s="1384"/>
      <c r="S216" s="1384"/>
      <c r="T216" s="1384"/>
      <c r="U216" s="1384"/>
      <c r="V216" s="1384"/>
      <c r="W216" s="1384"/>
      <c r="X216" s="1384"/>
      <c r="Y216" s="1384"/>
      <c r="Z216" s="1384"/>
      <c r="AA216" s="1384"/>
      <c r="AB216" s="1384"/>
      <c r="AC216" s="1384"/>
      <c r="AD216" s="1384"/>
      <c r="AE216" s="1384"/>
      <c r="AF216" s="1384"/>
      <c r="AG216" s="1384"/>
      <c r="AH216" s="1384"/>
      <c r="AI216" s="1384"/>
      <c r="AJ216" s="1384"/>
      <c r="AK216" s="1384"/>
      <c r="AL216" s="1384"/>
      <c r="AM216" s="1384"/>
      <c r="AN216" s="1384"/>
      <c r="AO216" s="1384"/>
      <c r="AP216" s="1384"/>
      <c r="AQ216" s="1384"/>
      <c r="AR216" s="1384"/>
      <c r="AS216" s="1384"/>
      <c r="AT216" s="1384"/>
      <c r="AU216" s="1384"/>
      <c r="AV216" s="1384"/>
      <c r="AW216" s="1384"/>
      <c r="AX216" s="1384"/>
      <c r="AY216" s="1384"/>
      <c r="AZ216" s="1384"/>
      <c r="BA216" s="1384"/>
      <c r="BB216" s="1384"/>
      <c r="BC216" s="1384"/>
      <c r="BD216" s="1384"/>
      <c r="BE216" s="1384"/>
      <c r="BF216" s="1384"/>
      <c r="BG216" s="1385"/>
      <c r="BH216" s="550"/>
      <c r="BI216" s="550"/>
      <c r="BJ216" s="550"/>
      <c r="BK216" s="550"/>
      <c r="BL216" s="550"/>
      <c r="BM216" s="551"/>
      <c r="BN216" s="590"/>
      <c r="BO216" s="590"/>
      <c r="BP216" s="590"/>
      <c r="BQ216" s="590"/>
      <c r="BR216" s="590"/>
      <c r="BS216" s="590"/>
      <c r="BT216" s="590"/>
      <c r="BU216" s="590"/>
      <c r="BV216" s="590"/>
      <c r="BW216" s="590"/>
      <c r="BX216" s="590"/>
      <c r="BY216" s="590"/>
      <c r="BZ216" s="590"/>
      <c r="CA216" s="590"/>
      <c r="CB216" s="590"/>
      <c r="CC216" s="590"/>
      <c r="CD216" s="590"/>
      <c r="CE216" s="590"/>
      <c r="CF216" s="590"/>
      <c r="CG216" s="590"/>
      <c r="CH216" s="590"/>
      <c r="CI216" s="590"/>
      <c r="CJ216" s="590"/>
      <c r="CK216" s="590"/>
      <c r="CL216" s="590"/>
      <c r="CM216" s="590"/>
      <c r="CN216" s="590"/>
      <c r="CO216" s="590"/>
      <c r="CP216" s="590"/>
      <c r="CQ216" s="590"/>
      <c r="CR216" s="590"/>
      <c r="CS216" s="590"/>
      <c r="CT216" s="590"/>
      <c r="CU216" s="590"/>
      <c r="CV216" s="590"/>
      <c r="CW216" s="591"/>
      <c r="CX216" s="590"/>
      <c r="CY216" s="590"/>
      <c r="CZ216" s="590"/>
      <c r="DA216" s="590"/>
      <c r="DB216" s="590"/>
      <c r="DC216" s="590"/>
      <c r="DD216" s="590"/>
      <c r="DE216" s="590"/>
      <c r="DF216" s="590"/>
      <c r="DG216" s="590"/>
      <c r="DH216" s="590"/>
      <c r="DI216" s="590"/>
      <c r="DJ216" s="590"/>
      <c r="DK216" s="590"/>
      <c r="DL216" s="590"/>
      <c r="DM216" s="590"/>
      <c r="DN216" s="590"/>
      <c r="DO216" s="590"/>
      <c r="DP216" s="590"/>
      <c r="DQ216" s="590"/>
    </row>
    <row r="217" spans="1:218" ht="14" x14ac:dyDescent="0.15">
      <c r="A217" s="588"/>
      <c r="B217" s="1379" t="s">
        <v>864</v>
      </c>
      <c r="C217" s="1380"/>
      <c r="D217" s="1380"/>
      <c r="E217" s="1380"/>
      <c r="F217" s="1380"/>
      <c r="G217" s="1380"/>
      <c r="H217" s="1380"/>
      <c r="I217" s="1380"/>
      <c r="J217" s="1380"/>
      <c r="K217" s="1380"/>
      <c r="L217" s="1380"/>
      <c r="M217" s="1380"/>
      <c r="N217" s="1380"/>
      <c r="O217" s="1380"/>
      <c r="P217" s="1380"/>
      <c r="Q217" s="1380"/>
      <c r="R217" s="1380"/>
      <c r="S217" s="1380"/>
      <c r="T217" s="1380"/>
      <c r="U217" s="1380"/>
      <c r="V217" s="1380"/>
      <c r="W217" s="1380"/>
      <c r="X217" s="1380"/>
      <c r="Y217" s="1380"/>
      <c r="Z217" s="1380"/>
      <c r="AA217" s="1380"/>
      <c r="AB217" s="1380"/>
      <c r="AC217" s="1380"/>
      <c r="AD217" s="1380"/>
      <c r="AE217" s="1380"/>
      <c r="AF217" s="1380"/>
      <c r="AG217" s="1380"/>
      <c r="AH217" s="1380"/>
      <c r="AI217" s="1380"/>
      <c r="AJ217" s="1380"/>
      <c r="AK217" s="1380"/>
      <c r="AL217" s="1380"/>
      <c r="AM217" s="1380"/>
      <c r="AN217" s="1380"/>
      <c r="AO217" s="1380"/>
      <c r="AP217" s="1380"/>
      <c r="AQ217" s="1380"/>
      <c r="AR217" s="1380"/>
      <c r="AS217" s="1380"/>
      <c r="AT217" s="1380"/>
      <c r="AU217" s="1380"/>
      <c r="AV217" s="1380"/>
      <c r="AW217" s="1380"/>
      <c r="AX217" s="1380"/>
      <c r="AY217" s="1380"/>
      <c r="AZ217" s="1380"/>
      <c r="BA217" s="1380"/>
      <c r="BB217" s="1380"/>
      <c r="BC217" s="1380"/>
      <c r="BD217" s="1380"/>
      <c r="BE217" s="1380"/>
      <c r="BF217" s="1380"/>
      <c r="BG217" s="1381"/>
      <c r="BH217" s="550"/>
      <c r="BI217" s="550"/>
      <c r="BJ217" s="550"/>
      <c r="BK217" s="550"/>
      <c r="BL217" s="550"/>
      <c r="BM217" s="551"/>
      <c r="BN217" s="590"/>
      <c r="BO217" s="590"/>
      <c r="BP217" s="590"/>
      <c r="BQ217" s="590"/>
      <c r="BR217" s="590"/>
      <c r="BS217" s="590"/>
      <c r="BT217" s="590"/>
      <c r="BU217" s="590"/>
      <c r="BV217" s="590"/>
      <c r="BW217" s="590"/>
      <c r="BX217" s="590"/>
      <c r="BY217" s="590"/>
      <c r="BZ217" s="590"/>
      <c r="CA217" s="590"/>
      <c r="CB217" s="590"/>
      <c r="CC217" s="590"/>
      <c r="CD217" s="590"/>
      <c r="CE217" s="590"/>
      <c r="CF217" s="590"/>
      <c r="CG217" s="590"/>
      <c r="CH217" s="590"/>
      <c r="CI217" s="590"/>
      <c r="CJ217" s="590"/>
      <c r="CK217" s="590"/>
      <c r="CL217" s="590"/>
      <c r="CM217" s="590"/>
      <c r="CN217" s="590"/>
      <c r="CO217" s="590"/>
      <c r="CP217" s="590"/>
      <c r="CQ217" s="590"/>
      <c r="CR217" s="590"/>
      <c r="CS217" s="590"/>
      <c r="CT217" s="590"/>
      <c r="CU217" s="590"/>
      <c r="CV217" s="590"/>
      <c r="CW217" s="591"/>
      <c r="CX217" s="590"/>
      <c r="CY217" s="590"/>
      <c r="CZ217" s="590"/>
      <c r="DA217" s="590"/>
      <c r="DB217" s="590"/>
      <c r="DC217" s="590"/>
      <c r="DD217" s="590"/>
      <c r="DE217" s="590"/>
      <c r="DF217" s="590"/>
      <c r="DG217" s="590"/>
      <c r="DH217" s="590"/>
      <c r="DI217" s="590"/>
      <c r="DJ217" s="590"/>
      <c r="DK217" s="590"/>
      <c r="DL217" s="590"/>
      <c r="DM217" s="590"/>
      <c r="DN217" s="590"/>
      <c r="DO217" s="590"/>
      <c r="DP217" s="590"/>
      <c r="DQ217" s="590"/>
    </row>
    <row r="218" spans="1:218" ht="14" x14ac:dyDescent="0.15">
      <c r="A218" s="588"/>
      <c r="B218" s="1431" t="s">
        <v>356</v>
      </c>
      <c r="C218" s="1432"/>
      <c r="D218" s="1432"/>
      <c r="E218" s="1432"/>
      <c r="F218" s="1432"/>
      <c r="G218" s="1432"/>
      <c r="H218" s="1432"/>
      <c r="I218" s="1432"/>
      <c r="J218" s="1432"/>
      <c r="K218" s="1432"/>
      <c r="L218" s="1432"/>
      <c r="M218" s="1432"/>
      <c r="N218" s="1432"/>
      <c r="O218" s="1432"/>
      <c r="P218" s="1432"/>
      <c r="Q218" s="1432"/>
      <c r="R218" s="1432"/>
      <c r="S218" s="1432"/>
      <c r="T218" s="1432"/>
      <c r="U218" s="1432"/>
      <c r="V218" s="1432"/>
      <c r="W218" s="1432"/>
      <c r="X218" s="1432"/>
      <c r="Y218" s="1432"/>
      <c r="Z218" s="1432"/>
      <c r="AA218" s="1432"/>
      <c r="AB218" s="1432"/>
      <c r="AC218" s="1432"/>
      <c r="AD218" s="1432"/>
      <c r="AE218" s="1432"/>
      <c r="AF218" s="1432"/>
      <c r="AG218" s="1432"/>
      <c r="AH218" s="1432"/>
      <c r="AI218" s="1432"/>
      <c r="AJ218" s="1432"/>
      <c r="AK218" s="1432"/>
      <c r="AL218" s="1432"/>
      <c r="AM218" s="1432"/>
      <c r="AN218" s="1432"/>
      <c r="AO218" s="1432"/>
      <c r="AP218" s="1432"/>
      <c r="AQ218" s="1432"/>
      <c r="AR218" s="1432"/>
      <c r="AS218" s="1432"/>
      <c r="AT218" s="1432"/>
      <c r="AU218" s="1432"/>
      <c r="AV218" s="1432"/>
      <c r="AW218" s="1432"/>
      <c r="AX218" s="1432"/>
      <c r="AY218" s="1432"/>
      <c r="AZ218" s="1432"/>
      <c r="BA218" s="1432"/>
      <c r="BB218" s="1432"/>
      <c r="BC218" s="1432"/>
      <c r="BD218" s="1432"/>
      <c r="BE218" s="1432"/>
      <c r="BF218" s="1432"/>
      <c r="BG218" s="1433"/>
      <c r="BH218" s="550"/>
      <c r="BI218" s="550"/>
      <c r="BJ218" s="550"/>
      <c r="BK218" s="550"/>
      <c r="BL218" s="550"/>
      <c r="BM218" s="551"/>
      <c r="BN218" s="590"/>
      <c r="BO218" s="590"/>
      <c r="BP218" s="590"/>
      <c r="BQ218" s="590"/>
      <c r="BR218" s="590"/>
      <c r="BS218" s="590"/>
      <c r="BT218" s="590"/>
      <c r="BU218" s="590"/>
      <c r="BV218" s="590"/>
      <c r="BW218" s="590"/>
      <c r="BX218" s="590"/>
      <c r="BY218" s="590"/>
      <c r="BZ218" s="590"/>
      <c r="CA218" s="590"/>
      <c r="CB218" s="590"/>
      <c r="CC218" s="590"/>
      <c r="CD218" s="590"/>
      <c r="CE218" s="590"/>
      <c r="CF218" s="590"/>
      <c r="CG218" s="590"/>
      <c r="CH218" s="590"/>
      <c r="CI218" s="590"/>
      <c r="CJ218" s="590"/>
      <c r="CK218" s="590"/>
      <c r="CL218" s="590"/>
      <c r="CM218" s="590"/>
      <c r="CN218" s="590"/>
      <c r="CO218" s="590"/>
      <c r="CP218" s="590"/>
      <c r="CQ218" s="590"/>
      <c r="CR218" s="590"/>
      <c r="CS218" s="590"/>
      <c r="CT218" s="590"/>
      <c r="CU218" s="590"/>
      <c r="CV218" s="590"/>
      <c r="CW218" s="591"/>
    </row>
    <row r="219" spans="1:218" ht="14" x14ac:dyDescent="0.15">
      <c r="A219" s="588"/>
      <c r="B219" s="1434"/>
      <c r="C219" s="1435"/>
      <c r="D219" s="1435"/>
      <c r="E219" s="1435"/>
      <c r="F219" s="1435"/>
      <c r="G219" s="1435"/>
      <c r="H219" s="1435"/>
      <c r="I219" s="1435"/>
      <c r="J219" s="1435"/>
      <c r="K219" s="1435"/>
      <c r="L219" s="1435"/>
      <c r="M219" s="1435"/>
      <c r="N219" s="1435"/>
      <c r="O219" s="1435"/>
      <c r="P219" s="1435"/>
      <c r="Q219" s="1435"/>
      <c r="R219" s="1435"/>
      <c r="S219" s="1435"/>
      <c r="T219" s="1435"/>
      <c r="U219" s="1435"/>
      <c r="V219" s="1435"/>
      <c r="W219" s="1435"/>
      <c r="X219" s="1435"/>
      <c r="Y219" s="1435"/>
      <c r="Z219" s="1435"/>
      <c r="AA219" s="1435"/>
      <c r="AB219" s="1435"/>
      <c r="AC219" s="1435"/>
      <c r="AD219" s="1435"/>
      <c r="AE219" s="1435"/>
      <c r="AF219" s="1435"/>
      <c r="AG219" s="1435"/>
      <c r="AH219" s="1435"/>
      <c r="AI219" s="1435"/>
      <c r="AJ219" s="1435"/>
      <c r="AK219" s="1435"/>
      <c r="AL219" s="1435"/>
      <c r="AM219" s="1435"/>
      <c r="AN219" s="1435"/>
      <c r="AO219" s="1435"/>
      <c r="AP219" s="1435"/>
      <c r="AQ219" s="1435"/>
      <c r="AR219" s="1435"/>
      <c r="AS219" s="1435"/>
      <c r="AT219" s="1435"/>
      <c r="AU219" s="1435"/>
      <c r="AV219" s="1435"/>
      <c r="AW219" s="1435"/>
      <c r="AX219" s="1435"/>
      <c r="AY219" s="1435"/>
      <c r="AZ219" s="1435"/>
      <c r="BA219" s="1435"/>
      <c r="BB219" s="1435"/>
      <c r="BC219" s="1435"/>
      <c r="BD219" s="1435"/>
      <c r="BE219" s="1435"/>
      <c r="BF219" s="1435"/>
      <c r="BG219" s="1436"/>
      <c r="BH219" s="550"/>
      <c r="BI219" s="550"/>
      <c r="BJ219" s="550"/>
      <c r="BK219" s="550"/>
      <c r="BL219" s="550"/>
      <c r="BM219" s="551"/>
      <c r="BN219" s="590"/>
      <c r="BO219" s="590"/>
      <c r="BP219" s="590"/>
      <c r="BQ219" s="590"/>
      <c r="BR219" s="590"/>
      <c r="BS219" s="590"/>
      <c r="BT219" s="590"/>
      <c r="BU219" s="590"/>
      <c r="BV219" s="590"/>
      <c r="BW219" s="590"/>
      <c r="BX219" s="590"/>
      <c r="BY219" s="590"/>
      <c r="BZ219" s="590"/>
      <c r="CA219" s="590"/>
      <c r="CB219" s="590"/>
      <c r="CC219" s="590"/>
      <c r="CE219" s="590"/>
      <c r="CF219" s="590"/>
      <c r="CG219" s="590"/>
      <c r="CH219" s="590"/>
      <c r="CI219" s="590"/>
      <c r="CJ219" s="590"/>
      <c r="CK219" s="590"/>
      <c r="CL219" s="590"/>
      <c r="CM219" s="590"/>
      <c r="CN219" s="590"/>
      <c r="CO219" s="590"/>
      <c r="CP219" s="590"/>
      <c r="CQ219" s="590"/>
      <c r="CR219" s="590"/>
      <c r="CS219" s="590"/>
      <c r="CT219" s="590"/>
      <c r="CU219" s="590"/>
      <c r="CV219" s="590"/>
      <c r="CW219" s="591"/>
    </row>
    <row r="220" spans="1:218" ht="14" x14ac:dyDescent="0.15">
      <c r="A220" s="588"/>
      <c r="B220" s="811"/>
      <c r="C220" s="812"/>
      <c r="D220" s="813"/>
      <c r="E220" s="722"/>
      <c r="F220" s="722"/>
      <c r="G220" s="722"/>
      <c r="H220" s="722"/>
      <c r="I220" s="722"/>
      <c r="J220" s="722"/>
      <c r="K220" s="722"/>
      <c r="L220" s="722"/>
      <c r="M220" s="722"/>
      <c r="N220" s="722"/>
      <c r="O220" s="722"/>
      <c r="P220" s="722"/>
      <c r="Q220" s="722"/>
      <c r="R220" s="722"/>
      <c r="S220" s="722"/>
      <c r="T220" s="722"/>
      <c r="U220" s="722"/>
      <c r="V220" s="722"/>
      <c r="W220" s="722"/>
      <c r="X220" s="722"/>
      <c r="Y220" s="722"/>
      <c r="Z220" s="722"/>
      <c r="AA220" s="722"/>
      <c r="AB220" s="722"/>
      <c r="AC220" s="722"/>
      <c r="AD220" s="722"/>
      <c r="AE220" s="722"/>
      <c r="AF220" s="722"/>
      <c r="AG220" s="722"/>
      <c r="AH220" s="814"/>
      <c r="AI220" s="722"/>
      <c r="AJ220" s="722"/>
      <c r="AK220" s="722"/>
      <c r="AL220" s="722"/>
      <c r="AM220" s="722"/>
      <c r="AN220" s="722"/>
      <c r="AO220" s="722"/>
      <c r="AP220" s="722"/>
      <c r="AQ220" s="722"/>
      <c r="AR220" s="722"/>
      <c r="AS220" s="722"/>
      <c r="AT220" s="722"/>
      <c r="AU220" s="722"/>
      <c r="AV220" s="722"/>
      <c r="AW220" s="722"/>
      <c r="AX220" s="722"/>
      <c r="AY220" s="722"/>
      <c r="AZ220" s="722"/>
      <c r="BA220" s="722"/>
      <c r="BB220" s="722"/>
      <c r="BC220" s="722"/>
      <c r="BD220" s="722"/>
      <c r="BE220" s="722"/>
      <c r="BF220" s="722"/>
      <c r="BG220" s="723"/>
      <c r="BH220" s="550"/>
      <c r="BI220" s="550"/>
      <c r="BJ220" s="550"/>
      <c r="BK220" s="550"/>
      <c r="BL220" s="550"/>
      <c r="BM220" s="551"/>
      <c r="BN220" s="590"/>
      <c r="BO220" s="590"/>
      <c r="BP220" s="590"/>
      <c r="BQ220" s="590"/>
      <c r="BR220" s="590"/>
      <c r="BS220" s="590"/>
      <c r="BT220" s="590"/>
      <c r="BU220" s="590"/>
      <c r="BV220" s="590"/>
      <c r="BW220" s="590"/>
      <c r="BX220" s="590"/>
      <c r="BY220" s="590"/>
      <c r="BZ220" s="590"/>
      <c r="CA220" s="590"/>
      <c r="CB220" s="590"/>
      <c r="CC220" s="590"/>
      <c r="CE220" s="590"/>
      <c r="CF220" s="590"/>
      <c r="CG220" s="590"/>
      <c r="CH220" s="590"/>
      <c r="CI220" s="590"/>
      <c r="CJ220" s="590"/>
      <c r="CK220" s="590"/>
      <c r="CL220" s="590"/>
      <c r="CM220" s="590"/>
      <c r="CN220" s="590"/>
      <c r="CO220" s="590"/>
      <c r="CP220" s="590"/>
      <c r="CQ220" s="590"/>
      <c r="CR220" s="590"/>
      <c r="CS220" s="590"/>
      <c r="CT220" s="590"/>
      <c r="CU220" s="590"/>
      <c r="CV220" s="590"/>
      <c r="CW220" s="591"/>
    </row>
    <row r="221" spans="1:218" ht="15" customHeight="1" x14ac:dyDescent="0.15">
      <c r="A221" s="588"/>
      <c r="B221" s="815"/>
      <c r="C221" s="816"/>
      <c r="D221" s="582" t="s">
        <v>349</v>
      </c>
      <c r="E221" s="817"/>
      <c r="F221" s="817"/>
      <c r="G221" s="817"/>
      <c r="H221" s="817"/>
      <c r="I221" s="817"/>
      <c r="J221" s="817"/>
      <c r="K221" s="817"/>
      <c r="L221" s="817"/>
      <c r="M221" s="817"/>
      <c r="N221" s="817"/>
      <c r="O221" s="817"/>
      <c r="P221" s="817"/>
      <c r="Q221" s="817"/>
      <c r="R221" s="817"/>
      <c r="S221" s="817"/>
      <c r="T221" s="817"/>
      <c r="U221" s="817"/>
      <c r="V221" s="817"/>
      <c r="W221" s="817"/>
      <c r="X221" s="817"/>
      <c r="Y221" s="817"/>
      <c r="Z221" s="817"/>
      <c r="AA221" s="817"/>
      <c r="AB221" s="817"/>
      <c r="AC221" s="817"/>
      <c r="AD221" s="817"/>
      <c r="AE221" s="817"/>
      <c r="AF221" s="817"/>
      <c r="AG221" s="817"/>
      <c r="AH221" s="818"/>
      <c r="AI221" s="817"/>
      <c r="AJ221" s="817"/>
      <c r="AK221" s="817"/>
      <c r="AL221" s="817"/>
      <c r="AM221" s="817"/>
      <c r="AN221" s="817"/>
      <c r="AO221" s="817"/>
      <c r="AP221" s="817"/>
      <c r="AQ221" s="817"/>
      <c r="AR221" s="817"/>
      <c r="AS221" s="817"/>
      <c r="AT221" s="817"/>
      <c r="AU221" s="817"/>
      <c r="AV221" s="817"/>
      <c r="AW221" s="817"/>
      <c r="AX221" s="817"/>
      <c r="AY221" s="817"/>
      <c r="AZ221" s="817"/>
      <c r="BA221" s="817"/>
      <c r="BB221" s="817"/>
      <c r="BC221" s="817"/>
      <c r="BD221" s="817"/>
      <c r="BE221" s="817"/>
      <c r="BF221" s="817"/>
      <c r="BG221" s="598"/>
      <c r="BL221" s="550"/>
      <c r="BM221" s="551"/>
      <c r="BO221" s="1121" t="s">
        <v>297</v>
      </c>
      <c r="BR221" s="590"/>
      <c r="BS221" s="590"/>
      <c r="BT221" s="590"/>
      <c r="BU221" s="590"/>
      <c r="BV221" s="590"/>
      <c r="BW221" s="590"/>
      <c r="BY221" s="590"/>
      <c r="BZ221" s="1128" t="s">
        <v>1133</v>
      </c>
      <c r="CA221" s="590"/>
      <c r="CB221" s="590"/>
      <c r="CC221" s="590"/>
      <c r="CD221" s="1128" t="s">
        <v>1128</v>
      </c>
      <c r="CE221" s="590"/>
      <c r="CF221" s="590"/>
      <c r="CG221" s="590"/>
      <c r="CH221" s="590"/>
      <c r="CI221" s="590"/>
      <c r="CJ221" s="590"/>
      <c r="CK221" s="590"/>
      <c r="CL221" s="590"/>
      <c r="CM221" s="590"/>
      <c r="CN221" s="590"/>
      <c r="CO221" s="590"/>
      <c r="CP221" s="590"/>
      <c r="CQ221" s="590"/>
      <c r="CR221" s="590"/>
      <c r="CS221" s="590"/>
      <c r="CT221" s="590"/>
      <c r="CU221" s="590"/>
      <c r="CV221" s="590"/>
      <c r="CW221" s="591"/>
    </row>
    <row r="222" spans="1:218" ht="14" x14ac:dyDescent="0.15">
      <c r="A222" s="588"/>
      <c r="B222" s="815"/>
      <c r="C222" s="816"/>
      <c r="D222" s="550"/>
      <c r="E222" s="819"/>
      <c r="F222" s="819"/>
      <c r="G222" s="819"/>
      <c r="H222" s="819"/>
      <c r="I222" s="819"/>
      <c r="J222" s="819"/>
      <c r="K222" s="819"/>
      <c r="L222" s="819"/>
      <c r="M222" s="816"/>
      <c r="N222" s="816"/>
      <c r="O222" s="816"/>
      <c r="P222" s="816"/>
      <c r="Q222" s="816"/>
      <c r="R222" s="816"/>
      <c r="S222" s="816"/>
      <c r="T222" s="816"/>
      <c r="U222" s="816"/>
      <c r="V222" s="816"/>
      <c r="W222" s="816"/>
      <c r="X222" s="550"/>
      <c r="Y222" s="550"/>
      <c r="Z222" s="550"/>
      <c r="AA222" s="550"/>
      <c r="AB222" s="550"/>
      <c r="AC222" s="550"/>
      <c r="AD222" s="550"/>
      <c r="AE222" s="550"/>
      <c r="AF222" s="550"/>
      <c r="AG222" s="550"/>
      <c r="AH222" s="550"/>
      <c r="AI222" s="550"/>
      <c r="AJ222" s="550"/>
      <c r="AK222" s="550"/>
      <c r="AL222" s="550"/>
      <c r="AM222" s="550"/>
      <c r="AN222" s="550"/>
      <c r="AO222" s="550"/>
      <c r="AP222" s="550"/>
      <c r="AQ222" s="550"/>
      <c r="AR222" s="550"/>
      <c r="AS222" s="550"/>
      <c r="AT222" s="550"/>
      <c r="AU222" s="550"/>
      <c r="AV222" s="550"/>
      <c r="AW222" s="550"/>
      <c r="AX222" s="550"/>
      <c r="AY222" s="550"/>
      <c r="AZ222" s="550"/>
      <c r="BA222" s="550"/>
      <c r="BB222" s="550"/>
      <c r="BC222" s="550"/>
      <c r="BD222" s="550"/>
      <c r="BE222" s="550"/>
      <c r="BF222" s="550"/>
      <c r="BG222" s="598"/>
      <c r="BH222" s="550"/>
      <c r="BI222" s="550"/>
      <c r="BJ222" s="550"/>
      <c r="BK222" s="550"/>
      <c r="BL222" s="550"/>
      <c r="BM222" s="551"/>
      <c r="BN222" s="590"/>
      <c r="BO222" s="590" t="s">
        <v>1098</v>
      </c>
      <c r="BP222" s="590"/>
      <c r="BQ222" s="590"/>
      <c r="BR222" s="590"/>
      <c r="BS222" s="590"/>
      <c r="BT222" s="590"/>
      <c r="BU222" s="590"/>
      <c r="BV222" s="590"/>
      <c r="BW222" s="590"/>
      <c r="BY222" s="590"/>
      <c r="BZ222" s="743" t="s">
        <v>163</v>
      </c>
      <c r="CA222" s="590"/>
      <c r="CB222" s="590"/>
      <c r="CC222" s="590" t="s">
        <v>1132</v>
      </c>
      <c r="CD222" s="743" t="str">
        <f>[2]Refin_adatlap_vállakozás_adatok!BA106</f>
        <v>kitöltendő legördülő cella</v>
      </c>
      <c r="CE222" s="590"/>
      <c r="CF222" s="590"/>
      <c r="CG222" s="590"/>
      <c r="CH222" s="590"/>
      <c r="CI222" s="590"/>
      <c r="CJ222" s="590"/>
      <c r="CK222" s="590"/>
      <c r="CL222" s="590"/>
      <c r="CM222" s="590"/>
      <c r="CN222" s="590"/>
      <c r="CO222" s="590"/>
      <c r="CP222" s="590"/>
      <c r="CQ222" s="590"/>
      <c r="CR222" s="590"/>
      <c r="CS222" s="590"/>
      <c r="CT222" s="590"/>
      <c r="CU222" s="590"/>
      <c r="CV222" s="590"/>
      <c r="CW222" s="591"/>
    </row>
    <row r="223" spans="1:218" ht="14" x14ac:dyDescent="0.15">
      <c r="A223" s="588"/>
      <c r="B223" s="815"/>
      <c r="C223" s="816"/>
      <c r="D223" s="550"/>
      <c r="E223" s="1121" t="s">
        <v>1099</v>
      </c>
      <c r="L223" s="1167" t="s">
        <v>296</v>
      </c>
      <c r="M223" s="1167"/>
      <c r="X223" s="820" t="s">
        <v>295</v>
      </c>
      <c r="Y223" s="1327" t="s">
        <v>163</v>
      </c>
      <c r="Z223" s="1327"/>
      <c r="AA223" s="1327"/>
      <c r="AB223" s="1327"/>
      <c r="AC223" s="1327"/>
      <c r="AD223" s="1327"/>
      <c r="AE223" s="1327"/>
      <c r="AF223" s="1327"/>
      <c r="AG223" s="1327"/>
      <c r="AH223" s="1327"/>
      <c r="AI223" s="1327"/>
      <c r="AJ223" s="1327"/>
      <c r="AK223" s="1327"/>
      <c r="AL223" s="1327"/>
      <c r="AM223" s="1327"/>
      <c r="AN223" s="1327"/>
      <c r="AO223" s="1327"/>
      <c r="AP223" s="1327"/>
      <c r="AQ223" s="1327"/>
      <c r="AR223" s="1327"/>
      <c r="AS223" s="1327"/>
      <c r="AT223" s="1327"/>
      <c r="AU223" s="1327"/>
      <c r="AV223" s="1327"/>
      <c r="AW223" s="1327"/>
      <c r="AX223" s="1327"/>
      <c r="AY223" s="1327"/>
      <c r="AZ223" s="1327"/>
      <c r="BA223" s="1327"/>
      <c r="BB223" s="1327"/>
      <c r="BC223" s="1119"/>
      <c r="BG223" s="631"/>
      <c r="BH223" s="550"/>
      <c r="BI223" s="550"/>
      <c r="BJ223" s="550"/>
      <c r="BK223" s="550"/>
      <c r="BL223" s="550"/>
      <c r="BM223" s="551"/>
      <c r="BN223" s="590"/>
      <c r="BO223" s="590" t="s">
        <v>296</v>
      </c>
      <c r="BP223" s="590"/>
      <c r="BQ223" s="590"/>
      <c r="BR223" s="590"/>
      <c r="BS223" s="590"/>
      <c r="BT223" s="590"/>
      <c r="BU223" s="590"/>
      <c r="BV223" s="590"/>
      <c r="BW223" s="590"/>
      <c r="BY223" s="590"/>
      <c r="BZ223" s="590" t="str">
        <f>IF(CB223=1,"Észak-Magyarország",IF(CB231=2,"Burgenland",IF(CB240=3,"Jadranska Hrvatska",IF(CB242=4,"Nord-Vest",IF(CB250=5,"Vzhodna Slovenija",IF(CB252=6,"Bratislavský kraj",""))))))</f>
        <v>Észak-Magyarország</v>
      </c>
      <c r="CA223" s="590"/>
      <c r="CB223" s="590">
        <f>IF(L223="HU",1,"")</f>
        <v>1</v>
      </c>
      <c r="CC223" s="590" t="s">
        <v>296</v>
      </c>
      <c r="CD223" s="743" t="str">
        <f>[2]Refin_adatlap_vállakozás_adatok!BA107</f>
        <v>Észak-Magyarország</v>
      </c>
      <c r="CE223" s="590"/>
      <c r="CF223" s="590"/>
      <c r="CG223" s="590"/>
      <c r="CH223" s="590"/>
      <c r="CI223" s="590"/>
      <c r="CJ223" s="590"/>
      <c r="CK223" s="590"/>
      <c r="CL223" s="590"/>
      <c r="CM223" s="590"/>
      <c r="CN223" s="590"/>
      <c r="CO223" s="590"/>
      <c r="CP223" s="590"/>
      <c r="CQ223" s="590"/>
      <c r="CR223" s="590"/>
      <c r="CS223" s="590"/>
      <c r="CT223" s="590"/>
      <c r="CU223" s="590"/>
      <c r="CV223" s="590"/>
      <c r="CW223" s="591"/>
    </row>
    <row r="224" spans="1:218" ht="14" x14ac:dyDescent="0.15">
      <c r="A224" s="588"/>
      <c r="B224" s="597"/>
      <c r="C224" s="550"/>
      <c r="D224" s="819"/>
      <c r="E224" s="550"/>
      <c r="F224" s="550"/>
      <c r="G224" s="550"/>
      <c r="H224" s="550"/>
      <c r="I224" s="550"/>
      <c r="J224" s="550"/>
      <c r="K224" s="550"/>
      <c r="L224" s="550"/>
      <c r="M224" s="550"/>
      <c r="N224" s="550"/>
      <c r="O224" s="550"/>
      <c r="P224" s="550"/>
      <c r="Q224" s="550"/>
      <c r="R224" s="550"/>
      <c r="S224" s="550"/>
      <c r="T224" s="550"/>
      <c r="U224" s="550"/>
      <c r="V224" s="550"/>
      <c r="W224" s="550"/>
      <c r="X224" s="550"/>
      <c r="Y224" s="550"/>
      <c r="Z224" s="550"/>
      <c r="AA224" s="550"/>
      <c r="AB224" s="550"/>
      <c r="AC224" s="550"/>
      <c r="AD224" s="550"/>
      <c r="AE224" s="550"/>
      <c r="AF224" s="550"/>
      <c r="AG224" s="550"/>
      <c r="AH224" s="550"/>
      <c r="AI224" s="550"/>
      <c r="AJ224" s="550"/>
      <c r="AK224" s="550"/>
      <c r="AL224" s="550"/>
      <c r="AM224" s="550"/>
      <c r="AN224" s="550"/>
      <c r="AO224" s="550"/>
      <c r="AP224" s="550"/>
      <c r="AQ224" s="550"/>
      <c r="AR224" s="550"/>
      <c r="AS224" s="550"/>
      <c r="AT224" s="550"/>
      <c r="AU224" s="550"/>
      <c r="AV224" s="550"/>
      <c r="AW224" s="550"/>
      <c r="AX224" s="550"/>
      <c r="AY224" s="550"/>
      <c r="AZ224" s="550"/>
      <c r="BA224" s="550"/>
      <c r="BB224" s="550"/>
      <c r="BC224" s="550"/>
      <c r="BD224" s="550"/>
      <c r="BE224" s="550"/>
      <c r="BF224" s="550"/>
      <c r="BG224" s="598"/>
      <c r="BH224" s="550"/>
      <c r="BI224" s="550"/>
      <c r="BJ224" s="550"/>
      <c r="BK224" s="550"/>
      <c r="BL224" s="550"/>
      <c r="BM224" s="551"/>
      <c r="BN224" s="590"/>
      <c r="BO224" s="590" t="str">
        <f>IF(BU11=5,"AT","")</f>
        <v/>
      </c>
      <c r="BP224" s="590"/>
      <c r="BQ224" s="590"/>
      <c r="BR224" s="590"/>
      <c r="BS224" s="590"/>
      <c r="BT224" s="590"/>
      <c r="BU224" s="590"/>
      <c r="BV224" s="590"/>
      <c r="BW224" s="590"/>
      <c r="BY224" s="590"/>
      <c r="BZ224" s="590" t="str">
        <f>IF(CB224=1,"Észak-Alföld",IF(CB232=2,"Niederösterreich",IF(CB241=3,"Kontinentalna Hrvatska",IF(CB243=4,"Centru",IF(CB251=5,"Zahodna Slovenija",IF(CB253=6,"Západné Slovensko",""))))))</f>
        <v>Észak-Alföld</v>
      </c>
      <c r="CA224" s="590"/>
      <c r="CB224" s="590">
        <f>IF(L223="HU",1,"")</f>
        <v>1</v>
      </c>
      <c r="CC224" s="590" t="s">
        <v>296</v>
      </c>
      <c r="CD224" s="743" t="str">
        <f>[2]Refin_adatlap_vállakozás_adatok!BA108</f>
        <v>Észak-Alföld</v>
      </c>
      <c r="CE224" s="590"/>
      <c r="CF224" s="590"/>
      <c r="CG224" s="590"/>
      <c r="CH224" s="590"/>
      <c r="CI224" s="590"/>
      <c r="CJ224" s="590"/>
      <c r="CK224" s="590"/>
      <c r="CL224" s="590"/>
      <c r="CM224" s="590"/>
      <c r="CN224" s="590"/>
      <c r="CO224" s="590"/>
      <c r="CP224" s="590"/>
      <c r="CQ224" s="590"/>
      <c r="CR224" s="590"/>
      <c r="CS224" s="590"/>
      <c r="CT224" s="590"/>
      <c r="CU224" s="590"/>
      <c r="CV224" s="590"/>
      <c r="CW224" s="591"/>
    </row>
    <row r="225" spans="1:101" ht="14" x14ac:dyDescent="0.15">
      <c r="A225" s="588"/>
      <c r="B225" s="597"/>
      <c r="C225" s="550"/>
      <c r="D225" s="819"/>
      <c r="G225" s="819"/>
      <c r="H225" s="819"/>
      <c r="I225" s="819"/>
      <c r="J225" s="819"/>
      <c r="K225" s="1167"/>
      <c r="L225" s="1167"/>
      <c r="M225" s="1167"/>
      <c r="N225" s="1167"/>
      <c r="O225" s="541"/>
      <c r="P225" s="550"/>
      <c r="Q225" s="1281"/>
      <c r="R225" s="1281"/>
      <c r="S225" s="1281"/>
      <c r="T225" s="1281"/>
      <c r="U225" s="1281"/>
      <c r="V225" s="1281"/>
      <c r="W225" s="1281"/>
      <c r="X225" s="1281"/>
      <c r="Y225" s="1281"/>
      <c r="Z225" s="1281"/>
      <c r="AA225" s="1281"/>
      <c r="AB225" s="1281"/>
      <c r="AC225" s="1281"/>
      <c r="AD225" s="1281"/>
      <c r="AE225" s="1281"/>
      <c r="AF225" s="1281"/>
      <c r="AG225" s="1281"/>
      <c r="AH225" s="1281"/>
      <c r="AI225" s="1281"/>
      <c r="AJ225" s="1281"/>
      <c r="AK225" s="1281"/>
      <c r="AL225" s="1281"/>
      <c r="AM225" s="1281"/>
      <c r="AN225" s="1281"/>
      <c r="AO225" s="1281"/>
      <c r="AP225" s="1281"/>
      <c r="AQ225" s="1281"/>
      <c r="AR225" s="1281"/>
      <c r="AS225" s="1281"/>
      <c r="AT225" s="1281"/>
      <c r="AU225" s="1281"/>
      <c r="AV225" s="1281"/>
      <c r="AW225" s="1281"/>
      <c r="AX225" s="821"/>
      <c r="AY225" s="1339"/>
      <c r="AZ225" s="1339"/>
      <c r="BA225" s="1339"/>
      <c r="BB225" s="1339"/>
      <c r="BC225" s="550"/>
      <c r="BD225" s="550"/>
      <c r="BE225" s="550"/>
      <c r="BF225" s="550"/>
      <c r="BG225" s="598"/>
      <c r="BH225" s="550"/>
      <c r="BI225" s="550"/>
      <c r="BJ225" s="550"/>
      <c r="BK225" s="550"/>
      <c r="BL225" s="550"/>
      <c r="BM225" s="551"/>
      <c r="BN225" s="590"/>
      <c r="BO225" s="658" t="str">
        <f>IF(BU11=5,"HR","")</f>
        <v/>
      </c>
      <c r="BP225" s="590"/>
      <c r="BQ225" s="590"/>
      <c r="BR225" s="590"/>
      <c r="BS225" s="590"/>
      <c r="BT225" s="590"/>
      <c r="BU225" s="590"/>
      <c r="BV225" s="590"/>
      <c r="BW225" s="590"/>
      <c r="BY225" s="590"/>
      <c r="BZ225" s="590" t="str">
        <f>IF(CB225=1,"Dél-Alföld",IF(CB233=2,"Wien",IF(CB244=4,"Nord-Est",IF(CB254=6,"Stredné Slovensko",""))))</f>
        <v>Dél-Alföld</v>
      </c>
      <c r="CA225" s="590"/>
      <c r="CB225" s="590">
        <f>IF(L223="HU",1,"")</f>
        <v>1</v>
      </c>
      <c r="CC225" s="590" t="s">
        <v>296</v>
      </c>
      <c r="CD225" s="743" t="str">
        <f>[2]Refin_adatlap_vállakozás_adatok!BA109</f>
        <v xml:space="preserve">Dél-Alföld </v>
      </c>
      <c r="CE225" s="590"/>
      <c r="CF225" s="590"/>
      <c r="CG225" s="590"/>
      <c r="CH225" s="590"/>
      <c r="CI225" s="590"/>
      <c r="CJ225" s="590"/>
      <c r="CK225" s="590"/>
      <c r="CL225" s="590"/>
      <c r="CM225" s="590"/>
      <c r="CN225" s="590"/>
      <c r="CO225" s="590"/>
      <c r="CP225" s="590"/>
      <c r="CQ225" s="590"/>
      <c r="CR225" s="590"/>
      <c r="CS225" s="590"/>
      <c r="CT225" s="590"/>
      <c r="CU225" s="590"/>
      <c r="CV225" s="590"/>
      <c r="CW225" s="591"/>
    </row>
    <row r="226" spans="1:101" ht="14" x14ac:dyDescent="0.15">
      <c r="A226" s="588"/>
      <c r="B226" s="597"/>
      <c r="C226" s="550"/>
      <c r="D226" s="819"/>
      <c r="E226" s="550"/>
      <c r="F226" s="819"/>
      <c r="G226" s="819"/>
      <c r="H226" s="819"/>
      <c r="I226" s="819"/>
      <c r="J226" s="819"/>
      <c r="K226" s="550" t="s">
        <v>146</v>
      </c>
      <c r="L226" s="819"/>
      <c r="M226" s="550"/>
      <c r="N226" s="550"/>
      <c r="O226" s="550"/>
      <c r="P226" s="541"/>
      <c r="Q226" s="550" t="s">
        <v>147</v>
      </c>
      <c r="R226" s="550"/>
      <c r="S226" s="550"/>
      <c r="T226" s="550"/>
      <c r="U226" s="550"/>
      <c r="V226" s="550"/>
      <c r="W226" s="550"/>
      <c r="X226" s="550"/>
      <c r="Y226" s="550"/>
      <c r="Z226" s="550"/>
      <c r="AA226" s="550"/>
      <c r="AB226" s="550"/>
      <c r="AC226" s="550"/>
      <c r="AD226" s="550"/>
      <c r="AE226" s="550"/>
      <c r="AF226" s="550"/>
      <c r="AG226" s="550"/>
      <c r="AH226" s="550"/>
      <c r="AI226" s="550"/>
      <c r="AJ226" s="550"/>
      <c r="AK226" s="550"/>
      <c r="AL226" s="550"/>
      <c r="AM226" s="550"/>
      <c r="AN226" s="550"/>
      <c r="AO226" s="550"/>
      <c r="AP226" s="550"/>
      <c r="AQ226" s="550"/>
      <c r="AR226" s="550"/>
      <c r="AS226" s="550"/>
      <c r="AT226" s="550"/>
      <c r="AU226" s="550"/>
      <c r="AV226" s="550"/>
      <c r="AW226" s="550"/>
      <c r="AX226" s="550"/>
      <c r="AY226" s="550" t="s">
        <v>148</v>
      </c>
      <c r="AZ226" s="550"/>
      <c r="BA226" s="550"/>
      <c r="BB226" s="550"/>
      <c r="BC226" s="550"/>
      <c r="BD226" s="550"/>
      <c r="BE226" s="550"/>
      <c r="BF226" s="550"/>
      <c r="BG226" s="598"/>
      <c r="BH226" s="550"/>
      <c r="BI226" s="550"/>
      <c r="BJ226" s="550"/>
      <c r="BK226" s="550"/>
      <c r="BL226" s="550"/>
      <c r="BM226" s="551"/>
      <c r="BN226" s="590"/>
      <c r="BO226" s="658" t="str">
        <f>IF(BU11=5,"RO","")</f>
        <v/>
      </c>
      <c r="BP226" s="590"/>
      <c r="BQ226" s="590"/>
      <c r="BR226" s="590"/>
      <c r="BS226" s="590"/>
      <c r="BT226" s="590"/>
      <c r="BU226" s="590"/>
      <c r="BV226" s="590"/>
      <c r="BW226" s="590"/>
      <c r="BY226" s="590"/>
      <c r="BZ226" s="590" t="str">
        <f>IF(CB226=1,"Dél-Dunántúl",IF(CB234=2,"Kärnten",IF(CB245=4,"Sud-Est",IF(CB255=6,"Východné Slovensko",""))))</f>
        <v>Dél-Dunántúl</v>
      </c>
      <c r="CA226" s="590"/>
      <c r="CB226" s="590">
        <f>IF(L223="HU",1,"")</f>
        <v>1</v>
      </c>
      <c r="CC226" s="590" t="s">
        <v>296</v>
      </c>
      <c r="CD226" s="743" t="str">
        <f>[2]Refin_adatlap_vállakozás_adatok!BA110</f>
        <v>Dél-Dunántúl</v>
      </c>
      <c r="CE226" s="590"/>
      <c r="CF226" s="590"/>
      <c r="CG226" s="590"/>
      <c r="CH226" s="590"/>
      <c r="CI226" s="590"/>
      <c r="CJ226" s="590"/>
      <c r="CK226" s="590"/>
      <c r="CL226" s="590"/>
      <c r="CM226" s="590"/>
      <c r="CN226" s="590"/>
      <c r="CO226" s="590"/>
      <c r="CP226" s="590"/>
      <c r="CQ226" s="590"/>
      <c r="CR226" s="590"/>
      <c r="CS226" s="590"/>
      <c r="CT226" s="590"/>
      <c r="CU226" s="590"/>
      <c r="CV226" s="590"/>
      <c r="CW226" s="591"/>
    </row>
    <row r="227" spans="1:101" ht="14" x14ac:dyDescent="0.15">
      <c r="A227" s="588"/>
      <c r="B227" s="597"/>
      <c r="C227" s="550"/>
      <c r="D227" s="819"/>
      <c r="E227" s="550"/>
      <c r="F227" s="819"/>
      <c r="G227" s="819"/>
      <c r="H227" s="819"/>
      <c r="I227" s="819"/>
      <c r="J227" s="819"/>
      <c r="K227" s="819"/>
      <c r="L227" s="819"/>
      <c r="M227" s="550"/>
      <c r="N227" s="550"/>
      <c r="O227" s="550"/>
      <c r="P227" s="550"/>
      <c r="Q227" s="550"/>
      <c r="R227" s="550"/>
      <c r="S227" s="550"/>
      <c r="T227" s="550"/>
      <c r="U227" s="550"/>
      <c r="V227" s="550"/>
      <c r="W227" s="550"/>
      <c r="X227" s="550"/>
      <c r="Y227" s="550"/>
      <c r="Z227" s="550"/>
      <c r="AA227" s="550"/>
      <c r="AB227" s="550"/>
      <c r="AC227" s="550"/>
      <c r="AD227" s="550"/>
      <c r="AE227" s="550"/>
      <c r="AF227" s="550"/>
      <c r="AG227" s="550"/>
      <c r="AH227" s="550"/>
      <c r="AI227" s="550"/>
      <c r="AJ227" s="550"/>
      <c r="AK227" s="550"/>
      <c r="AL227" s="550"/>
      <c r="AM227" s="550"/>
      <c r="AN227" s="550"/>
      <c r="AO227" s="550"/>
      <c r="AP227" s="550"/>
      <c r="AQ227" s="550"/>
      <c r="AR227" s="550"/>
      <c r="AS227" s="550"/>
      <c r="AT227" s="550"/>
      <c r="AU227" s="550"/>
      <c r="AV227" s="550"/>
      <c r="AW227" s="550"/>
      <c r="AX227" s="550"/>
      <c r="AY227" s="550"/>
      <c r="AZ227" s="550"/>
      <c r="BA227" s="550"/>
      <c r="BB227" s="550"/>
      <c r="BC227" s="550"/>
      <c r="BD227" s="550"/>
      <c r="BE227" s="550"/>
      <c r="BF227" s="550"/>
      <c r="BG227" s="598"/>
      <c r="BH227" s="550"/>
      <c r="BI227" s="550"/>
      <c r="BJ227" s="550"/>
      <c r="BK227" s="550"/>
      <c r="BL227" s="550"/>
      <c r="BM227" s="551"/>
      <c r="BN227" s="590"/>
      <c r="BO227" s="658" t="str">
        <f>IF(BU11=5,"SI","")</f>
        <v/>
      </c>
      <c r="BP227" s="590"/>
      <c r="BQ227" s="590"/>
      <c r="BR227" s="590"/>
      <c r="BS227" s="590"/>
      <c r="BT227" s="590"/>
      <c r="BU227" s="590"/>
      <c r="BV227" s="590"/>
      <c r="BW227" s="590"/>
      <c r="BY227" s="590"/>
      <c r="BZ227" s="590" t="str">
        <f>IF(CB227=1,"Közép-Dunántúl",IF(CB235=2,"Steiermark",IF(CB246=4,"Sud – Muntenia","")))</f>
        <v>Közép-Dunántúl</v>
      </c>
      <c r="CA227" s="590"/>
      <c r="CB227" s="590">
        <f>IF(L223="HU",1,"")</f>
        <v>1</v>
      </c>
      <c r="CC227" s="590" t="s">
        <v>296</v>
      </c>
      <c r="CD227" s="743" t="str">
        <f>[2]Refin_adatlap_vállakozás_adatok!BA111</f>
        <v>Közép-Dunántúl</v>
      </c>
      <c r="CE227" s="590"/>
      <c r="CF227" s="590"/>
      <c r="CG227" s="590"/>
      <c r="CH227" s="590"/>
      <c r="CI227" s="590"/>
      <c r="CJ227" s="590"/>
      <c r="CK227" s="590"/>
      <c r="CL227" s="590"/>
      <c r="CM227" s="590"/>
      <c r="CN227" s="590"/>
      <c r="CO227" s="590"/>
      <c r="CP227" s="590"/>
      <c r="CQ227" s="590"/>
      <c r="CR227" s="590"/>
      <c r="CS227" s="590"/>
      <c r="CT227" s="590"/>
      <c r="CU227" s="590"/>
      <c r="CV227" s="590"/>
      <c r="CW227" s="591"/>
    </row>
    <row r="228" spans="1:101" ht="14" x14ac:dyDescent="0.15">
      <c r="A228" s="588"/>
      <c r="B228" s="597"/>
      <c r="C228" s="550"/>
      <c r="D228" s="1339"/>
      <c r="E228" s="1339"/>
      <c r="F228" s="1339"/>
      <c r="G228" s="1339"/>
      <c r="H228" s="1339"/>
      <c r="I228" s="1339"/>
      <c r="J228" s="1339"/>
      <c r="K228" s="1339"/>
      <c r="L228" s="1339"/>
      <c r="M228" s="1339"/>
      <c r="N228" s="1339"/>
      <c r="O228" s="1339"/>
      <c r="P228" s="1339"/>
      <c r="Q228" s="1339"/>
      <c r="R228" s="1339"/>
      <c r="S228" s="1339"/>
      <c r="T228" s="1339"/>
      <c r="U228" s="1339"/>
      <c r="V228" s="1339"/>
      <c r="W228" s="1339"/>
      <c r="X228" s="1339"/>
      <c r="Y228" s="1339"/>
      <c r="Z228" s="1339"/>
      <c r="AA228" s="1339"/>
      <c r="AB228" s="1339"/>
      <c r="AC228" s="1339"/>
      <c r="AD228" s="1339"/>
      <c r="AE228" s="1339"/>
      <c r="AF228" s="1339"/>
      <c r="AG228" s="1339"/>
      <c r="AH228" s="1339"/>
      <c r="AI228" s="1339"/>
      <c r="AJ228" s="1339"/>
      <c r="AK228" s="1339"/>
      <c r="AL228" s="1339"/>
      <c r="AM228" s="822"/>
      <c r="AN228" s="1339" t="s">
        <v>380</v>
      </c>
      <c r="AO228" s="1339"/>
      <c r="AP228" s="1339"/>
      <c r="AQ228" s="1339"/>
      <c r="AR228" s="1339"/>
      <c r="AS228" s="1339"/>
      <c r="AT228" s="821"/>
      <c r="AU228" s="821"/>
      <c r="AV228" s="821"/>
      <c r="AW228" s="821"/>
      <c r="AX228" s="550"/>
      <c r="AY228" s="1339"/>
      <c r="AZ228" s="1339"/>
      <c r="BA228" s="1339"/>
      <c r="BB228" s="1339"/>
      <c r="BC228" s="823"/>
      <c r="BD228" s="1339"/>
      <c r="BE228" s="1339"/>
      <c r="BF228" s="1339"/>
      <c r="BG228" s="598"/>
      <c r="BH228" s="550"/>
      <c r="BI228" s="550"/>
      <c r="BJ228" s="550"/>
      <c r="BK228" s="550"/>
      <c r="BL228" s="550"/>
      <c r="BM228" s="551"/>
      <c r="BN228" s="590"/>
      <c r="BO228" s="658" t="str">
        <f>IF(BU11=5,"SK","")</f>
        <v/>
      </c>
      <c r="BP228" s="590"/>
      <c r="BQ228" s="590"/>
      <c r="BR228" s="590"/>
      <c r="BS228" s="590"/>
      <c r="BT228" s="590"/>
      <c r="BU228" s="590"/>
      <c r="BV228" s="590"/>
      <c r="BW228" s="590"/>
      <c r="BY228" s="590"/>
      <c r="BZ228" s="590" t="str">
        <f>IF(CB228=1,"Nyugat-Dunántúl",IF(CB236=2,"Oberösterreich",IF(CB247=4,"București – Ilfov","")))</f>
        <v>Nyugat-Dunántúl</v>
      </c>
      <c r="CA228" s="590"/>
      <c r="CB228" s="590">
        <f>IF(L223="HU",1,"")</f>
        <v>1</v>
      </c>
      <c r="CC228" s="590" t="s">
        <v>296</v>
      </c>
      <c r="CD228" s="743" t="str">
        <f>[2]Refin_adatlap_vállakozás_adatok!BA112</f>
        <v>Nyugat-Dunántúl</v>
      </c>
      <c r="CE228" s="590"/>
      <c r="CF228" s="590"/>
      <c r="CG228" s="590"/>
      <c r="CH228" s="590"/>
      <c r="CI228" s="590"/>
      <c r="CJ228" s="590"/>
      <c r="CK228" s="590"/>
      <c r="CL228" s="590"/>
      <c r="CM228" s="590"/>
      <c r="CN228" s="590"/>
      <c r="CO228" s="590"/>
      <c r="CP228" s="590"/>
      <c r="CQ228" s="590"/>
      <c r="CR228" s="590"/>
      <c r="CS228" s="590"/>
      <c r="CT228" s="590"/>
      <c r="CU228" s="590"/>
      <c r="CV228" s="590"/>
      <c r="CW228" s="591"/>
    </row>
    <row r="229" spans="1:101" ht="14" x14ac:dyDescent="0.15">
      <c r="A229" s="588"/>
      <c r="B229" s="597"/>
      <c r="C229" s="550"/>
      <c r="D229" s="550" t="s">
        <v>149</v>
      </c>
      <c r="E229" s="550"/>
      <c r="F229" s="550"/>
      <c r="G229" s="550"/>
      <c r="H229" s="550"/>
      <c r="I229" s="550"/>
      <c r="J229" s="550"/>
      <c r="K229" s="550"/>
      <c r="L229" s="550"/>
      <c r="M229" s="550"/>
      <c r="N229" s="550"/>
      <c r="O229" s="550"/>
      <c r="P229" s="550"/>
      <c r="Q229" s="550"/>
      <c r="R229" s="550"/>
      <c r="S229" s="550"/>
      <c r="T229" s="550"/>
      <c r="U229" s="550"/>
      <c r="V229" s="550"/>
      <c r="W229" s="550"/>
      <c r="X229" s="550"/>
      <c r="Y229" s="550"/>
      <c r="Z229" s="550"/>
      <c r="AA229" s="550"/>
      <c r="AB229" s="550"/>
      <c r="AC229" s="550"/>
      <c r="AD229" s="550"/>
      <c r="AE229" s="550"/>
      <c r="AF229" s="550"/>
      <c r="AG229" s="550"/>
      <c r="AH229" s="550"/>
      <c r="AI229" s="550"/>
      <c r="AJ229" s="550"/>
      <c r="AK229" s="550"/>
      <c r="AL229" s="550"/>
      <c r="AM229" s="550"/>
      <c r="AN229" s="550"/>
      <c r="AO229" s="550" t="s">
        <v>150</v>
      </c>
      <c r="AP229" s="550"/>
      <c r="AQ229" s="550"/>
      <c r="AR229" s="550"/>
      <c r="AS229" s="550"/>
      <c r="AT229" s="550"/>
      <c r="AU229" s="550"/>
      <c r="AV229" s="550"/>
      <c r="AW229" s="550"/>
      <c r="AX229" s="550"/>
      <c r="AZ229" s="550" t="s">
        <v>151</v>
      </c>
      <c r="BA229" s="550"/>
      <c r="BB229" s="550"/>
      <c r="BC229" s="550"/>
      <c r="BD229" s="550" t="s">
        <v>567</v>
      </c>
      <c r="BE229" s="748" t="s">
        <v>567</v>
      </c>
      <c r="BF229" s="550"/>
      <c r="BG229" s="598"/>
      <c r="BH229" s="550"/>
      <c r="BI229" s="550"/>
      <c r="BJ229" s="550"/>
      <c r="BK229" s="550"/>
      <c r="BL229" s="550"/>
      <c r="BM229" s="551"/>
      <c r="BN229" s="590"/>
      <c r="BO229" s="658"/>
      <c r="BP229" s="590"/>
      <c r="BQ229" s="590"/>
      <c r="BR229" s="590"/>
      <c r="BS229" s="590"/>
      <c r="BT229" s="590"/>
      <c r="BU229" s="590"/>
      <c r="BV229" s="590"/>
      <c r="BW229" s="590"/>
      <c r="BY229" s="590"/>
      <c r="BZ229" s="590" t="str">
        <f>IF(CB229=1,"Közép-Magyarországi nem támogatható települések",IF(CB237=2,"Salzburg",IF(CB248=4,"Sud-Vest Oltenia","")))</f>
        <v>Közép-Magyarországi nem támogatható települések</v>
      </c>
      <c r="CA229" s="590"/>
      <c r="CB229" s="590">
        <f>IF(L223="HU",1,"")</f>
        <v>1</v>
      </c>
      <c r="CC229" s="590" t="s">
        <v>296</v>
      </c>
      <c r="CD229" s="743" t="str">
        <f>[2]Refin_adatlap_vállakozás_adatok!BA113</f>
        <v>Közép-Magyarországi nem támogatható települések</v>
      </c>
      <c r="CE229" s="590"/>
      <c r="CF229" s="590"/>
      <c r="CG229" s="590"/>
      <c r="CH229" s="590"/>
      <c r="CI229" s="590"/>
      <c r="CJ229" s="590"/>
      <c r="CK229" s="590"/>
      <c r="CL229" s="590"/>
      <c r="CM229" s="590"/>
      <c r="CN229" s="590"/>
      <c r="CO229" s="590"/>
      <c r="CP229" s="590"/>
      <c r="CQ229" s="590"/>
      <c r="CR229" s="590"/>
      <c r="CS229" s="590"/>
      <c r="CT229" s="590"/>
      <c r="CU229" s="590"/>
      <c r="CV229" s="590"/>
      <c r="CW229" s="591"/>
    </row>
    <row r="230" spans="1:101" ht="14.25" customHeight="1" x14ac:dyDescent="0.15">
      <c r="A230" s="588"/>
      <c r="B230" s="597"/>
      <c r="C230" s="550"/>
      <c r="D230" s="550"/>
      <c r="E230" s="550"/>
      <c r="F230" s="550"/>
      <c r="G230" s="550"/>
      <c r="H230" s="550"/>
      <c r="I230" s="550"/>
      <c r="J230" s="550"/>
      <c r="K230" s="550"/>
      <c r="L230" s="550"/>
      <c r="M230" s="550"/>
      <c r="N230" s="550"/>
      <c r="O230" s="550"/>
      <c r="P230" s="550"/>
      <c r="Q230" s="550"/>
      <c r="R230" s="550"/>
      <c r="S230" s="550"/>
      <c r="T230" s="550"/>
      <c r="U230" s="550"/>
      <c r="V230" s="550"/>
      <c r="W230" s="550"/>
      <c r="X230" s="550"/>
      <c r="Y230" s="550"/>
      <c r="Z230" s="550"/>
      <c r="AA230" s="550"/>
      <c r="AB230" s="550"/>
      <c r="AC230" s="550"/>
      <c r="AD230" s="550"/>
      <c r="AE230" s="550"/>
      <c r="AF230" s="550"/>
      <c r="AG230" s="550"/>
      <c r="AH230" s="550"/>
      <c r="AI230" s="550"/>
      <c r="AJ230" s="550"/>
      <c r="AK230" s="550"/>
      <c r="AL230" s="550"/>
      <c r="AM230" s="550"/>
      <c r="AN230" s="550"/>
      <c r="AO230" s="550"/>
      <c r="AP230" s="550"/>
      <c r="AQ230" s="550"/>
      <c r="AR230" s="550"/>
      <c r="AS230" s="550"/>
      <c r="AT230" s="550"/>
      <c r="AU230" s="550"/>
      <c r="AV230" s="550"/>
      <c r="AW230" s="550"/>
      <c r="AX230" s="550"/>
      <c r="AY230" s="550"/>
      <c r="AZ230" s="550"/>
      <c r="BA230" s="550"/>
      <c r="BB230" s="550"/>
      <c r="BC230" s="550"/>
      <c r="BD230" s="824" t="str">
        <f>+IF(AND(BD228="",OR(HetelTipusa="ingatlan célú éven túli forgóeszközhitel",HetelTipusa="ingatlan célú éven belüli forgóeszközhitel")),"Helyrajzi szám megadása kötelező!","")</f>
        <v/>
      </c>
      <c r="BE230" s="550"/>
      <c r="BF230" s="550"/>
      <c r="BG230" s="598"/>
      <c r="BH230" s="550"/>
      <c r="BI230" s="550"/>
      <c r="BJ230" s="550"/>
      <c r="BK230" s="550"/>
      <c r="BL230" s="550"/>
      <c r="BM230" s="551"/>
      <c r="BN230" s="590"/>
      <c r="BO230" s="658"/>
      <c r="BP230" s="590"/>
      <c r="BQ230" s="590"/>
      <c r="BR230" s="590"/>
      <c r="BS230" s="590"/>
      <c r="BT230" s="590"/>
      <c r="BU230" s="590"/>
      <c r="BV230" s="590"/>
      <c r="BW230" s="590"/>
      <c r="BY230" s="590"/>
      <c r="BZ230" s="590" t="str">
        <f>IF(CB230=1,"Közép-Magyarországi támogatható települések",IF(CB238=2,"Tirol",IF(CB249=4,"Vest","")))</f>
        <v>Közép-Magyarországi támogatható települések</v>
      </c>
      <c r="CA230" s="590"/>
      <c r="CB230" s="590">
        <f>IF(L223="HU",1,"")</f>
        <v>1</v>
      </c>
      <c r="CC230" s="590" t="s">
        <v>296</v>
      </c>
      <c r="CD230" s="743" t="str">
        <f>[2]Refin_adatlap_vállakozás_adatok!BA114</f>
        <v>Közép-Magyarországi támogatható települések</v>
      </c>
      <c r="CE230" s="590"/>
      <c r="CF230" s="590"/>
      <c r="CG230" s="590"/>
      <c r="CH230" s="590"/>
      <c r="CI230" s="590"/>
      <c r="CJ230" s="590"/>
      <c r="CK230" s="590"/>
      <c r="CL230" s="590"/>
      <c r="CM230" s="590"/>
      <c r="CN230" s="590"/>
      <c r="CO230" s="590"/>
      <c r="CP230" s="590"/>
      <c r="CQ230" s="590"/>
      <c r="CR230" s="590"/>
      <c r="CS230" s="590"/>
      <c r="CT230" s="590"/>
      <c r="CU230" s="590"/>
      <c r="CV230" s="590"/>
      <c r="CW230" s="591"/>
    </row>
    <row r="231" spans="1:101" ht="17.25" customHeight="1" x14ac:dyDescent="0.2">
      <c r="A231" s="588"/>
      <c r="B231" s="597"/>
      <c r="C231" s="550"/>
      <c r="D231" s="546" t="s">
        <v>348</v>
      </c>
      <c r="E231" s="546"/>
      <c r="F231" s="546"/>
      <c r="G231" s="546"/>
      <c r="H231" s="546"/>
      <c r="I231" s="546"/>
      <c r="J231" s="546"/>
      <c r="K231" s="546"/>
      <c r="L231" s="546"/>
      <c r="M231" s="600"/>
      <c r="N231" s="600"/>
      <c r="O231" s="600"/>
      <c r="P231" s="600"/>
      <c r="Q231" s="1327"/>
      <c r="R231" s="1327"/>
      <c r="S231" s="1327"/>
      <c r="T231" s="1327"/>
      <c r="U231" s="541"/>
      <c r="V231" s="550"/>
      <c r="W231" s="550"/>
      <c r="X231" s="550"/>
      <c r="Y231" s="541"/>
      <c r="Z231" s="658"/>
      <c r="AA231" s="658"/>
      <c r="AB231" s="658"/>
      <c r="AC231" s="658"/>
      <c r="AD231" s="658"/>
      <c r="AE231" s="658"/>
      <c r="AF231" s="658"/>
      <c r="AG231" s="658"/>
      <c r="AH231" s="550"/>
      <c r="AI231" s="550"/>
      <c r="AJ231" s="550"/>
      <c r="AK231" s="550"/>
      <c r="AL231" s="550"/>
      <c r="AM231" s="550"/>
      <c r="AN231" s="550"/>
      <c r="AO231" s="550"/>
      <c r="AP231" s="550"/>
      <c r="AQ231" s="550"/>
      <c r="AR231" s="550"/>
      <c r="AS231" s="550"/>
      <c r="AT231" s="550"/>
      <c r="AU231" s="550"/>
      <c r="AV231" s="550"/>
      <c r="AW231" s="550"/>
      <c r="AX231" s="550"/>
      <c r="AY231" s="550"/>
      <c r="AZ231" s="550"/>
      <c r="BA231" s="550"/>
      <c r="BB231" s="550"/>
      <c r="BC231" s="550"/>
      <c r="BD231" s="550"/>
      <c r="BE231" s="550"/>
      <c r="BF231" s="550"/>
      <c r="BG231" s="598"/>
      <c r="BH231" s="550"/>
      <c r="BI231" s="550"/>
      <c r="BJ231" s="550"/>
      <c r="BK231" s="550"/>
      <c r="BL231" s="550"/>
      <c r="BM231" s="551"/>
      <c r="BN231" s="590"/>
      <c r="BO231" s="658"/>
      <c r="BP231" s="590"/>
      <c r="BQ231" s="590"/>
      <c r="BR231" s="590"/>
      <c r="BS231" s="590"/>
      <c r="BT231" s="590"/>
      <c r="BU231" s="590"/>
      <c r="BV231" s="590"/>
      <c r="BW231" s="590"/>
      <c r="BY231" s="590"/>
      <c r="BZ231" s="590" t="str">
        <f>IF(CB239=2,"Vorarlberg","")</f>
        <v/>
      </c>
      <c r="CA231" s="590"/>
      <c r="CB231" s="590" t="str">
        <f>IF(L223="AT",2,"")</f>
        <v/>
      </c>
      <c r="CC231" s="590" t="s">
        <v>1101</v>
      </c>
      <c r="CD231" s="1125" t="s">
        <v>1103</v>
      </c>
      <c r="CE231" s="590"/>
      <c r="CF231" s="590"/>
      <c r="CG231" s="590"/>
      <c r="CH231" s="590"/>
      <c r="CI231" s="590"/>
      <c r="CJ231" s="590"/>
      <c r="CK231" s="590"/>
      <c r="CL231" s="590"/>
      <c r="CM231" s="590"/>
      <c r="CN231" s="590"/>
      <c r="CO231" s="590"/>
      <c r="CP231" s="590"/>
      <c r="CQ231" s="590"/>
      <c r="CR231" s="590"/>
      <c r="CS231" s="590"/>
      <c r="CT231" s="590"/>
      <c r="CU231" s="590"/>
      <c r="CV231" s="590"/>
      <c r="CW231" s="591"/>
    </row>
    <row r="232" spans="1:101" ht="15" x14ac:dyDescent="0.2">
      <c r="A232" s="588"/>
      <c r="B232" s="744"/>
      <c r="C232" s="581"/>
      <c r="D232" s="571"/>
      <c r="E232" s="571"/>
      <c r="F232" s="571"/>
      <c r="G232" s="571"/>
      <c r="H232" s="571"/>
      <c r="I232" s="571"/>
      <c r="J232" s="571"/>
      <c r="K232" s="571"/>
      <c r="L232" s="571"/>
      <c r="M232" s="571"/>
      <c r="N232" s="571"/>
      <c r="O232" s="581"/>
      <c r="P232" s="581"/>
      <c r="Q232" s="581"/>
      <c r="R232" s="581"/>
      <c r="S232" s="581"/>
      <c r="T232" s="581"/>
      <c r="U232" s="581"/>
      <c r="V232" s="581"/>
      <c r="W232" s="581"/>
      <c r="X232" s="581"/>
      <c r="Y232" s="581"/>
      <c r="Z232" s="581"/>
      <c r="AA232" s="581"/>
      <c r="AB232" s="581"/>
      <c r="AC232" s="581"/>
      <c r="AD232" s="581"/>
      <c r="AE232" s="581"/>
      <c r="AF232" s="581"/>
      <c r="AG232" s="581"/>
      <c r="AH232" s="581"/>
      <c r="AI232" s="581"/>
      <c r="AJ232" s="581"/>
      <c r="AK232" s="581"/>
      <c r="AL232" s="581"/>
      <c r="AM232" s="581"/>
      <c r="AN232" s="581"/>
      <c r="AO232" s="581"/>
      <c r="AP232" s="581"/>
      <c r="AQ232" s="581"/>
      <c r="AR232" s="581"/>
      <c r="AS232" s="581"/>
      <c r="AT232" s="581"/>
      <c r="AU232" s="581"/>
      <c r="AV232" s="581"/>
      <c r="AW232" s="581"/>
      <c r="AX232" s="581"/>
      <c r="AY232" s="581"/>
      <c r="AZ232" s="581"/>
      <c r="BA232" s="581"/>
      <c r="BB232" s="581"/>
      <c r="BC232" s="581"/>
      <c r="BD232" s="581"/>
      <c r="BE232" s="581"/>
      <c r="BF232" s="581"/>
      <c r="BG232" s="598"/>
      <c r="BH232" s="550"/>
      <c r="BI232" s="550"/>
      <c r="BJ232" s="550"/>
      <c r="BK232" s="550"/>
      <c r="BL232" s="550"/>
      <c r="BM232" s="551"/>
      <c r="BN232" s="590"/>
      <c r="BO232" s="658"/>
      <c r="BP232" s="590"/>
      <c r="BQ232" s="590"/>
      <c r="BR232" s="590"/>
      <c r="BS232" s="590"/>
      <c r="BT232" s="590"/>
      <c r="BU232" s="590"/>
      <c r="BV232" s="590"/>
      <c r="BW232" s="590"/>
      <c r="BY232" s="590"/>
      <c r="BZ232" s="590"/>
      <c r="CA232" s="590"/>
      <c r="CB232" s="590" t="str">
        <f>IF(L223="AT",2,"")</f>
        <v/>
      </c>
      <c r="CC232" s="590" t="s">
        <v>1101</v>
      </c>
      <c r="CD232" s="1125" t="s">
        <v>1104</v>
      </c>
      <c r="CE232" s="590"/>
      <c r="CF232" s="590"/>
      <c r="CG232" s="590"/>
      <c r="CH232" s="590"/>
      <c r="CI232" s="590"/>
      <c r="CJ232" s="590"/>
      <c r="CK232" s="590"/>
      <c r="CL232" s="590"/>
      <c r="CM232" s="590"/>
      <c r="CN232" s="590"/>
      <c r="CO232" s="590"/>
      <c r="CP232" s="590"/>
      <c r="CQ232" s="590"/>
      <c r="CR232" s="590"/>
      <c r="CS232" s="590"/>
      <c r="CT232" s="590"/>
      <c r="CU232" s="590"/>
      <c r="CV232" s="590"/>
      <c r="CW232" s="591"/>
    </row>
    <row r="233" spans="1:101" ht="15" x14ac:dyDescent="0.2">
      <c r="A233" s="588"/>
      <c r="B233" s="597"/>
      <c r="C233" s="550"/>
      <c r="D233" s="550" t="s">
        <v>347</v>
      </c>
      <c r="E233" s="550"/>
      <c r="F233" s="550"/>
      <c r="G233" s="550"/>
      <c r="H233" s="550"/>
      <c r="I233" s="550"/>
      <c r="J233" s="550"/>
      <c r="K233" s="550"/>
      <c r="L233" s="550"/>
      <c r="M233" s="550"/>
      <c r="N233" s="550"/>
      <c r="O233" s="550"/>
      <c r="P233" s="550"/>
      <c r="Q233" s="550"/>
      <c r="R233" s="550"/>
      <c r="S233" s="550"/>
      <c r="T233" s="550"/>
      <c r="U233" s="550"/>
      <c r="V233" s="550"/>
      <c r="W233" s="550"/>
      <c r="X233" s="550"/>
      <c r="Y233" s="550"/>
      <c r="Z233" s="550"/>
      <c r="AA233" s="550"/>
      <c r="AB233" s="550"/>
      <c r="AC233" s="550"/>
      <c r="AD233" s="550"/>
      <c r="AE233" s="550"/>
      <c r="AF233" s="550"/>
      <c r="AG233" s="550"/>
      <c r="AH233" s="550"/>
      <c r="AI233" s="550"/>
      <c r="AJ233" s="550"/>
      <c r="AK233" s="550"/>
      <c r="AL233" s="550"/>
      <c r="AM233" s="550"/>
      <c r="AN233" s="550"/>
      <c r="AO233" s="550"/>
      <c r="AP233" s="550"/>
      <c r="AQ233" s="550"/>
      <c r="AR233" s="550"/>
      <c r="AS233" s="550"/>
      <c r="AT233" s="550"/>
      <c r="AU233" s="550"/>
      <c r="AV233" s="550"/>
      <c r="AW233" s="550"/>
      <c r="AX233" s="550"/>
      <c r="AY233" s="550"/>
      <c r="AZ233" s="550"/>
      <c r="BA233" s="550"/>
      <c r="BB233" s="550"/>
      <c r="BC233" s="550"/>
      <c r="BD233" s="550"/>
      <c r="BE233" s="550"/>
      <c r="BF233" s="550"/>
      <c r="BG233" s="598"/>
      <c r="BH233" s="550"/>
      <c r="BI233" s="550"/>
      <c r="BJ233" s="550"/>
      <c r="BK233" s="550"/>
      <c r="BL233" s="550"/>
      <c r="BM233" s="551"/>
      <c r="BN233" s="590"/>
      <c r="BO233" s="658"/>
      <c r="BP233" s="590"/>
      <c r="BQ233" s="590"/>
      <c r="BR233" s="590"/>
      <c r="BS233" s="590"/>
      <c r="BT233" s="590"/>
      <c r="BU233" s="590"/>
      <c r="BV233" s="590"/>
      <c r="BW233" s="590"/>
      <c r="BY233" s="590"/>
      <c r="BZ233" s="590"/>
      <c r="CA233" s="590"/>
      <c r="CB233" s="590" t="str">
        <f>IF(L223="AT",2,"")</f>
        <v/>
      </c>
      <c r="CC233" s="590" t="s">
        <v>1101</v>
      </c>
      <c r="CD233" s="1125" t="s">
        <v>1105</v>
      </c>
      <c r="CE233" s="590"/>
      <c r="CF233" s="590"/>
      <c r="CG233" s="590"/>
      <c r="CH233" s="590"/>
      <c r="CI233" s="590"/>
      <c r="CJ233" s="590"/>
      <c r="CK233" s="590"/>
      <c r="CL233" s="590"/>
      <c r="CM233" s="590"/>
      <c r="CN233" s="590"/>
      <c r="CO233" s="590"/>
      <c r="CP233" s="590"/>
      <c r="CQ233" s="590"/>
      <c r="CR233" s="590"/>
      <c r="CS233" s="590"/>
      <c r="CT233" s="590"/>
      <c r="CU233" s="590"/>
      <c r="CV233" s="590"/>
      <c r="CW233" s="591"/>
    </row>
    <row r="234" spans="1:101" ht="15" x14ac:dyDescent="0.2">
      <c r="A234" s="588"/>
      <c r="B234" s="597"/>
      <c r="C234" s="550"/>
      <c r="D234" s="1338"/>
      <c r="E234" s="1338"/>
      <c r="F234" s="1338"/>
      <c r="G234" s="1338"/>
      <c r="H234" s="1338"/>
      <c r="I234" s="1338"/>
      <c r="J234" s="1338"/>
      <c r="K234" s="1338"/>
      <c r="L234" s="1338"/>
      <c r="M234" s="1338"/>
      <c r="N234" s="1338"/>
      <c r="O234" s="1338"/>
      <c r="P234" s="1338"/>
      <c r="Q234" s="1338"/>
      <c r="R234" s="1338"/>
      <c r="S234" s="1338"/>
      <c r="T234" s="1338"/>
      <c r="U234" s="1338"/>
      <c r="V234" s="1338"/>
      <c r="W234" s="1338"/>
      <c r="X234" s="1338"/>
      <c r="Y234" s="1338"/>
      <c r="Z234" s="1338"/>
      <c r="AA234" s="1338"/>
      <c r="AB234" s="1338"/>
      <c r="AC234" s="1338"/>
      <c r="AD234" s="1338"/>
      <c r="AE234" s="1338"/>
      <c r="AF234" s="1338"/>
      <c r="AG234" s="1338"/>
      <c r="AH234" s="1338"/>
      <c r="AI234" s="1338"/>
      <c r="AJ234" s="1338"/>
      <c r="AK234" s="1338"/>
      <c r="AL234" s="1338"/>
      <c r="AM234" s="1338"/>
      <c r="AN234" s="1338"/>
      <c r="AO234" s="1338"/>
      <c r="AP234" s="1338"/>
      <c r="AQ234" s="1338"/>
      <c r="AR234" s="1338"/>
      <c r="AS234" s="1338"/>
      <c r="AT234" s="1338"/>
      <c r="AU234" s="1338"/>
      <c r="AV234" s="1338"/>
      <c r="AW234" s="1338"/>
      <c r="AX234" s="1338"/>
      <c r="AY234" s="1338"/>
      <c r="AZ234" s="1338"/>
      <c r="BA234" s="1338"/>
      <c r="BB234" s="1338"/>
      <c r="BC234" s="1338"/>
      <c r="BD234" s="825"/>
      <c r="BE234" s="825"/>
      <c r="BF234" s="826"/>
      <c r="BG234" s="598"/>
      <c r="BH234" s="550"/>
      <c r="BI234" s="550"/>
      <c r="BJ234" s="550"/>
      <c r="BK234" s="550"/>
      <c r="BL234" s="550"/>
      <c r="BM234" s="551"/>
      <c r="BN234" s="590"/>
      <c r="BO234" s="590"/>
      <c r="BP234" s="590"/>
      <c r="BQ234" s="590"/>
      <c r="BR234" s="590"/>
      <c r="BS234" s="590"/>
      <c r="BT234" s="590"/>
      <c r="BU234" s="590"/>
      <c r="BV234" s="590"/>
      <c r="BW234" s="590"/>
      <c r="BY234" s="590"/>
      <c r="BZ234" s="590"/>
      <c r="CA234" s="590"/>
      <c r="CB234" s="590" t="str">
        <f>IF(L223="AT",2,"")</f>
        <v/>
      </c>
      <c r="CC234" s="590" t="s">
        <v>1101</v>
      </c>
      <c r="CD234" s="1126" t="s">
        <v>1106</v>
      </c>
      <c r="CE234" s="590"/>
      <c r="CF234" s="590"/>
      <c r="CG234" s="590"/>
      <c r="CH234" s="590"/>
      <c r="CI234" s="590"/>
      <c r="CJ234" s="590"/>
      <c r="CK234" s="590"/>
      <c r="CL234" s="590"/>
      <c r="CM234" s="590"/>
      <c r="CN234" s="590"/>
      <c r="CO234" s="590"/>
      <c r="CP234" s="590"/>
      <c r="CQ234" s="590"/>
      <c r="CR234" s="590"/>
      <c r="CS234" s="590"/>
      <c r="CT234" s="590"/>
      <c r="CU234" s="590"/>
      <c r="CV234" s="590"/>
      <c r="CW234" s="591"/>
    </row>
    <row r="235" spans="1:101" ht="88.5" customHeight="1" x14ac:dyDescent="0.2">
      <c r="A235" s="588"/>
      <c r="B235" s="597"/>
      <c r="C235" s="550"/>
      <c r="D235" s="1338"/>
      <c r="E235" s="1338"/>
      <c r="F235" s="1338"/>
      <c r="G235" s="1338"/>
      <c r="H235" s="1338"/>
      <c r="I235" s="1338"/>
      <c r="J235" s="1338"/>
      <c r="K235" s="1338"/>
      <c r="L235" s="1338"/>
      <c r="M235" s="1338"/>
      <c r="N235" s="1338"/>
      <c r="O235" s="1338"/>
      <c r="P235" s="1338"/>
      <c r="Q235" s="1338"/>
      <c r="R235" s="1338"/>
      <c r="S235" s="1338"/>
      <c r="T235" s="1338"/>
      <c r="U235" s="1338"/>
      <c r="V235" s="1338"/>
      <c r="W235" s="1338"/>
      <c r="X235" s="1338"/>
      <c r="Y235" s="1338"/>
      <c r="Z235" s="1338"/>
      <c r="AA235" s="1338"/>
      <c r="AB235" s="1338"/>
      <c r="AC235" s="1338"/>
      <c r="AD235" s="1338"/>
      <c r="AE235" s="1338"/>
      <c r="AF235" s="1338"/>
      <c r="AG235" s="1338"/>
      <c r="AH235" s="1338"/>
      <c r="AI235" s="1338"/>
      <c r="AJ235" s="1338"/>
      <c r="AK235" s="1338"/>
      <c r="AL235" s="1338"/>
      <c r="AM235" s="1338"/>
      <c r="AN235" s="1338"/>
      <c r="AO235" s="1338"/>
      <c r="AP235" s="1338"/>
      <c r="AQ235" s="1338"/>
      <c r="AR235" s="1338"/>
      <c r="AS235" s="1338"/>
      <c r="AT235" s="1338"/>
      <c r="AU235" s="1338"/>
      <c r="AV235" s="1338"/>
      <c r="AW235" s="1338"/>
      <c r="AX235" s="1338"/>
      <c r="AY235" s="1338"/>
      <c r="AZ235" s="1338"/>
      <c r="BA235" s="1338"/>
      <c r="BB235" s="1338"/>
      <c r="BC235" s="1338"/>
      <c r="BD235" s="825"/>
      <c r="BE235" s="825"/>
      <c r="BF235" s="826"/>
      <c r="BG235" s="598"/>
      <c r="BH235" s="550"/>
      <c r="BI235" s="550"/>
      <c r="BJ235" s="550"/>
      <c r="BK235" s="550"/>
      <c r="BL235" s="550"/>
      <c r="BM235" s="551"/>
      <c r="BN235" s="590"/>
      <c r="BO235" s="590"/>
      <c r="BP235" s="590"/>
      <c r="BQ235" s="590"/>
      <c r="BR235" s="590"/>
      <c r="BS235" s="590"/>
      <c r="BT235" s="590"/>
      <c r="BU235" s="590"/>
      <c r="BV235" s="590"/>
      <c r="BW235" s="590"/>
      <c r="BY235" s="590"/>
      <c r="BZ235" s="590"/>
      <c r="CA235" s="590"/>
      <c r="CB235" s="590" t="str">
        <f>IF(L223="AT",2,"")</f>
        <v/>
      </c>
      <c r="CC235" s="590" t="s">
        <v>1101</v>
      </c>
      <c r="CD235" s="1125" t="s">
        <v>1107</v>
      </c>
      <c r="CE235" s="590"/>
      <c r="CF235" s="590"/>
      <c r="CG235" s="590"/>
      <c r="CH235" s="590"/>
      <c r="CI235" s="590"/>
      <c r="CJ235" s="590"/>
      <c r="CK235" s="590"/>
      <c r="CL235" s="590"/>
      <c r="CM235" s="590"/>
      <c r="CN235" s="590"/>
      <c r="CO235" s="590"/>
      <c r="CP235" s="590"/>
      <c r="CQ235" s="590"/>
      <c r="CR235" s="590"/>
      <c r="CS235" s="590"/>
      <c r="CT235" s="590"/>
      <c r="CU235" s="590"/>
      <c r="CV235" s="590"/>
      <c r="CW235" s="591"/>
    </row>
    <row r="236" spans="1:101" ht="15" x14ac:dyDescent="0.2">
      <c r="A236" s="588"/>
      <c r="B236" s="597"/>
      <c r="C236" s="550"/>
      <c r="D236" s="550"/>
      <c r="E236" s="550"/>
      <c r="F236" s="550"/>
      <c r="G236" s="550"/>
      <c r="H236" s="550"/>
      <c r="I236" s="550"/>
      <c r="J236" s="550"/>
      <c r="K236" s="550"/>
      <c r="L236" s="550"/>
      <c r="M236" s="550"/>
      <c r="N236" s="550"/>
      <c r="O236" s="550"/>
      <c r="P236" s="550"/>
      <c r="Q236" s="550"/>
      <c r="R236" s="550"/>
      <c r="S236" s="550"/>
      <c r="T236" s="550"/>
      <c r="U236" s="550"/>
      <c r="V236" s="550"/>
      <c r="W236" s="550"/>
      <c r="X236" s="550"/>
      <c r="Y236" s="658"/>
      <c r="Z236" s="658"/>
      <c r="AA236" s="550"/>
      <c r="AB236" s="550"/>
      <c r="AC236" s="550"/>
      <c r="AD236" s="550"/>
      <c r="AE236" s="550"/>
      <c r="AF236" s="550"/>
      <c r="AG236" s="550"/>
      <c r="AH236" s="550"/>
      <c r="AI236" s="550"/>
      <c r="AJ236" s="550"/>
      <c r="AK236" s="550"/>
      <c r="AL236" s="550"/>
      <c r="AM236" s="550"/>
      <c r="AN236" s="550"/>
      <c r="AO236" s="550"/>
      <c r="AP236" s="550"/>
      <c r="AQ236" s="550"/>
      <c r="AR236" s="550"/>
      <c r="AS236" s="550"/>
      <c r="AT236" s="550"/>
      <c r="AU236" s="550"/>
      <c r="AV236" s="550"/>
      <c r="AW236" s="550"/>
      <c r="AX236" s="550"/>
      <c r="AY236" s="550"/>
      <c r="AZ236" s="550"/>
      <c r="BA236" s="550"/>
      <c r="BB236" s="550"/>
      <c r="BC236" s="550"/>
      <c r="BD236" s="550"/>
      <c r="BE236" s="550"/>
      <c r="BF236" s="550"/>
      <c r="BG236" s="598"/>
      <c r="BH236" s="550"/>
      <c r="BI236" s="550"/>
      <c r="BJ236" s="550"/>
      <c r="BK236" s="550"/>
      <c r="BL236" s="550"/>
      <c r="BM236" s="551"/>
      <c r="BN236" s="590"/>
      <c r="BO236" s="590"/>
      <c r="BP236" s="590"/>
      <c r="BQ236" s="590"/>
      <c r="BR236" s="590"/>
      <c r="BS236" s="590"/>
      <c r="BT236" s="590"/>
      <c r="BU236" s="590"/>
      <c r="BV236" s="590"/>
      <c r="BW236" s="590"/>
      <c r="BY236" s="590"/>
      <c r="BZ236" s="590"/>
      <c r="CA236" s="590"/>
      <c r="CB236" s="590" t="str">
        <f>IF(L223="AT",2,"")</f>
        <v/>
      </c>
      <c r="CC236" s="590" t="s">
        <v>1101</v>
      </c>
      <c r="CD236" s="1125" t="s">
        <v>1108</v>
      </c>
      <c r="CE236" s="590"/>
      <c r="CF236" s="590"/>
      <c r="CG236" s="590"/>
      <c r="CH236" s="590"/>
      <c r="CI236" s="590"/>
      <c r="CJ236" s="590"/>
      <c r="CK236" s="590"/>
      <c r="CL236" s="590"/>
      <c r="CM236" s="590"/>
      <c r="CN236" s="590"/>
      <c r="CO236" s="590"/>
      <c r="CP236" s="590"/>
      <c r="CQ236" s="590"/>
      <c r="CR236" s="590"/>
      <c r="CS236" s="590"/>
      <c r="CT236" s="590"/>
      <c r="CU236" s="590"/>
      <c r="CV236" s="590"/>
      <c r="CW236" s="591"/>
    </row>
    <row r="237" spans="1:101" ht="15" x14ac:dyDescent="0.2">
      <c r="A237" s="588"/>
      <c r="B237" s="597"/>
      <c r="C237" s="550"/>
      <c r="D237" s="550" t="s">
        <v>345</v>
      </c>
      <c r="E237" s="550"/>
      <c r="F237" s="550"/>
      <c r="G237" s="827"/>
      <c r="H237" s="827"/>
      <c r="I237" s="827"/>
      <c r="J237" s="827"/>
      <c r="K237" s="827"/>
      <c r="L237" s="550"/>
      <c r="M237" s="550"/>
      <c r="N237" s="550"/>
      <c r="O237" s="541"/>
      <c r="P237" s="836"/>
      <c r="Q237" s="836"/>
      <c r="R237" s="1344"/>
      <c r="S237" s="1344"/>
      <c r="T237" s="1344"/>
      <c r="U237" s="1344"/>
      <c r="V237" s="1344"/>
      <c r="W237" s="1344"/>
      <c r="X237" s="1344"/>
      <c r="Y237" s="1344"/>
      <c r="Z237" s="1344"/>
      <c r="AA237" s="1344"/>
      <c r="AB237" s="550"/>
      <c r="AC237" s="550"/>
      <c r="AD237" s="550"/>
      <c r="AE237" s="550"/>
      <c r="AF237" s="550"/>
      <c r="AG237" s="550"/>
      <c r="AH237" s="710"/>
      <c r="AI237" s="550"/>
      <c r="AJ237" s="550" t="s">
        <v>346</v>
      </c>
      <c r="AK237" s="550"/>
      <c r="AL237" s="541"/>
      <c r="AM237" s="541"/>
      <c r="AN237" s="541"/>
      <c r="AO237" s="1344"/>
      <c r="AP237" s="1344"/>
      <c r="AQ237" s="1344"/>
      <c r="AR237" s="1344"/>
      <c r="AS237" s="1344"/>
      <c r="AT237" s="1344"/>
      <c r="AU237" s="1344"/>
      <c r="AV237" s="1344"/>
      <c r="AW237" s="1344"/>
      <c r="AX237" s="1344"/>
      <c r="AY237" s="1344"/>
      <c r="AZ237" s="1344"/>
      <c r="BA237" s="1344"/>
      <c r="BB237" s="1344"/>
      <c r="BC237" s="1344"/>
      <c r="BD237" s="602"/>
      <c r="BE237" s="602"/>
      <c r="BF237" s="550"/>
      <c r="BG237" s="598"/>
      <c r="BH237" s="550"/>
      <c r="BI237" s="550"/>
      <c r="BJ237" s="550"/>
      <c r="BK237" s="550"/>
      <c r="BL237" s="550"/>
      <c r="BM237" s="551"/>
      <c r="BN237" s="590"/>
      <c r="BO237" s="590"/>
      <c r="BP237" s="590"/>
      <c r="BQ237" s="590"/>
      <c r="BR237" s="590"/>
      <c r="BS237" s="590"/>
      <c r="BT237" s="590"/>
      <c r="BU237" s="590"/>
      <c r="BV237" s="590"/>
      <c r="BW237" s="590"/>
      <c r="BY237" s="590"/>
      <c r="BZ237" s="590"/>
      <c r="CA237" s="590"/>
      <c r="CB237" s="590" t="str">
        <f>IF(L223="AT",2,"")</f>
        <v/>
      </c>
      <c r="CC237" s="590" t="s">
        <v>1101</v>
      </c>
      <c r="CD237" s="1125" t="s">
        <v>1109</v>
      </c>
      <c r="CE237" s="590"/>
      <c r="CF237" s="590"/>
      <c r="CG237" s="590"/>
      <c r="CH237" s="590"/>
      <c r="CI237" s="590"/>
      <c r="CJ237" s="590"/>
      <c r="CK237" s="590"/>
      <c r="CL237" s="590"/>
      <c r="CM237" s="590"/>
      <c r="CN237" s="590"/>
      <c r="CO237" s="590"/>
      <c r="CP237" s="590"/>
      <c r="CQ237" s="590"/>
      <c r="CR237" s="590"/>
      <c r="CS237" s="590"/>
      <c r="CT237" s="590"/>
      <c r="CU237" s="590"/>
      <c r="CV237" s="590"/>
      <c r="CW237" s="591"/>
    </row>
    <row r="238" spans="1:101" ht="15" customHeight="1" x14ac:dyDescent="0.2">
      <c r="A238" s="588"/>
      <c r="B238" s="597"/>
      <c r="C238" s="550"/>
      <c r="D238" s="550"/>
      <c r="E238" s="550"/>
      <c r="F238" s="550"/>
      <c r="G238" s="827"/>
      <c r="H238" s="827"/>
      <c r="I238" s="827"/>
      <c r="J238" s="827"/>
      <c r="K238" s="827"/>
      <c r="L238" s="550"/>
      <c r="M238" s="550"/>
      <c r="N238" s="550"/>
      <c r="O238" s="541"/>
      <c r="P238" s="836"/>
      <c r="Q238" s="836"/>
      <c r="R238" s="836"/>
      <c r="S238" s="836"/>
      <c r="T238" s="836"/>
      <c r="U238" s="836"/>
      <c r="V238" s="836"/>
      <c r="W238" s="836"/>
      <c r="X238" s="836"/>
      <c r="Y238" s="836"/>
      <c r="Z238" s="602"/>
      <c r="AA238" s="705"/>
      <c r="AB238" s="550"/>
      <c r="AC238" s="550"/>
      <c r="AD238" s="550"/>
      <c r="AE238" s="550"/>
      <c r="AF238" s="550"/>
      <c r="AG238" s="550"/>
      <c r="AH238" s="710"/>
      <c r="AI238" s="550"/>
      <c r="AJ238" s="550"/>
      <c r="AK238" s="550"/>
      <c r="AL238" s="541"/>
      <c r="AM238" s="541"/>
      <c r="AN238" s="541"/>
      <c r="AO238" s="836"/>
      <c r="AP238" s="836"/>
      <c r="AQ238" s="836"/>
      <c r="AR238" s="836"/>
      <c r="AS238" s="836"/>
      <c r="AT238" s="836"/>
      <c r="AU238" s="836"/>
      <c r="AV238" s="836"/>
      <c r="AW238" s="836"/>
      <c r="AX238" s="836"/>
      <c r="AY238" s="836"/>
      <c r="AZ238" s="836"/>
      <c r="BA238" s="836"/>
      <c r="BB238" s="836"/>
      <c r="BC238" s="836"/>
      <c r="BD238" s="602"/>
      <c r="BE238" s="602"/>
      <c r="BF238" s="550"/>
      <c r="BG238" s="598"/>
      <c r="BH238" s="550"/>
      <c r="BI238" s="550"/>
      <c r="BJ238" s="550"/>
      <c r="BK238" s="550"/>
      <c r="BL238" s="550"/>
      <c r="BM238" s="551"/>
      <c r="BN238" s="590"/>
      <c r="BO238" s="590"/>
      <c r="BP238" s="590"/>
      <c r="BQ238" s="590"/>
      <c r="BR238" s="590"/>
      <c r="BS238" s="590"/>
      <c r="BT238" s="590"/>
      <c r="BU238" s="590"/>
      <c r="BV238" s="590"/>
      <c r="BW238" s="590"/>
      <c r="BY238" s="590"/>
      <c r="BZ238" s="590"/>
      <c r="CA238" s="590"/>
      <c r="CB238" s="590" t="str">
        <f>IF(L223="AT",2,"")</f>
        <v/>
      </c>
      <c r="CC238" s="590" t="s">
        <v>1101</v>
      </c>
      <c r="CD238" s="1125" t="s">
        <v>1110</v>
      </c>
      <c r="CE238" s="590"/>
      <c r="CF238" s="590"/>
      <c r="CG238" s="590"/>
      <c r="CH238" s="590"/>
      <c r="CI238" s="590"/>
      <c r="CJ238" s="590"/>
      <c r="CK238" s="590"/>
      <c r="CL238" s="590"/>
      <c r="CM238" s="590"/>
      <c r="CN238" s="590"/>
      <c r="CO238" s="590"/>
      <c r="CP238" s="590"/>
      <c r="CQ238" s="590"/>
      <c r="CR238" s="590"/>
      <c r="CS238" s="590"/>
      <c r="CT238" s="590"/>
      <c r="CU238" s="590"/>
      <c r="CV238" s="590"/>
      <c r="CW238" s="591"/>
    </row>
    <row r="239" spans="1:101" ht="15" x14ac:dyDescent="0.2">
      <c r="A239" s="588"/>
      <c r="B239" s="597"/>
      <c r="C239" s="550"/>
      <c r="D239" s="550"/>
      <c r="E239" s="550"/>
      <c r="F239" s="550"/>
      <c r="G239" s="827"/>
      <c r="H239" s="827"/>
      <c r="I239" s="827"/>
      <c r="J239" s="827"/>
      <c r="K239" s="827"/>
      <c r="L239" s="550"/>
      <c r="M239" s="550"/>
      <c r="N239" s="550"/>
      <c r="O239" s="541"/>
      <c r="P239" s="836"/>
      <c r="Q239" s="836"/>
      <c r="R239" s="836"/>
      <c r="S239" s="836"/>
      <c r="T239" s="836"/>
      <c r="U239" s="836"/>
      <c r="V239" s="836"/>
      <c r="W239" s="836"/>
      <c r="X239" s="836"/>
      <c r="Y239" s="836"/>
      <c r="Z239" s="602"/>
      <c r="AA239" s="705"/>
      <c r="AB239" s="550"/>
      <c r="AC239" s="550"/>
      <c r="AD239" s="550"/>
      <c r="AE239" s="550"/>
      <c r="AF239" s="550"/>
      <c r="AG239" s="550"/>
      <c r="AH239" s="710"/>
      <c r="AI239" s="550"/>
      <c r="AJ239" s="550"/>
      <c r="AK239" s="550"/>
      <c r="AL239" s="541"/>
      <c r="AM239" s="541"/>
      <c r="AN239" s="541"/>
      <c r="AO239" s="836"/>
      <c r="AP239" s="836"/>
      <c r="AQ239" s="836"/>
      <c r="AR239" s="836"/>
      <c r="AS239" s="836"/>
      <c r="AT239" s="836"/>
      <c r="AU239" s="836"/>
      <c r="AV239" s="836"/>
      <c r="AW239" s="836"/>
      <c r="AX239" s="836"/>
      <c r="AY239" s="836"/>
      <c r="AZ239" s="836"/>
      <c r="BA239" s="836"/>
      <c r="BB239" s="836"/>
      <c r="BC239" s="836"/>
      <c r="BD239" s="602"/>
      <c r="BE239" s="602"/>
      <c r="BF239" s="550"/>
      <c r="BG239" s="598"/>
      <c r="BH239" s="550"/>
      <c r="BI239" s="550"/>
      <c r="BJ239" s="550"/>
      <c r="BK239" s="550"/>
      <c r="BL239" s="550"/>
      <c r="BM239" s="551"/>
      <c r="BN239" s="590"/>
      <c r="BO239" s="590"/>
      <c r="BP239" s="590"/>
      <c r="BQ239" s="590"/>
      <c r="BR239" s="590"/>
      <c r="BS239" s="590"/>
      <c r="BT239" s="590"/>
      <c r="BU239" s="590"/>
      <c r="BV239" s="590"/>
      <c r="BW239" s="590"/>
      <c r="BY239" s="590"/>
      <c r="BZ239" s="590"/>
      <c r="CA239" s="590"/>
      <c r="CB239" s="590" t="str">
        <f>IF(L223="AT",2,"")</f>
        <v/>
      </c>
      <c r="CC239" s="590" t="s">
        <v>1101</v>
      </c>
      <c r="CD239" s="1125" t="s">
        <v>1111</v>
      </c>
      <c r="CE239" s="590"/>
      <c r="CF239" s="590"/>
      <c r="CG239" s="590"/>
      <c r="CH239" s="590"/>
      <c r="CI239" s="590"/>
      <c r="CJ239" s="590"/>
      <c r="CK239" s="590"/>
      <c r="CL239" s="590"/>
      <c r="CM239" s="590"/>
      <c r="CN239" s="590"/>
      <c r="CO239" s="590"/>
      <c r="CP239" s="590"/>
      <c r="CQ239" s="590"/>
      <c r="CR239" s="590"/>
      <c r="CS239" s="590"/>
      <c r="CT239" s="590"/>
      <c r="CU239" s="590"/>
      <c r="CV239" s="590"/>
      <c r="CW239" s="591"/>
    </row>
    <row r="240" spans="1:101" ht="32" x14ac:dyDescent="0.2">
      <c r="A240" s="588"/>
      <c r="B240" s="597"/>
      <c r="C240" s="550"/>
      <c r="D240" s="550"/>
      <c r="E240" s="550"/>
      <c r="F240" s="550"/>
      <c r="G240" s="827"/>
      <c r="H240" s="827"/>
      <c r="I240" s="827"/>
      <c r="J240" s="827"/>
      <c r="K240" s="827"/>
      <c r="L240" s="550"/>
      <c r="M240" s="550"/>
      <c r="N240" s="550"/>
      <c r="O240" s="541"/>
      <c r="P240" s="836"/>
      <c r="Q240" s="836"/>
      <c r="R240" s="836"/>
      <c r="S240" s="836"/>
      <c r="T240" s="836"/>
      <c r="U240" s="836"/>
      <c r="V240" s="836"/>
      <c r="W240" s="836"/>
      <c r="X240" s="836"/>
      <c r="Y240" s="836"/>
      <c r="Z240" s="602"/>
      <c r="AA240" s="705"/>
      <c r="AB240" s="550"/>
      <c r="AC240" s="550"/>
      <c r="AD240" s="550"/>
      <c r="AE240" s="550"/>
      <c r="AF240" s="550"/>
      <c r="AG240" s="550"/>
      <c r="AH240" s="710"/>
      <c r="AI240" s="550"/>
      <c r="AJ240" s="550"/>
      <c r="AK240" s="550"/>
      <c r="AL240" s="541"/>
      <c r="AM240" s="541"/>
      <c r="AN240" s="541"/>
      <c r="AO240" s="836"/>
      <c r="AP240" s="836"/>
      <c r="AQ240" s="836"/>
      <c r="AR240" s="836"/>
      <c r="AS240" s="836"/>
      <c r="AT240" s="836"/>
      <c r="AU240" s="836"/>
      <c r="AV240" s="836"/>
      <c r="AW240" s="836"/>
      <c r="AX240" s="836"/>
      <c r="AY240" s="836"/>
      <c r="AZ240" s="836"/>
      <c r="BA240" s="836"/>
      <c r="BB240" s="836"/>
      <c r="BC240" s="836"/>
      <c r="BD240" s="602"/>
      <c r="BE240" s="602"/>
      <c r="BF240" s="550"/>
      <c r="BG240" s="598"/>
      <c r="BH240" s="550"/>
      <c r="BI240" s="550"/>
      <c r="BJ240" s="550"/>
      <c r="BK240" s="550"/>
      <c r="BL240" s="550"/>
      <c r="BM240" s="551"/>
      <c r="BN240" s="590"/>
      <c r="BO240" s="590"/>
      <c r="BP240" s="590"/>
      <c r="BQ240" s="590"/>
      <c r="BR240" s="590"/>
      <c r="BS240" s="590"/>
      <c r="BT240" s="590"/>
      <c r="BU240" s="590"/>
      <c r="BV240" s="590"/>
      <c r="BW240" s="590"/>
      <c r="BY240" s="590"/>
      <c r="BZ240" s="590"/>
      <c r="CA240" s="590"/>
      <c r="CB240" s="590" t="str">
        <f>IF(L223="HR",3,"")</f>
        <v/>
      </c>
      <c r="CC240" s="590" t="s">
        <v>1129</v>
      </c>
      <c r="CD240" s="1127" t="s">
        <v>1112</v>
      </c>
      <c r="CE240" s="590"/>
      <c r="CF240" s="590"/>
      <c r="CG240" s="590"/>
      <c r="CH240" s="590"/>
      <c r="CI240" s="590"/>
      <c r="CJ240" s="590"/>
      <c r="CK240" s="590"/>
      <c r="CL240" s="590"/>
      <c r="CM240" s="590"/>
      <c r="CN240" s="590"/>
      <c r="CO240" s="590"/>
      <c r="CP240" s="590"/>
      <c r="CQ240" s="590"/>
      <c r="CR240" s="590"/>
      <c r="CS240" s="590"/>
      <c r="CT240" s="590"/>
      <c r="CU240" s="590"/>
      <c r="CV240" s="590"/>
      <c r="CW240" s="591"/>
    </row>
    <row r="241" spans="1:218" ht="15" x14ac:dyDescent="0.2">
      <c r="A241" s="588"/>
      <c r="B241" s="597"/>
      <c r="C241" s="550"/>
      <c r="D241" s="550"/>
      <c r="E241" s="550"/>
      <c r="F241" s="550"/>
      <c r="G241" s="827"/>
      <c r="H241" s="827"/>
      <c r="I241" s="827"/>
      <c r="J241" s="827"/>
      <c r="K241" s="827"/>
      <c r="L241" s="550"/>
      <c r="M241" s="550"/>
      <c r="N241" s="550"/>
      <c r="O241" s="541"/>
      <c r="P241" s="836"/>
      <c r="Q241" s="836"/>
      <c r="R241" s="836"/>
      <c r="S241" s="836"/>
      <c r="T241" s="836"/>
      <c r="U241" s="836"/>
      <c r="V241" s="836"/>
      <c r="W241" s="836"/>
      <c r="X241" s="836"/>
      <c r="Y241" s="836"/>
      <c r="Z241" s="602"/>
      <c r="AA241" s="705"/>
      <c r="AB241" s="550"/>
      <c r="AC241" s="550"/>
      <c r="AD241" s="550"/>
      <c r="AE241" s="550"/>
      <c r="AF241" s="550"/>
      <c r="AG241" s="550"/>
      <c r="AH241" s="710"/>
      <c r="AI241" s="550"/>
      <c r="AJ241" s="550"/>
      <c r="AK241" s="550"/>
      <c r="AL241" s="541"/>
      <c r="AM241" s="541"/>
      <c r="AN241" s="541"/>
      <c r="AO241" s="836"/>
      <c r="AP241" s="836"/>
      <c r="AQ241" s="836"/>
      <c r="AR241" s="836"/>
      <c r="AS241" s="836"/>
      <c r="AT241" s="836"/>
      <c r="AU241" s="836"/>
      <c r="AV241" s="836"/>
      <c r="AW241" s="836"/>
      <c r="AX241" s="836"/>
      <c r="AY241" s="836"/>
      <c r="AZ241" s="836"/>
      <c r="BA241" s="836"/>
      <c r="BB241" s="836"/>
      <c r="BC241" s="836"/>
      <c r="BD241" s="602"/>
      <c r="BE241" s="602"/>
      <c r="BF241" s="550"/>
      <c r="BG241" s="598"/>
      <c r="BH241" s="550"/>
      <c r="BI241" s="550"/>
      <c r="BJ241" s="550"/>
      <c r="BK241" s="550"/>
      <c r="BL241" s="550"/>
      <c r="BM241" s="551"/>
      <c r="BN241" s="590"/>
      <c r="BO241" s="590"/>
      <c r="BP241" s="590"/>
      <c r="BQ241" s="590"/>
      <c r="BR241" s="590"/>
      <c r="BS241" s="590"/>
      <c r="BT241" s="590"/>
      <c r="BU241" s="590"/>
      <c r="BV241" s="590"/>
      <c r="BW241" s="590"/>
      <c r="BY241" s="590"/>
      <c r="BZ241" s="590"/>
      <c r="CA241" s="590"/>
      <c r="CB241" s="590" t="str">
        <f>IF(L223="HR",3,"")</f>
        <v/>
      </c>
      <c r="CC241" s="590" t="s">
        <v>1129</v>
      </c>
      <c r="CD241" s="1125" t="s">
        <v>1113</v>
      </c>
      <c r="CE241" s="590"/>
      <c r="CF241" s="590"/>
      <c r="CG241" s="590"/>
      <c r="CH241" s="590"/>
      <c r="CI241" s="590"/>
      <c r="CJ241" s="590"/>
      <c r="CK241" s="590"/>
      <c r="CL241" s="590"/>
      <c r="CM241" s="590"/>
      <c r="CN241" s="590"/>
      <c r="CO241" s="590"/>
      <c r="CP241" s="590"/>
      <c r="CQ241" s="590"/>
      <c r="CR241" s="590"/>
      <c r="CS241" s="590"/>
      <c r="CT241" s="590"/>
      <c r="CU241" s="590"/>
      <c r="CV241" s="590"/>
      <c r="CW241" s="591"/>
    </row>
    <row r="242" spans="1:218" ht="15" x14ac:dyDescent="0.2">
      <c r="A242" s="588"/>
      <c r="B242" s="828" t="s">
        <v>383</v>
      </c>
      <c r="C242" s="1334" t="str">
        <f>+IF(Finanszirozo="","",Finanszirozo)</f>
        <v/>
      </c>
      <c r="D242" s="1334"/>
      <c r="E242" s="1334"/>
      <c r="F242" s="1334"/>
      <c r="G242" s="1334"/>
      <c r="H242" s="1334"/>
      <c r="I242" s="1334"/>
      <c r="J242" s="1334"/>
      <c r="K242" s="1334"/>
      <c r="L242" s="1334"/>
      <c r="M242" s="1334"/>
      <c r="N242" s="1334"/>
      <c r="O242" s="1334"/>
      <c r="P242" s="1334"/>
      <c r="Q242" s="1334"/>
      <c r="R242" s="1334"/>
      <c r="S242" s="1334"/>
      <c r="T242" s="1334"/>
      <c r="U242" s="1334"/>
      <c r="V242" s="1334"/>
      <c r="W242" s="1382" t="s">
        <v>397</v>
      </c>
      <c r="X242" s="1382"/>
      <c r="Y242" s="1382"/>
      <c r="Z242" s="1382"/>
      <c r="AA242" s="1382"/>
      <c r="AB242" s="1382"/>
      <c r="AC242" s="1382"/>
      <c r="AD242" s="1382"/>
      <c r="AE242" s="1382"/>
      <c r="AF242" s="1382"/>
      <c r="AG242" s="1382"/>
      <c r="AH242" s="1382"/>
      <c r="AI242" s="1382"/>
      <c r="AJ242" s="1382"/>
      <c r="AK242" s="1382"/>
      <c r="AL242" s="1382"/>
      <c r="AM242" s="1382"/>
      <c r="AN242" s="1382"/>
      <c r="AO242" s="1382"/>
      <c r="AP242" s="1382"/>
      <c r="AQ242" s="1382"/>
      <c r="AR242" s="1382"/>
      <c r="AS242" s="1382"/>
      <c r="AT242" s="1382"/>
      <c r="AU242" s="1382"/>
      <c r="AV242" s="1382"/>
      <c r="AW242" s="1382"/>
      <c r="AX242" s="1382"/>
      <c r="AY242" s="1382"/>
      <c r="AZ242" s="1334" t="str">
        <f>+IF(Finanszirozo="","",Finanszirozo)</f>
        <v/>
      </c>
      <c r="BA242" s="1334"/>
      <c r="BB242" s="1334"/>
      <c r="BC242" s="1334"/>
      <c r="BD242" s="1334"/>
      <c r="BE242" s="1334"/>
      <c r="BF242" s="1334"/>
      <c r="BG242" s="1350"/>
      <c r="BH242" s="550"/>
      <c r="BI242" s="550"/>
      <c r="BJ242" s="550"/>
      <c r="BK242" s="550"/>
      <c r="BL242" s="550"/>
      <c r="BM242" s="551"/>
      <c r="BN242" s="590"/>
      <c r="BO242" s="590"/>
      <c r="BP242" s="590"/>
      <c r="BQ242" s="590"/>
      <c r="BR242" s="590"/>
      <c r="BS242" s="590"/>
      <c r="BT242" s="590"/>
      <c r="BU242" s="590"/>
      <c r="BV242" s="590"/>
      <c r="BW242" s="590"/>
      <c r="BY242" s="590"/>
      <c r="BZ242" s="590"/>
      <c r="CA242" s="590"/>
      <c r="CB242" s="590" t="str">
        <f>IF(L223="RO",4,"")</f>
        <v/>
      </c>
      <c r="CC242" s="590" t="s">
        <v>1130</v>
      </c>
      <c r="CD242" s="1125" t="s">
        <v>1114</v>
      </c>
      <c r="CE242" s="590"/>
      <c r="CF242" s="590"/>
      <c r="CG242" s="590"/>
      <c r="CH242" s="590"/>
      <c r="CI242" s="590"/>
      <c r="CJ242" s="590"/>
      <c r="CK242" s="590"/>
      <c r="CL242" s="590"/>
      <c r="CM242" s="590"/>
      <c r="CN242" s="590"/>
      <c r="CO242" s="590"/>
      <c r="CP242" s="590"/>
      <c r="CQ242" s="590"/>
      <c r="CR242" s="590"/>
      <c r="CS242" s="590"/>
      <c r="CT242" s="590"/>
      <c r="CU242" s="590"/>
      <c r="CV242" s="590"/>
      <c r="CW242" s="591"/>
    </row>
    <row r="243" spans="1:218" ht="15" x14ac:dyDescent="0.2">
      <c r="A243" s="588"/>
      <c r="B243" s="1351" t="s">
        <v>384</v>
      </c>
      <c r="C243" s="1352"/>
      <c r="D243" s="1352"/>
      <c r="E243" s="1352"/>
      <c r="F243" s="1352"/>
      <c r="G243" s="1352"/>
      <c r="H243" s="1352"/>
      <c r="I243" s="1352"/>
      <c r="J243" s="1352"/>
      <c r="K243" s="1352"/>
      <c r="L243" s="1352"/>
      <c r="M243" s="1352"/>
      <c r="N243" s="1352"/>
      <c r="O243" s="1352"/>
      <c r="P243" s="1352"/>
      <c r="Q243" s="1352"/>
      <c r="R243" s="1352"/>
      <c r="S243" s="1352"/>
      <c r="T243" s="1352"/>
      <c r="U243" s="1352"/>
      <c r="V243" s="1352"/>
      <c r="W243" s="1345" t="str">
        <f>+IF(C28="","",C28)</f>
        <v/>
      </c>
      <c r="X243" s="1345"/>
      <c r="Y243" s="1345"/>
      <c r="Z243" s="1345"/>
      <c r="AA243" s="1345"/>
      <c r="AB243" s="1345"/>
      <c r="AC243" s="1345"/>
      <c r="AD243" s="1345"/>
      <c r="AE243" s="1345"/>
      <c r="AF243" s="1345"/>
      <c r="AG243" s="1345"/>
      <c r="AH243" s="1345"/>
      <c r="AI243" s="1345"/>
      <c r="AJ243" s="1345"/>
      <c r="AK243" s="1345"/>
      <c r="AL243" s="1345"/>
      <c r="AM243" s="1345"/>
      <c r="AN243" s="1345"/>
      <c r="AO243" s="1345"/>
      <c r="AP243" s="1345"/>
      <c r="AQ243" s="1345"/>
      <c r="AR243" s="1337" t="s">
        <v>385</v>
      </c>
      <c r="AS243" s="1337"/>
      <c r="AT243" s="1337"/>
      <c r="AU243" s="1337"/>
      <c r="AV243" s="1337"/>
      <c r="AW243" s="1337"/>
      <c r="AX243" s="1337"/>
      <c r="AY243" s="1337"/>
      <c r="AZ243" s="1337"/>
      <c r="BA243" s="1337"/>
      <c r="BB243" s="1337"/>
      <c r="BC243" s="1337"/>
      <c r="BD243" s="1337"/>
      <c r="BE243" s="1337"/>
      <c r="BF243" s="1337"/>
      <c r="BG243" s="1346"/>
      <c r="BH243" s="550"/>
      <c r="BI243" s="550"/>
      <c r="BJ243" s="550"/>
      <c r="BK243" s="550"/>
      <c r="BL243" s="550"/>
      <c r="BM243" s="551"/>
      <c r="BN243" s="590"/>
      <c r="BO243" s="590"/>
      <c r="BP243" s="590"/>
      <c r="BQ243" s="590"/>
      <c r="BR243" s="590"/>
      <c r="BS243" s="590"/>
      <c r="BT243" s="590"/>
      <c r="BU243" s="590"/>
      <c r="BV243" s="590"/>
      <c r="BW243" s="590"/>
      <c r="BY243" s="590"/>
      <c r="BZ243" s="590"/>
      <c r="CA243" s="590"/>
      <c r="CB243" s="590" t="str">
        <f>IF(L223="RO",4,"")</f>
        <v/>
      </c>
      <c r="CC243" s="590" t="s">
        <v>1130</v>
      </c>
      <c r="CD243" s="1125" t="s">
        <v>1115</v>
      </c>
      <c r="CE243" s="590"/>
      <c r="CF243" s="590"/>
      <c r="CG243" s="590"/>
      <c r="CH243" s="590"/>
      <c r="CI243" s="590"/>
      <c r="CJ243" s="590"/>
      <c r="CK243" s="590"/>
      <c r="CL243" s="590"/>
      <c r="CM243" s="590"/>
      <c r="CN243" s="590"/>
      <c r="CO243" s="590"/>
      <c r="CP243" s="590"/>
      <c r="CQ243" s="590"/>
      <c r="CR243" s="590"/>
      <c r="CS243" s="590"/>
      <c r="CT243" s="590"/>
      <c r="CU243" s="590"/>
      <c r="CV243" s="590"/>
      <c r="CW243" s="591"/>
    </row>
    <row r="244" spans="1:218" s="834" customFormat="1" ht="15" x14ac:dyDescent="0.2">
      <c r="A244" s="817"/>
      <c r="B244" s="1336" t="s">
        <v>386</v>
      </c>
      <c r="C244" s="1337"/>
      <c r="D244" s="1337"/>
      <c r="E244" s="1337"/>
      <c r="F244" s="1337"/>
      <c r="G244" s="1337"/>
      <c r="H244" s="1337"/>
      <c r="I244" s="1337"/>
      <c r="J244" s="1337"/>
      <c r="K244" s="1337"/>
      <c r="L244" s="1337"/>
      <c r="M244" s="1337"/>
      <c r="N244" s="1428" t="str">
        <f>+W243</f>
        <v/>
      </c>
      <c r="O244" s="1428"/>
      <c r="P244" s="1428"/>
      <c r="Q244" s="1428"/>
      <c r="R244" s="1428"/>
      <c r="S244" s="1428"/>
      <c r="T244" s="1428"/>
      <c r="U244" s="1428"/>
      <c r="V244" s="1428"/>
      <c r="W244" s="1428"/>
      <c r="X244" s="1428"/>
      <c r="Y244" s="1428"/>
      <c r="Z244" s="1428"/>
      <c r="AA244" s="1428"/>
      <c r="AB244" s="1428"/>
      <c r="AC244" s="1428"/>
      <c r="AD244" s="1428"/>
      <c r="AE244" s="1428"/>
      <c r="AF244" s="1428"/>
      <c r="AG244" s="1428"/>
      <c r="AH244" s="1428"/>
      <c r="AI244" s="1428"/>
      <c r="AJ244" s="1428"/>
      <c r="AK244" s="1428"/>
      <c r="AL244" s="1428"/>
      <c r="AM244" s="1428"/>
      <c r="AN244" s="1352" t="s">
        <v>387</v>
      </c>
      <c r="AO244" s="1352"/>
      <c r="AP244" s="1352"/>
      <c r="AQ244" s="1352"/>
      <c r="AR244" s="1352"/>
      <c r="AS244" s="1352"/>
      <c r="AT244" s="1352"/>
      <c r="AU244" s="1352"/>
      <c r="AV244" s="1352"/>
      <c r="AW244" s="1352"/>
      <c r="AX244" s="1352"/>
      <c r="AY244" s="1352"/>
      <c r="AZ244" s="1352"/>
      <c r="BA244" s="1428" t="str">
        <f>+AZ242</f>
        <v/>
      </c>
      <c r="BB244" s="1428"/>
      <c r="BC244" s="1428"/>
      <c r="BD244" s="1428"/>
      <c r="BE244" s="1428"/>
      <c r="BF244" s="1428"/>
      <c r="BG244" s="1429"/>
      <c r="BH244" s="550"/>
      <c r="BI244" s="830"/>
      <c r="BJ244" s="830"/>
      <c r="BK244" s="830"/>
      <c r="BL244" s="830"/>
      <c r="BM244" s="831"/>
      <c r="BN244" s="832"/>
      <c r="BO244" s="832"/>
      <c r="BP244" s="832"/>
      <c r="BQ244" s="832"/>
      <c r="BR244" s="832"/>
      <c r="BS244" s="832"/>
      <c r="BT244" s="832"/>
      <c r="BU244" s="832"/>
      <c r="BV244" s="832"/>
      <c r="BW244" s="832"/>
      <c r="BY244" s="832"/>
      <c r="BZ244" s="832"/>
      <c r="CA244" s="832"/>
      <c r="CB244" s="590" t="str">
        <f>IF(L223="RO",4,"")</f>
        <v/>
      </c>
      <c r="CC244" s="590" t="s">
        <v>1130</v>
      </c>
      <c r="CD244" s="1125" t="s">
        <v>1116</v>
      </c>
      <c r="CE244" s="832"/>
      <c r="CF244" s="832"/>
      <c r="CG244" s="832"/>
      <c r="CH244" s="832"/>
      <c r="CI244" s="832"/>
      <c r="CJ244" s="832"/>
      <c r="CK244" s="832"/>
      <c r="CL244" s="832"/>
      <c r="CM244" s="832"/>
      <c r="CN244" s="832"/>
      <c r="CO244" s="832"/>
      <c r="CP244" s="832"/>
      <c r="CQ244" s="832"/>
      <c r="CR244" s="832"/>
      <c r="CS244" s="832"/>
      <c r="CT244" s="832"/>
      <c r="CU244" s="832"/>
      <c r="CV244" s="832"/>
      <c r="CW244" s="833"/>
      <c r="EJ244" s="835"/>
      <c r="EK244" s="835"/>
      <c r="EL244" s="835"/>
      <c r="EM244" s="835"/>
      <c r="EN244" s="835"/>
      <c r="EO244" s="835"/>
      <c r="EP244" s="835"/>
      <c r="EQ244" s="835"/>
      <c r="ER244" s="835"/>
      <c r="ES244" s="835"/>
      <c r="ET244" s="835"/>
      <c r="EU244" s="835"/>
      <c r="EV244" s="835"/>
      <c r="EW244" s="835"/>
      <c r="EX244" s="835"/>
      <c r="EY244" s="835"/>
      <c r="EZ244" s="835"/>
      <c r="FA244" s="835"/>
      <c r="FB244" s="835"/>
      <c r="FC244" s="835"/>
      <c r="FD244" s="835"/>
      <c r="FE244" s="835"/>
      <c r="FF244" s="835"/>
      <c r="FG244" s="835"/>
      <c r="FH244" s="835"/>
      <c r="FI244" s="835"/>
      <c r="FJ244" s="835"/>
      <c r="FK244" s="835"/>
      <c r="FL244" s="835"/>
      <c r="FM244" s="835"/>
      <c r="FN244" s="835"/>
      <c r="FO244" s="835"/>
      <c r="FP244" s="835"/>
      <c r="FQ244" s="835"/>
      <c r="FR244" s="835"/>
      <c r="FS244" s="835"/>
      <c r="FT244" s="835"/>
      <c r="FU244" s="835"/>
      <c r="FV244" s="835"/>
      <c r="FW244" s="835"/>
      <c r="FX244" s="835"/>
      <c r="FY244" s="835"/>
      <c r="FZ244" s="835"/>
      <c r="GA244" s="835"/>
      <c r="GB244" s="835"/>
      <c r="GC244" s="835"/>
      <c r="GD244" s="835"/>
      <c r="GE244" s="835"/>
      <c r="GF244" s="835"/>
      <c r="GG244" s="835"/>
      <c r="GH244" s="835"/>
      <c r="GI244" s="835"/>
      <c r="GJ244" s="835"/>
      <c r="GK244" s="835"/>
      <c r="GL244" s="835"/>
      <c r="GM244" s="835"/>
      <c r="GN244" s="835"/>
      <c r="GO244" s="835"/>
      <c r="GP244" s="835"/>
      <c r="GQ244" s="835"/>
      <c r="GR244" s="835"/>
      <c r="GS244" s="835"/>
      <c r="GT244" s="835"/>
      <c r="GU244" s="835"/>
      <c r="GV244" s="835"/>
      <c r="GW244" s="835"/>
      <c r="GX244" s="835"/>
      <c r="GY244" s="835"/>
      <c r="GZ244" s="835"/>
      <c r="HA244" s="835"/>
      <c r="HB244" s="835"/>
      <c r="HC244" s="835"/>
      <c r="HD244" s="835"/>
      <c r="HE244" s="835"/>
      <c r="HF244" s="835"/>
      <c r="HG244" s="835"/>
      <c r="HH244" s="835"/>
      <c r="HI244" s="835"/>
      <c r="HJ244" s="835"/>
    </row>
    <row r="245" spans="1:218" ht="15.75" customHeight="1" x14ac:dyDescent="0.2">
      <c r="A245" s="588"/>
      <c r="B245" s="1424" t="s">
        <v>388</v>
      </c>
      <c r="C245" s="1425"/>
      <c r="D245" s="1425"/>
      <c r="E245" s="1425"/>
      <c r="F245" s="1425"/>
      <c r="G245" s="1425"/>
      <c r="H245" s="1425"/>
      <c r="I245" s="1425"/>
      <c r="J245" s="1425"/>
      <c r="K245" s="1425"/>
      <c r="L245" s="1425"/>
      <c r="M245" s="1425"/>
      <c r="N245" s="1425"/>
      <c r="O245" s="1425"/>
      <c r="P245" s="1425"/>
      <c r="Q245" s="1425"/>
      <c r="R245" s="1425"/>
      <c r="S245" s="1425"/>
      <c r="T245" s="1425"/>
      <c r="U245" s="1425"/>
      <c r="V245" s="1425"/>
      <c r="W245" s="1425"/>
      <c r="X245" s="1425"/>
      <c r="Y245" s="1425"/>
      <c r="Z245" s="1425"/>
      <c r="AA245" s="1425"/>
      <c r="AB245" s="1425"/>
      <c r="AC245" s="1425"/>
      <c r="AD245" s="1425"/>
      <c r="AE245" s="1426"/>
      <c r="AF245" s="1426"/>
      <c r="AG245" s="1426"/>
      <c r="AH245" s="1426"/>
      <c r="AI245" s="1426"/>
      <c r="AJ245" s="1426"/>
      <c r="AK245" s="1426"/>
      <c r="AL245" s="1426"/>
      <c r="AM245" s="1426"/>
      <c r="AN245" s="1426"/>
      <c r="AO245" s="1426"/>
      <c r="AP245" s="1426"/>
      <c r="AQ245" s="1426"/>
      <c r="AR245" s="1426"/>
      <c r="AS245" s="1426"/>
      <c r="AT245" s="1426"/>
      <c r="AU245" s="1426"/>
      <c r="AV245" s="1426"/>
      <c r="AW245" s="1426"/>
      <c r="AX245" s="1426"/>
      <c r="AY245" s="1426"/>
      <c r="AZ245" s="1426"/>
      <c r="BA245" s="1426"/>
      <c r="BB245" s="1426"/>
      <c r="BC245" s="1426"/>
      <c r="BD245" s="1426"/>
      <c r="BE245" s="1426"/>
      <c r="BF245" s="1426"/>
      <c r="BG245" s="1427"/>
      <c r="BH245" s="550"/>
      <c r="BI245" s="550"/>
      <c r="BJ245" s="550"/>
      <c r="BK245" s="550"/>
      <c r="BL245" s="550"/>
      <c r="BM245" s="551"/>
      <c r="BN245" s="590"/>
      <c r="BO245" s="590"/>
      <c r="BP245" s="590"/>
      <c r="BQ245" s="590"/>
      <c r="BR245" s="590"/>
      <c r="BS245" s="590"/>
      <c r="BT245" s="590"/>
      <c r="BU245" s="590"/>
      <c r="BV245" s="590"/>
      <c r="BW245" s="590"/>
      <c r="BY245" s="590"/>
      <c r="BZ245" s="590"/>
      <c r="CA245" s="590"/>
      <c r="CB245" s="590" t="str">
        <f>IF(L223="RO",4,"")</f>
        <v/>
      </c>
      <c r="CC245" s="590" t="s">
        <v>1130</v>
      </c>
      <c r="CD245" s="1125" t="s">
        <v>1117</v>
      </c>
      <c r="CE245" s="590"/>
      <c r="CF245" s="590"/>
      <c r="CG245" s="590"/>
      <c r="CH245" s="590"/>
      <c r="CI245" s="590"/>
      <c r="CJ245" s="590"/>
      <c r="CK245" s="590"/>
      <c r="CL245" s="590"/>
      <c r="CM245" s="590"/>
      <c r="CN245" s="590"/>
      <c r="CO245" s="590"/>
      <c r="CP245" s="590"/>
      <c r="CQ245" s="590"/>
      <c r="CR245" s="590"/>
      <c r="CS245" s="590"/>
      <c r="CT245" s="590"/>
      <c r="CU245" s="590"/>
      <c r="CV245" s="590"/>
      <c r="CW245" s="591"/>
    </row>
    <row r="246" spans="1:218" ht="15.75" customHeight="1" x14ac:dyDescent="0.2">
      <c r="A246" s="588"/>
      <c r="B246" s="597"/>
      <c r="C246" s="550"/>
      <c r="D246" s="550"/>
      <c r="E246" s="550"/>
      <c r="F246" s="550"/>
      <c r="G246" s="827"/>
      <c r="H246" s="827"/>
      <c r="I246" s="827"/>
      <c r="J246" s="827"/>
      <c r="K246" s="827"/>
      <c r="L246" s="550"/>
      <c r="M246" s="550"/>
      <c r="N246" s="550"/>
      <c r="O246" s="541"/>
      <c r="P246" s="836"/>
      <c r="Q246" s="836"/>
      <c r="R246" s="836"/>
      <c r="S246" s="836"/>
      <c r="T246" s="836"/>
      <c r="U246" s="836"/>
      <c r="V246" s="836"/>
      <c r="W246" s="836"/>
      <c r="X246" s="836"/>
      <c r="Y246" s="836"/>
      <c r="Z246" s="602"/>
      <c r="AA246" s="705"/>
      <c r="AB246" s="550"/>
      <c r="AC246" s="550"/>
      <c r="AD246" s="550"/>
      <c r="AE246" s="550"/>
      <c r="AF246" s="550"/>
      <c r="AG246" s="550"/>
      <c r="AH246" s="710"/>
      <c r="AI246" s="550"/>
      <c r="AJ246" s="550"/>
      <c r="AK246" s="550"/>
      <c r="AL246" s="541"/>
      <c r="AM246" s="541"/>
      <c r="AN246" s="541"/>
      <c r="AO246" s="836"/>
      <c r="AP246" s="836"/>
      <c r="AQ246" s="836"/>
      <c r="AR246" s="836"/>
      <c r="AS246" s="836"/>
      <c r="AT246" s="836"/>
      <c r="AU246" s="836"/>
      <c r="AV246" s="836"/>
      <c r="AW246" s="836"/>
      <c r="AX246" s="836"/>
      <c r="AY246" s="836"/>
      <c r="AZ246" s="836"/>
      <c r="BA246" s="836"/>
      <c r="BB246" s="836"/>
      <c r="BC246" s="836"/>
      <c r="BD246" s="602"/>
      <c r="BE246" s="602"/>
      <c r="BF246" s="550"/>
      <c r="BG246" s="598"/>
      <c r="BH246" s="830"/>
      <c r="BI246" s="550"/>
      <c r="BJ246" s="550"/>
      <c r="BK246" s="550"/>
      <c r="BL246" s="550"/>
      <c r="BM246" s="551"/>
      <c r="BN246" s="590"/>
      <c r="BO246" s="590"/>
      <c r="BP246" s="590"/>
      <c r="BQ246" s="590"/>
      <c r="BR246" s="590"/>
      <c r="BS246" s="590"/>
      <c r="BT246" s="590"/>
      <c r="BU246" s="590"/>
      <c r="BV246" s="590"/>
      <c r="BW246" s="590"/>
      <c r="BY246" s="590"/>
      <c r="BZ246" s="590"/>
      <c r="CA246" s="590"/>
      <c r="CB246" s="590" t="str">
        <f>IF(L223="RO",4,"")</f>
        <v/>
      </c>
      <c r="CC246" s="590" t="s">
        <v>1130</v>
      </c>
      <c r="CD246" s="1125" t="s">
        <v>1118</v>
      </c>
      <c r="CE246" s="590"/>
      <c r="CF246" s="590"/>
      <c r="CG246" s="590"/>
      <c r="CH246" s="590"/>
      <c r="CI246" s="590"/>
      <c r="CJ246" s="590"/>
      <c r="CK246" s="590"/>
      <c r="CL246" s="590"/>
      <c r="CM246" s="590"/>
      <c r="CN246" s="590"/>
      <c r="CO246" s="590"/>
      <c r="CP246" s="590"/>
      <c r="CQ246" s="590"/>
      <c r="CR246" s="590"/>
      <c r="CS246" s="590"/>
      <c r="CT246" s="590"/>
      <c r="CU246" s="590"/>
      <c r="CV246" s="590"/>
      <c r="CW246" s="591"/>
    </row>
    <row r="247" spans="1:218" ht="15.75" customHeight="1" x14ac:dyDescent="0.2">
      <c r="A247" s="588"/>
      <c r="B247" s="696" t="s">
        <v>178</v>
      </c>
      <c r="C247" s="697"/>
      <c r="D247" s="829"/>
      <c r="E247" s="1353"/>
      <c r="F247" s="1353"/>
      <c r="G247" s="1353"/>
      <c r="H247" s="1353"/>
      <c r="I247" s="1353"/>
      <c r="J247" s="1353"/>
      <c r="K247" s="1353"/>
      <c r="L247" s="1353"/>
      <c r="M247" s="1353"/>
      <c r="N247" s="1353"/>
      <c r="O247" s="1353"/>
      <c r="P247" s="836"/>
      <c r="Q247" s="836"/>
      <c r="R247" s="836"/>
      <c r="S247" s="836"/>
      <c r="T247" s="836"/>
      <c r="U247" s="836"/>
      <c r="V247" s="836"/>
      <c r="W247" s="836"/>
      <c r="X247" s="836"/>
      <c r="Y247" s="836"/>
      <c r="Z247" s="602"/>
      <c r="AA247" s="705"/>
      <c r="AB247" s="550"/>
      <c r="AC247" s="550"/>
      <c r="AD247" s="550"/>
      <c r="AE247" s="550"/>
      <c r="AF247" s="550"/>
      <c r="AG247" s="550"/>
      <c r="AH247" s="710"/>
      <c r="AI247" s="550"/>
      <c r="AJ247" s="550"/>
      <c r="AK247" s="550"/>
      <c r="AL247" s="541"/>
      <c r="AM247" s="541"/>
      <c r="AN247" s="541"/>
      <c r="AO247" s="836"/>
      <c r="AP247" s="836"/>
      <c r="AQ247" s="836"/>
      <c r="AR247" s="836"/>
      <c r="AS247" s="836"/>
      <c r="AT247" s="836"/>
      <c r="AU247" s="836"/>
      <c r="AV247" s="836"/>
      <c r="AW247" s="836"/>
      <c r="AX247" s="836"/>
      <c r="AY247" s="836"/>
      <c r="AZ247" s="836"/>
      <c r="BA247" s="836"/>
      <c r="BB247" s="836"/>
      <c r="BC247" s="836"/>
      <c r="BD247" s="602"/>
      <c r="BE247" s="602"/>
      <c r="BF247" s="550"/>
      <c r="BG247" s="598"/>
      <c r="BH247" s="550"/>
      <c r="BI247" s="550"/>
      <c r="BJ247" s="550"/>
      <c r="BK247" s="550"/>
      <c r="BL247" s="550"/>
      <c r="BM247" s="551"/>
      <c r="BN247" s="590"/>
      <c r="BO247" s="590"/>
      <c r="BP247" s="590"/>
      <c r="BQ247" s="590"/>
      <c r="BR247" s="590"/>
      <c r="BS247" s="590"/>
      <c r="BT247" s="590"/>
      <c r="BU247" s="590"/>
      <c r="BV247" s="590"/>
      <c r="BW247" s="590"/>
      <c r="BY247" s="590"/>
      <c r="BZ247" s="590"/>
      <c r="CA247" s="590"/>
      <c r="CB247" s="590" t="str">
        <f>IF(L223="RO",4,"")</f>
        <v/>
      </c>
      <c r="CC247" s="590" t="s">
        <v>1130</v>
      </c>
      <c r="CD247" s="1125" t="s">
        <v>1119</v>
      </c>
      <c r="CE247" s="590"/>
      <c r="CF247" s="590"/>
      <c r="CG247" s="590"/>
      <c r="CH247" s="590"/>
      <c r="CI247" s="590"/>
      <c r="CJ247" s="590"/>
      <c r="CK247" s="590"/>
      <c r="CL247" s="590"/>
      <c r="CM247" s="590"/>
      <c r="CN247" s="590"/>
      <c r="CO247" s="590"/>
      <c r="CP247" s="590"/>
      <c r="CQ247" s="590"/>
      <c r="CR247" s="590"/>
      <c r="CS247" s="590"/>
      <c r="CT247" s="590"/>
      <c r="CU247" s="590"/>
      <c r="CV247" s="590"/>
      <c r="CW247" s="591"/>
    </row>
    <row r="248" spans="1:218" ht="9.75" customHeight="1" x14ac:dyDescent="0.2">
      <c r="A248" s="588"/>
      <c r="B248" s="597"/>
      <c r="C248" s="550"/>
      <c r="D248" s="550"/>
      <c r="E248" s="550"/>
      <c r="F248" s="550"/>
      <c r="G248" s="827"/>
      <c r="H248" s="827"/>
      <c r="I248" s="827"/>
      <c r="J248" s="827"/>
      <c r="K248" s="827"/>
      <c r="L248" s="550"/>
      <c r="M248" s="550"/>
      <c r="N248" s="550"/>
      <c r="O248" s="541"/>
      <c r="P248" s="836"/>
      <c r="Q248" s="836"/>
      <c r="R248" s="836"/>
      <c r="S248" s="836"/>
      <c r="T248" s="836"/>
      <c r="U248" s="836"/>
      <c r="V248" s="836"/>
      <c r="W248" s="836"/>
      <c r="X248" s="836"/>
      <c r="Y248" s="836"/>
      <c r="Z248" s="602"/>
      <c r="AA248" s="705"/>
      <c r="AB248" s="550"/>
      <c r="AC248" s="550"/>
      <c r="AD248" s="550"/>
      <c r="AE248" s="550"/>
      <c r="AF248" s="550"/>
      <c r="AG248" s="550"/>
      <c r="AH248" s="710"/>
      <c r="AI248" s="550"/>
      <c r="AJ248" s="550"/>
      <c r="AK248" s="550"/>
      <c r="AL248" s="541"/>
      <c r="AM248" s="541"/>
      <c r="AN248" s="541"/>
      <c r="AO248" s="836"/>
      <c r="AP248" s="836"/>
      <c r="AQ248" s="836"/>
      <c r="AR248" s="836"/>
      <c r="AS248" s="836"/>
      <c r="AT248" s="836"/>
      <c r="AU248" s="836"/>
      <c r="AV248" s="836"/>
      <c r="AW248" s="836"/>
      <c r="AX248" s="836"/>
      <c r="AY248" s="836"/>
      <c r="AZ248" s="836"/>
      <c r="BA248" s="836"/>
      <c r="BB248" s="836"/>
      <c r="BC248" s="836"/>
      <c r="BD248" s="602"/>
      <c r="BE248" s="602"/>
      <c r="BF248" s="550"/>
      <c r="BG248" s="598"/>
      <c r="BH248" s="550"/>
      <c r="BI248" s="550"/>
      <c r="BJ248" s="550"/>
      <c r="BK248" s="550"/>
      <c r="BL248" s="550"/>
      <c r="BM248" s="551"/>
      <c r="BN248" s="590"/>
      <c r="BO248" s="590"/>
      <c r="BP248" s="590"/>
      <c r="BQ248" s="590"/>
      <c r="BR248" s="590"/>
      <c r="BS248" s="590"/>
      <c r="BT248" s="590"/>
      <c r="BU248" s="590"/>
      <c r="BV248" s="590"/>
      <c r="BW248" s="590"/>
      <c r="BY248" s="590"/>
      <c r="BZ248" s="590"/>
      <c r="CA248" s="590"/>
      <c r="CB248" s="590" t="str">
        <f>IF(L223="RO",4,"")</f>
        <v/>
      </c>
      <c r="CC248" s="590" t="s">
        <v>1130</v>
      </c>
      <c r="CD248" s="1125" t="s">
        <v>1120</v>
      </c>
      <c r="CE248" s="590"/>
      <c r="CF248" s="590"/>
      <c r="CG248" s="590"/>
      <c r="CH248" s="590"/>
      <c r="CI248" s="590"/>
      <c r="CJ248" s="590"/>
      <c r="CK248" s="590"/>
      <c r="CL248" s="590"/>
      <c r="CM248" s="590"/>
      <c r="CN248" s="590"/>
      <c r="CO248" s="590"/>
      <c r="CP248" s="590"/>
      <c r="CQ248" s="590"/>
      <c r="CR248" s="590"/>
      <c r="CS248" s="590"/>
      <c r="CT248" s="590"/>
      <c r="CU248" s="590"/>
      <c r="CV248" s="590"/>
      <c r="CW248" s="591"/>
    </row>
    <row r="249" spans="1:218" ht="15" x14ac:dyDescent="0.2">
      <c r="A249" s="588"/>
      <c r="B249" s="597"/>
      <c r="C249" s="550"/>
      <c r="D249" s="550"/>
      <c r="E249" s="550"/>
      <c r="F249" s="550"/>
      <c r="G249" s="827"/>
      <c r="H249" s="827"/>
      <c r="I249" s="827"/>
      <c r="J249" s="827"/>
      <c r="K249" s="827"/>
      <c r="L249" s="550"/>
      <c r="M249" s="550"/>
      <c r="N249" s="550"/>
      <c r="O249" s="541"/>
      <c r="P249" s="836"/>
      <c r="Q249" s="836"/>
      <c r="R249" s="836"/>
      <c r="S249" s="836"/>
      <c r="T249" s="836"/>
      <c r="U249" s="836"/>
      <c r="V249" s="836"/>
      <c r="W249" s="836"/>
      <c r="X249" s="836"/>
      <c r="Y249" s="836"/>
      <c r="Z249" s="602"/>
      <c r="AA249" s="705"/>
      <c r="AB249" s="550"/>
      <c r="AC249" s="550"/>
      <c r="AD249" s="550"/>
      <c r="AE249" s="550"/>
      <c r="AF249" s="550"/>
      <c r="AG249" s="550"/>
      <c r="AH249" s="710"/>
      <c r="AI249" s="550"/>
      <c r="AJ249" s="550"/>
      <c r="AK249" s="550"/>
      <c r="AL249" s="541"/>
      <c r="AM249" s="541"/>
      <c r="AN249" s="541"/>
      <c r="AO249" s="836"/>
      <c r="AP249" s="836"/>
      <c r="AQ249" s="836"/>
      <c r="AR249" s="836"/>
      <c r="AS249" s="836"/>
      <c r="AT249" s="836"/>
      <c r="AU249" s="836"/>
      <c r="AV249" s="836"/>
      <c r="AW249" s="836"/>
      <c r="AX249" s="836"/>
      <c r="AY249" s="836"/>
      <c r="AZ249" s="836"/>
      <c r="BA249" s="836"/>
      <c r="BB249" s="836"/>
      <c r="BC249" s="836"/>
      <c r="BD249" s="602"/>
      <c r="BE249" s="602"/>
      <c r="BF249" s="550"/>
      <c r="BG249" s="598"/>
      <c r="BH249" s="550"/>
      <c r="BI249" s="550"/>
      <c r="BJ249" s="550"/>
      <c r="BK249" s="550"/>
      <c r="BL249" s="550"/>
      <c r="BM249" s="551"/>
      <c r="BN249" s="590"/>
      <c r="BO249" s="590"/>
      <c r="BP249" s="590"/>
      <c r="BQ249" s="590"/>
      <c r="BR249" s="590"/>
      <c r="BS249" s="590"/>
      <c r="BT249" s="590"/>
      <c r="BU249" s="590"/>
      <c r="BV249" s="590"/>
      <c r="BW249" s="590"/>
      <c r="BY249" s="590"/>
      <c r="BZ249" s="590"/>
      <c r="CA249" s="590"/>
      <c r="CB249" s="590" t="str">
        <f>IF(L223="RO",4,"")</f>
        <v/>
      </c>
      <c r="CC249" s="590" t="s">
        <v>1130</v>
      </c>
      <c r="CD249" s="1125" t="s">
        <v>1121</v>
      </c>
      <c r="CE249" s="590"/>
      <c r="CF249" s="590"/>
      <c r="CG249" s="590"/>
      <c r="CH249" s="590"/>
      <c r="CI249" s="590"/>
      <c r="CJ249" s="590"/>
      <c r="CK249" s="590"/>
      <c r="CL249" s="590"/>
      <c r="CM249" s="590"/>
      <c r="CN249" s="590"/>
      <c r="CO249" s="590"/>
      <c r="CP249" s="590"/>
      <c r="CQ249" s="590"/>
      <c r="CR249" s="590"/>
      <c r="CS249" s="590"/>
      <c r="CT249" s="590"/>
      <c r="CU249" s="590"/>
      <c r="CV249" s="590"/>
      <c r="CW249" s="591"/>
    </row>
    <row r="250" spans="1:218" ht="9.75" customHeight="1" x14ac:dyDescent="0.2">
      <c r="A250" s="588"/>
      <c r="B250" s="597"/>
      <c r="C250" s="550"/>
      <c r="D250" s="550"/>
      <c r="E250" s="550"/>
      <c r="F250" s="550"/>
      <c r="G250" s="827"/>
      <c r="H250" s="827"/>
      <c r="I250" s="827"/>
      <c r="J250" s="827"/>
      <c r="K250" s="827"/>
      <c r="L250" s="550"/>
      <c r="M250" s="550"/>
      <c r="N250" s="550"/>
      <c r="O250" s="541"/>
      <c r="P250" s="836"/>
      <c r="Q250" s="836"/>
      <c r="R250" s="836"/>
      <c r="S250" s="836"/>
      <c r="T250" s="836"/>
      <c r="U250" s="836"/>
      <c r="V250" s="836"/>
      <c r="W250" s="836"/>
      <c r="X250" s="836"/>
      <c r="Y250" s="836"/>
      <c r="Z250" s="602"/>
      <c r="AA250" s="705"/>
      <c r="AB250" s="550"/>
      <c r="AC250" s="550"/>
      <c r="AD250" s="550"/>
      <c r="AE250" s="550"/>
      <c r="AF250" s="550"/>
      <c r="AG250" s="550"/>
      <c r="AH250" s="710"/>
      <c r="AI250" s="550"/>
      <c r="AJ250" s="550"/>
      <c r="AK250" s="550"/>
      <c r="AL250" s="541"/>
      <c r="AM250" s="541"/>
      <c r="AN250" s="541"/>
      <c r="AO250" s="836"/>
      <c r="AP250" s="836"/>
      <c r="AQ250" s="836"/>
      <c r="AR250" s="836"/>
      <c r="AS250" s="836"/>
      <c r="AT250" s="836"/>
      <c r="AU250" s="836"/>
      <c r="AV250" s="836"/>
      <c r="AW250" s="836"/>
      <c r="AX250" s="836"/>
      <c r="AY250" s="836"/>
      <c r="AZ250" s="836"/>
      <c r="BA250" s="836"/>
      <c r="BB250" s="836"/>
      <c r="BC250" s="836"/>
      <c r="BD250" s="602"/>
      <c r="BE250" s="602"/>
      <c r="BF250" s="550"/>
      <c r="BG250" s="598"/>
      <c r="BH250" s="550"/>
      <c r="BI250" s="550"/>
      <c r="BJ250" s="550"/>
      <c r="BK250" s="550"/>
      <c r="BL250" s="550"/>
      <c r="BM250" s="551"/>
      <c r="BN250" s="590"/>
      <c r="BO250" s="590"/>
      <c r="BP250" s="590"/>
      <c r="BQ250" s="590"/>
      <c r="BR250" s="590"/>
      <c r="BS250" s="590"/>
      <c r="BT250" s="590"/>
      <c r="BU250" s="590"/>
      <c r="BV250" s="590"/>
      <c r="BW250" s="590"/>
      <c r="BY250" s="590"/>
      <c r="BZ250" s="590"/>
      <c r="CA250" s="590"/>
      <c r="CB250" s="590" t="str">
        <f>IF(L223="SI",5,"")</f>
        <v/>
      </c>
      <c r="CC250" s="590" t="s">
        <v>1102</v>
      </c>
      <c r="CD250" s="1127" t="s">
        <v>1122</v>
      </c>
      <c r="CE250" s="590"/>
      <c r="CF250" s="590"/>
      <c r="CG250" s="590"/>
      <c r="CH250" s="590"/>
      <c r="CI250" s="590"/>
      <c r="CJ250" s="590"/>
      <c r="CK250" s="590"/>
      <c r="CL250" s="590"/>
      <c r="CM250" s="590"/>
      <c r="CN250" s="590"/>
      <c r="CO250" s="590"/>
      <c r="CP250" s="590"/>
      <c r="CQ250" s="590"/>
      <c r="CR250" s="590"/>
      <c r="CS250" s="590"/>
      <c r="CT250" s="590"/>
      <c r="CU250" s="590"/>
      <c r="CV250" s="590"/>
      <c r="CW250" s="591"/>
    </row>
    <row r="251" spans="1:218" ht="9.75" customHeight="1" x14ac:dyDescent="0.2">
      <c r="A251" s="588"/>
      <c r="B251" s="597"/>
      <c r="C251" s="550"/>
      <c r="D251" s="550"/>
      <c r="E251" s="550"/>
      <c r="F251" s="550"/>
      <c r="G251" s="827"/>
      <c r="H251" s="827"/>
      <c r="I251" s="827"/>
      <c r="J251" s="827"/>
      <c r="K251" s="827"/>
      <c r="L251" s="550"/>
      <c r="M251" s="550"/>
      <c r="N251" s="550"/>
      <c r="O251" s="541"/>
      <c r="P251" s="836"/>
      <c r="Q251" s="836"/>
      <c r="R251" s="836"/>
      <c r="S251" s="836"/>
      <c r="T251" s="836"/>
      <c r="U251" s="836"/>
      <c r="V251" s="836"/>
      <c r="W251" s="836"/>
      <c r="X251" s="836"/>
      <c r="Y251" s="836"/>
      <c r="Z251" s="602"/>
      <c r="AA251" s="705"/>
      <c r="AB251" s="550"/>
      <c r="AC251" s="550"/>
      <c r="AD251" s="550"/>
      <c r="AE251" s="550"/>
      <c r="AF251" s="550"/>
      <c r="AG251" s="550"/>
      <c r="AH251" s="710"/>
      <c r="AI251" s="550"/>
      <c r="AJ251" s="550"/>
      <c r="AK251" s="550"/>
      <c r="AL251" s="541"/>
      <c r="AM251" s="541"/>
      <c r="AN251" s="541"/>
      <c r="AO251" s="836"/>
      <c r="AP251" s="836"/>
      <c r="AQ251" s="836"/>
      <c r="AR251" s="836"/>
      <c r="AS251" s="836"/>
      <c r="AT251" s="836"/>
      <c r="AU251" s="836"/>
      <c r="AV251" s="836"/>
      <c r="AW251" s="836"/>
      <c r="AX251" s="836"/>
      <c r="AY251" s="836"/>
      <c r="AZ251" s="836"/>
      <c r="BA251" s="836"/>
      <c r="BB251" s="836"/>
      <c r="BC251" s="836"/>
      <c r="BD251" s="602"/>
      <c r="BE251" s="602"/>
      <c r="BF251" s="550"/>
      <c r="BG251" s="598"/>
      <c r="BH251" s="550"/>
      <c r="BI251" s="550"/>
      <c r="BJ251" s="550"/>
      <c r="BK251" s="550"/>
      <c r="BL251" s="550"/>
      <c r="BM251" s="551"/>
      <c r="BN251" s="590"/>
      <c r="BO251" s="590"/>
      <c r="BP251" s="590"/>
      <c r="BQ251" s="590"/>
      <c r="BR251" s="590"/>
      <c r="BS251" s="590"/>
      <c r="BT251" s="590"/>
      <c r="BU251" s="590"/>
      <c r="BV251" s="590"/>
      <c r="BW251" s="590"/>
      <c r="BY251" s="590"/>
      <c r="BZ251" s="590"/>
      <c r="CA251" s="590"/>
      <c r="CB251" s="590" t="str">
        <f>IF(L223="SI",5,"")</f>
        <v/>
      </c>
      <c r="CC251" s="590" t="s">
        <v>1102</v>
      </c>
      <c r="CD251" s="1127" t="s">
        <v>1123</v>
      </c>
      <c r="CE251" s="590"/>
      <c r="CF251" s="590"/>
      <c r="CG251" s="590"/>
      <c r="CH251" s="590"/>
      <c r="CI251" s="590"/>
      <c r="CJ251" s="590"/>
      <c r="CK251" s="590"/>
      <c r="CL251" s="590"/>
      <c r="CM251" s="590"/>
      <c r="CN251" s="590"/>
      <c r="CO251" s="590"/>
      <c r="CP251" s="590"/>
      <c r="CQ251" s="590"/>
      <c r="CR251" s="590"/>
      <c r="CS251" s="590"/>
      <c r="CT251" s="590"/>
      <c r="CU251" s="590"/>
      <c r="CV251" s="590"/>
      <c r="CW251" s="591"/>
    </row>
    <row r="252" spans="1:218" ht="15" customHeight="1" x14ac:dyDescent="0.2">
      <c r="A252" s="588"/>
      <c r="B252" s="597"/>
      <c r="C252" s="550"/>
      <c r="D252" s="550"/>
      <c r="E252" s="550"/>
      <c r="F252" s="550"/>
      <c r="G252" s="827"/>
      <c r="H252" s="827"/>
      <c r="I252" s="827"/>
      <c r="J252" s="827"/>
      <c r="K252" s="827"/>
      <c r="L252" s="550"/>
      <c r="M252" s="550"/>
      <c r="N252" s="550"/>
      <c r="O252" s="541"/>
      <c r="P252" s="836"/>
      <c r="Q252" s="836"/>
      <c r="R252" s="836"/>
      <c r="S252" s="836"/>
      <c r="T252" s="836"/>
      <c r="U252" s="836"/>
      <c r="V252" s="836"/>
      <c r="W252" s="836"/>
      <c r="X252" s="836"/>
      <c r="Y252" s="836"/>
      <c r="Z252" s="602"/>
      <c r="AA252" s="705"/>
      <c r="AB252" s="550"/>
      <c r="AC252" s="550"/>
      <c r="AD252" s="550"/>
      <c r="AE252" s="550"/>
      <c r="AF252" s="550"/>
      <c r="AG252" s="550"/>
      <c r="AH252" s="710"/>
      <c r="AI252" s="550"/>
      <c r="AJ252" s="550"/>
      <c r="AK252" s="550"/>
      <c r="AL252" s="541"/>
      <c r="AM252" s="541"/>
      <c r="AN252" s="541"/>
      <c r="AO252" s="836"/>
      <c r="AP252" s="836"/>
      <c r="AQ252" s="836"/>
      <c r="AR252" s="836"/>
      <c r="AS252" s="836"/>
      <c r="AT252" s="836"/>
      <c r="AU252" s="836"/>
      <c r="AV252" s="836"/>
      <c r="AW252" s="836"/>
      <c r="AX252" s="836"/>
      <c r="AY252" s="836"/>
      <c r="AZ252" s="836"/>
      <c r="BA252" s="836"/>
      <c r="BB252" s="836"/>
      <c r="BC252" s="836"/>
      <c r="BD252" s="602"/>
      <c r="BE252" s="602"/>
      <c r="BF252" s="550"/>
      <c r="BG252" s="598"/>
      <c r="BH252" s="550"/>
      <c r="BI252" s="550"/>
      <c r="BJ252" s="550"/>
      <c r="BK252" s="550"/>
      <c r="BL252" s="550"/>
      <c r="BM252" s="551"/>
      <c r="BN252" s="590"/>
      <c r="BO252" s="590"/>
      <c r="BP252" s="590"/>
      <c r="BQ252" s="590"/>
      <c r="BR252" s="590"/>
      <c r="BS252" s="590"/>
      <c r="BT252" s="590"/>
      <c r="BU252" s="590"/>
      <c r="BV252" s="590"/>
      <c r="BW252" s="590"/>
      <c r="BY252" s="590"/>
      <c r="BZ252" s="590"/>
      <c r="CA252" s="590"/>
      <c r="CB252" s="590" t="str">
        <f>IF(L223="SK",6,"")</f>
        <v/>
      </c>
      <c r="CC252" s="590" t="s">
        <v>1131</v>
      </c>
      <c r="CD252" s="1126" t="s">
        <v>1124</v>
      </c>
      <c r="CE252" s="590"/>
      <c r="CF252" s="590"/>
      <c r="CG252" s="590"/>
      <c r="CH252" s="590"/>
      <c r="CI252" s="590"/>
      <c r="CJ252" s="590"/>
      <c r="CK252" s="590"/>
      <c r="CL252" s="590"/>
      <c r="CM252" s="590"/>
      <c r="CN252" s="590"/>
      <c r="CO252" s="590"/>
      <c r="CP252" s="590"/>
      <c r="CQ252" s="590"/>
      <c r="CR252" s="590"/>
      <c r="CS252" s="590"/>
      <c r="CT252" s="590"/>
      <c r="CU252" s="590"/>
      <c r="CV252" s="590"/>
      <c r="CW252" s="591"/>
    </row>
    <row r="253" spans="1:218" ht="9.75" customHeight="1" x14ac:dyDescent="0.2">
      <c r="A253" s="588"/>
      <c r="B253" s="597"/>
      <c r="C253" s="550"/>
      <c r="D253" s="550"/>
      <c r="E253" s="550"/>
      <c r="F253" s="550"/>
      <c r="G253" s="827"/>
      <c r="H253" s="1349"/>
      <c r="I253" s="1349"/>
      <c r="J253" s="1349"/>
      <c r="K253" s="1349"/>
      <c r="L253" s="1349"/>
      <c r="M253" s="1349"/>
      <c r="N253" s="1349"/>
      <c r="O253" s="1349"/>
      <c r="P253" s="1349"/>
      <c r="Q253" s="1349"/>
      <c r="R253" s="1349"/>
      <c r="S253" s="1349"/>
      <c r="T253" s="1349"/>
      <c r="U253" s="1349"/>
      <c r="V253" s="1349"/>
      <c r="W253" s="1349"/>
      <c r="X253" s="1349"/>
      <c r="Y253" s="1349"/>
      <c r="Z253" s="1349"/>
      <c r="AA253" s="1349"/>
      <c r="AB253" s="1349"/>
      <c r="AC253" s="1349"/>
      <c r="AD253" s="1349"/>
      <c r="AE253" s="1349"/>
      <c r="AF253" s="1349"/>
      <c r="AG253" s="1349"/>
      <c r="AH253" s="1349"/>
      <c r="AI253" s="588"/>
      <c r="AJ253" s="588"/>
      <c r="AK253" s="1348"/>
      <c r="AL253" s="1348"/>
      <c r="AM253" s="1348"/>
      <c r="AN253" s="1348"/>
      <c r="AO253" s="1348"/>
      <c r="AP253" s="1348"/>
      <c r="AQ253" s="1348"/>
      <c r="AR253" s="1348"/>
      <c r="AS253" s="1348"/>
      <c r="AT253" s="1348"/>
      <c r="AU253" s="1348"/>
      <c r="AV253" s="1348"/>
      <c r="AW253" s="1348"/>
      <c r="AX253" s="1348"/>
      <c r="AY253" s="1348"/>
      <c r="AZ253" s="1348"/>
      <c r="BA253" s="1348"/>
      <c r="BB253" s="1348"/>
      <c r="BC253" s="1348"/>
      <c r="BD253" s="1348"/>
      <c r="BE253" s="1348"/>
      <c r="BF253" s="550"/>
      <c r="BG253" s="598"/>
      <c r="BH253" s="550"/>
      <c r="BI253" s="550"/>
      <c r="BJ253" s="550"/>
      <c r="BK253" s="550"/>
      <c r="BL253" s="550"/>
      <c r="BM253" s="551"/>
      <c r="BN253" s="590"/>
      <c r="BO253" s="590"/>
      <c r="BP253" s="590"/>
      <c r="BQ253" s="590"/>
      <c r="BR253" s="590"/>
      <c r="BS253" s="590"/>
      <c r="BT253" s="590"/>
      <c r="BU253" s="590"/>
      <c r="BV253" s="590"/>
      <c r="BW253" s="590"/>
      <c r="BY253" s="590"/>
      <c r="BZ253" s="590"/>
      <c r="CA253" s="590"/>
      <c r="CB253" s="590" t="str">
        <f>IF(L223="SK",6,"")</f>
        <v/>
      </c>
      <c r="CC253" s="590" t="s">
        <v>1131</v>
      </c>
      <c r="CD253" s="1126" t="s">
        <v>1125</v>
      </c>
      <c r="CE253" s="590"/>
      <c r="CF253" s="590"/>
      <c r="CG253" s="590"/>
      <c r="CH253" s="590"/>
      <c r="CI253" s="590"/>
      <c r="CJ253" s="590"/>
      <c r="CK253" s="590"/>
      <c r="CL253" s="590"/>
      <c r="CM253" s="590"/>
      <c r="CN253" s="590"/>
      <c r="CO253" s="590"/>
      <c r="CP253" s="590"/>
      <c r="CQ253" s="590"/>
      <c r="CR253" s="590"/>
      <c r="CS253" s="590"/>
      <c r="CT253" s="590"/>
      <c r="CU253" s="590"/>
      <c r="CV253" s="590"/>
      <c r="CW253" s="591"/>
    </row>
    <row r="254" spans="1:218" ht="15" customHeight="1" x14ac:dyDescent="0.2">
      <c r="A254" s="588"/>
      <c r="B254" s="597"/>
      <c r="C254" s="550"/>
      <c r="D254" s="550"/>
      <c r="E254" s="550"/>
      <c r="F254" s="550"/>
      <c r="G254" s="827"/>
      <c r="H254" s="1349"/>
      <c r="I254" s="1349"/>
      <c r="J254" s="1349"/>
      <c r="K254" s="1349"/>
      <c r="L254" s="1349"/>
      <c r="M254" s="1349"/>
      <c r="N254" s="1349"/>
      <c r="O254" s="1349"/>
      <c r="P254" s="1349"/>
      <c r="Q254" s="1349"/>
      <c r="R254" s="1349"/>
      <c r="S254" s="1349"/>
      <c r="T254" s="1349"/>
      <c r="U254" s="1349"/>
      <c r="V254" s="1349"/>
      <c r="W254" s="1349"/>
      <c r="X254" s="1349"/>
      <c r="Y254" s="1349"/>
      <c r="Z254" s="1349"/>
      <c r="AA254" s="1349"/>
      <c r="AB254" s="1349"/>
      <c r="AC254" s="1349"/>
      <c r="AD254" s="1349"/>
      <c r="AE254" s="1349"/>
      <c r="AF254" s="1349"/>
      <c r="AG254" s="1349"/>
      <c r="AH254" s="1349"/>
      <c r="AI254" s="588"/>
      <c r="AJ254" s="588"/>
      <c r="AK254" s="1348"/>
      <c r="AL254" s="1348"/>
      <c r="AM254" s="1348"/>
      <c r="AN254" s="1348"/>
      <c r="AO254" s="1348"/>
      <c r="AP254" s="1348"/>
      <c r="AQ254" s="1348"/>
      <c r="AR254" s="1348"/>
      <c r="AS254" s="1348"/>
      <c r="AT254" s="1348"/>
      <c r="AU254" s="1348"/>
      <c r="AV254" s="1348"/>
      <c r="AW254" s="1348"/>
      <c r="AX254" s="1348"/>
      <c r="AY254" s="1348"/>
      <c r="AZ254" s="1348"/>
      <c r="BA254" s="1348"/>
      <c r="BB254" s="1348"/>
      <c r="BC254" s="1348"/>
      <c r="BD254" s="1348"/>
      <c r="BE254" s="1348"/>
      <c r="BF254" s="550"/>
      <c r="BG254" s="598"/>
      <c r="BH254" s="550"/>
      <c r="BI254" s="550"/>
      <c r="BJ254" s="550"/>
      <c r="BK254" s="550"/>
      <c r="BL254" s="550"/>
      <c r="BM254" s="551"/>
      <c r="BN254" s="590"/>
      <c r="BO254" s="590"/>
      <c r="BP254" s="590"/>
      <c r="BQ254" s="590"/>
      <c r="BR254" s="590"/>
      <c r="BS254" s="590"/>
      <c r="BT254" s="590"/>
      <c r="BU254" s="590"/>
      <c r="BV254" s="590"/>
      <c r="BW254" s="590"/>
      <c r="BY254" s="590"/>
      <c r="BZ254" s="590"/>
      <c r="CA254" s="590"/>
      <c r="CB254" s="590" t="str">
        <f>IF(L223="SK",6,"")</f>
        <v/>
      </c>
      <c r="CC254" s="590" t="s">
        <v>1131</v>
      </c>
      <c r="CD254" s="1126" t="s">
        <v>1126</v>
      </c>
      <c r="CE254" s="590"/>
      <c r="CF254" s="590"/>
      <c r="CG254" s="590"/>
      <c r="CH254" s="590"/>
      <c r="CI254" s="590"/>
      <c r="CJ254" s="590"/>
      <c r="CK254" s="590"/>
      <c r="CL254" s="590"/>
      <c r="CM254" s="590"/>
      <c r="CN254" s="590"/>
      <c r="CO254" s="590"/>
      <c r="CP254" s="590"/>
      <c r="CQ254" s="590"/>
      <c r="CR254" s="590"/>
      <c r="CS254" s="590"/>
      <c r="CT254" s="590"/>
      <c r="CU254" s="590"/>
      <c r="CV254" s="590"/>
      <c r="CW254" s="591"/>
    </row>
    <row r="255" spans="1:218" ht="15" x14ac:dyDescent="0.2">
      <c r="A255" s="588"/>
      <c r="B255" s="597"/>
      <c r="C255" s="550"/>
      <c r="D255" s="550"/>
      <c r="E255" s="550"/>
      <c r="F255" s="550"/>
      <c r="G255" s="827"/>
      <c r="H255" s="827"/>
      <c r="I255" s="827"/>
      <c r="J255" s="827"/>
      <c r="K255" s="827"/>
      <c r="L255" s="604"/>
      <c r="M255" s="604"/>
      <c r="N255" s="604"/>
      <c r="O255" s="840"/>
      <c r="P255" s="841"/>
      <c r="Q255" s="841"/>
      <c r="R255" s="841"/>
      <c r="S255" s="841"/>
      <c r="T255" s="841"/>
      <c r="U255" s="836"/>
      <c r="V255" s="836"/>
      <c r="W255" s="705"/>
      <c r="X255" s="705"/>
      <c r="Y255" s="705"/>
      <c r="Z255" s="705"/>
      <c r="AA255" s="786"/>
      <c r="AB255" s="705"/>
      <c r="AC255" s="705"/>
      <c r="AD255" s="705"/>
      <c r="AE255" s="705"/>
      <c r="AF255" s="705"/>
      <c r="AG255" s="550"/>
      <c r="AH255" s="710"/>
      <c r="AI255" s="550"/>
      <c r="AJ255" s="550"/>
      <c r="AK255" s="1343"/>
      <c r="AL255" s="1343"/>
      <c r="AM255" s="1343"/>
      <c r="AN255" s="1343"/>
      <c r="AO255" s="1343"/>
      <c r="AP255" s="1343"/>
      <c r="AQ255" s="1343"/>
      <c r="AR255" s="1343"/>
      <c r="AS255" s="1343"/>
      <c r="AT255" s="1343"/>
      <c r="AU255" s="1343"/>
      <c r="AV255" s="1343"/>
      <c r="AW255" s="1343"/>
      <c r="AX255" s="1343"/>
      <c r="AY255" s="1343"/>
      <c r="AZ255" s="1343"/>
      <c r="BA255" s="1343"/>
      <c r="BB255" s="1343"/>
      <c r="BC255" s="1343"/>
      <c r="BD255" s="1343"/>
      <c r="BE255" s="1343"/>
      <c r="BF255" s="550"/>
      <c r="BG255" s="598"/>
      <c r="BH255" s="550"/>
      <c r="BI255" s="550"/>
      <c r="BJ255" s="550"/>
      <c r="BK255" s="550"/>
      <c r="BL255" s="550"/>
      <c r="BM255" s="551"/>
      <c r="BN255" s="590"/>
      <c r="BO255" s="590"/>
      <c r="BP255" s="590"/>
      <c r="BQ255" s="590"/>
      <c r="BR255" s="590"/>
      <c r="BS255" s="590"/>
      <c r="BT255" s="590"/>
      <c r="BU255" s="590"/>
      <c r="BV255" s="590"/>
      <c r="BW255" s="590"/>
      <c r="BY255" s="590"/>
      <c r="BZ255" s="590"/>
      <c r="CA255" s="590"/>
      <c r="CB255" s="590" t="str">
        <f>IF(L223="SK",6,"")</f>
        <v/>
      </c>
      <c r="CC255" s="590" t="s">
        <v>1131</v>
      </c>
      <c r="CD255" s="1126" t="s">
        <v>1127</v>
      </c>
      <c r="CE255" s="590"/>
      <c r="CF255" s="590"/>
      <c r="CG255" s="590"/>
      <c r="CH255" s="590"/>
      <c r="CI255" s="590"/>
      <c r="CJ255" s="590"/>
      <c r="CK255" s="590"/>
      <c r="CL255" s="590"/>
      <c r="CM255" s="590"/>
      <c r="CN255" s="590"/>
      <c r="CO255" s="590"/>
      <c r="CP255" s="590"/>
      <c r="CQ255" s="590"/>
      <c r="CR255" s="590"/>
      <c r="CS255" s="590"/>
      <c r="CT255" s="590"/>
      <c r="CU255" s="590"/>
      <c r="CV255" s="590"/>
      <c r="CW255" s="591"/>
    </row>
    <row r="256" spans="1:218" ht="14.25" customHeight="1" x14ac:dyDescent="0.15">
      <c r="A256" s="588"/>
      <c r="B256" s="597"/>
      <c r="C256" s="550"/>
      <c r="D256" s="550"/>
      <c r="E256" s="550"/>
      <c r="F256" s="550"/>
      <c r="G256" s="827"/>
      <c r="H256" s="827"/>
      <c r="I256" s="827"/>
      <c r="J256" s="827"/>
      <c r="K256" s="827"/>
      <c r="L256" s="1347" t="str">
        <f>+IF(C28="","",C28)</f>
        <v/>
      </c>
      <c r="M256" s="1347"/>
      <c r="N256" s="1347"/>
      <c r="O256" s="1347"/>
      <c r="P256" s="1347"/>
      <c r="Q256" s="1347"/>
      <c r="R256" s="1347"/>
      <c r="S256" s="1347"/>
      <c r="T256" s="1347"/>
      <c r="U256" s="1347"/>
      <c r="V256" s="1347"/>
      <c r="W256" s="1347"/>
      <c r="X256" s="1347"/>
      <c r="Y256" s="1347"/>
      <c r="Z256" s="1347"/>
      <c r="AA256" s="1347"/>
      <c r="AB256" s="1347"/>
      <c r="AC256" s="1347"/>
      <c r="AD256" s="1347"/>
      <c r="AE256" s="1347"/>
      <c r="AF256" s="1347"/>
      <c r="AG256" s="1347"/>
      <c r="AH256" s="710"/>
      <c r="AI256" s="550"/>
      <c r="AJ256" s="550"/>
      <c r="AK256" s="1347" t="str">
        <f>+IF(Finanszirozo="","",Finanszirozo)</f>
        <v/>
      </c>
      <c r="AL256" s="1347"/>
      <c r="AM256" s="1347"/>
      <c r="AN256" s="1347"/>
      <c r="AO256" s="1347"/>
      <c r="AP256" s="1347"/>
      <c r="AQ256" s="1347"/>
      <c r="AR256" s="1347"/>
      <c r="AS256" s="1347"/>
      <c r="AT256" s="1347"/>
      <c r="AU256" s="1347"/>
      <c r="AV256" s="1347"/>
      <c r="AW256" s="1347"/>
      <c r="AX256" s="1347"/>
      <c r="AY256" s="1347"/>
      <c r="AZ256" s="1347"/>
      <c r="BA256" s="1347"/>
      <c r="BB256" s="1347"/>
      <c r="BC256" s="1347"/>
      <c r="BD256" s="1347"/>
      <c r="BE256" s="1347"/>
      <c r="BF256" s="550"/>
      <c r="BG256" s="598"/>
      <c r="BH256" s="550"/>
      <c r="BI256" s="550"/>
      <c r="BJ256" s="550"/>
      <c r="BK256" s="550"/>
      <c r="BL256" s="550"/>
      <c r="BM256" s="551"/>
      <c r="BN256" s="590"/>
      <c r="BO256" s="590"/>
      <c r="BP256" s="590"/>
      <c r="BQ256" s="590"/>
      <c r="BR256" s="590"/>
      <c r="BS256" s="590"/>
      <c r="BT256" s="590"/>
      <c r="BU256" s="590"/>
      <c r="BV256" s="590"/>
      <c r="BW256" s="590"/>
      <c r="BY256" s="590"/>
      <c r="BZ256" s="590"/>
      <c r="CA256" s="590"/>
      <c r="CB256" s="590"/>
      <c r="CC256" s="590"/>
      <c r="CD256" s="590"/>
      <c r="CE256" s="590"/>
      <c r="CF256" s="590"/>
      <c r="CG256" s="590"/>
      <c r="CH256" s="590"/>
      <c r="CI256" s="590"/>
      <c r="CJ256" s="590"/>
      <c r="CK256" s="590"/>
      <c r="CL256" s="590"/>
      <c r="CM256" s="590"/>
      <c r="CN256" s="590"/>
      <c r="CO256" s="590"/>
      <c r="CP256" s="590"/>
      <c r="CQ256" s="590"/>
      <c r="CR256" s="590"/>
      <c r="CS256" s="590"/>
      <c r="CT256" s="590"/>
      <c r="CU256" s="590"/>
      <c r="CV256" s="590"/>
      <c r="CW256" s="591"/>
    </row>
    <row r="257" spans="1:101" ht="14" x14ac:dyDescent="0.15">
      <c r="A257" s="588"/>
      <c r="B257" s="597"/>
      <c r="C257" s="550"/>
      <c r="D257" s="550"/>
      <c r="E257" s="550"/>
      <c r="F257" s="550"/>
      <c r="G257" s="827"/>
      <c r="H257" s="827"/>
      <c r="I257" s="827"/>
      <c r="J257" s="827"/>
      <c r="K257" s="827"/>
      <c r="L257" s="550"/>
      <c r="M257" s="550"/>
      <c r="N257" s="550"/>
      <c r="O257" s="541"/>
      <c r="P257" s="836"/>
      <c r="Q257" s="836"/>
      <c r="R257" s="836"/>
      <c r="S257" s="836"/>
      <c r="T257" s="836"/>
      <c r="U257" s="836"/>
      <c r="V257" s="836"/>
      <c r="W257" s="705"/>
      <c r="X257" s="705"/>
      <c r="Y257" s="705"/>
      <c r="Z257" s="705"/>
      <c r="AA257" s="786"/>
      <c r="AB257" s="705"/>
      <c r="AC257" s="705"/>
      <c r="AD257" s="705"/>
      <c r="AE257" s="705"/>
      <c r="AF257" s="705"/>
      <c r="AG257" s="550"/>
      <c r="AH257" s="710"/>
      <c r="AI257" s="550"/>
      <c r="AJ257" s="550"/>
      <c r="AK257" s="550"/>
      <c r="AL257" s="550"/>
      <c r="AM257" s="550"/>
      <c r="AN257" s="550"/>
      <c r="AO257" s="550"/>
      <c r="AP257" s="786"/>
      <c r="AQ257" s="550"/>
      <c r="AR257" s="550"/>
      <c r="AS257" s="836"/>
      <c r="AT257" s="836"/>
      <c r="AU257" s="836"/>
      <c r="AV257" s="836"/>
      <c r="AW257" s="836"/>
      <c r="AX257" s="836"/>
      <c r="AY257" s="836"/>
      <c r="AZ257" s="836"/>
      <c r="BA257" s="836"/>
      <c r="BB257" s="836"/>
      <c r="BC257" s="836"/>
      <c r="BD257" s="602"/>
      <c r="BE257" s="602"/>
      <c r="BF257" s="550"/>
      <c r="BG257" s="598"/>
      <c r="BH257" s="550"/>
      <c r="BI257" s="550"/>
      <c r="BJ257" s="550"/>
      <c r="BK257" s="550"/>
      <c r="BL257" s="550"/>
      <c r="BM257" s="551"/>
      <c r="BN257" s="590"/>
      <c r="BO257" s="590"/>
      <c r="BP257" s="590"/>
      <c r="BQ257" s="590"/>
      <c r="BR257" s="590"/>
      <c r="BS257" s="590"/>
      <c r="BT257" s="590"/>
      <c r="BU257" s="590"/>
      <c r="BV257" s="590"/>
      <c r="BW257" s="590"/>
      <c r="BY257" s="590"/>
      <c r="BZ257" s="590"/>
      <c r="CA257" s="590"/>
      <c r="CB257" s="590"/>
      <c r="CC257" s="590"/>
      <c r="CD257" s="590"/>
      <c r="CE257" s="590"/>
      <c r="CF257" s="590"/>
      <c r="CG257" s="590"/>
      <c r="CH257" s="590"/>
      <c r="CI257" s="590"/>
      <c r="CJ257" s="590"/>
      <c r="CK257" s="590"/>
      <c r="CL257" s="590"/>
      <c r="CM257" s="590"/>
      <c r="CN257" s="590"/>
      <c r="CO257" s="590"/>
      <c r="CP257" s="590"/>
      <c r="CQ257" s="590"/>
      <c r="CR257" s="590"/>
      <c r="CS257" s="590"/>
      <c r="CT257" s="590"/>
      <c r="CU257" s="590"/>
      <c r="CV257" s="590"/>
      <c r="CW257" s="591"/>
    </row>
    <row r="258" spans="1:101" ht="14" x14ac:dyDescent="0.15">
      <c r="A258" s="588"/>
      <c r="B258" s="597"/>
      <c r="C258" s="550"/>
      <c r="D258" s="550"/>
      <c r="E258" s="550"/>
      <c r="F258" s="550"/>
      <c r="G258" s="827"/>
      <c r="H258" s="827"/>
      <c r="I258" s="827"/>
      <c r="J258" s="827"/>
      <c r="K258" s="827"/>
      <c r="L258" s="550"/>
      <c r="M258" s="550"/>
      <c r="N258" s="550"/>
      <c r="O258" s="541"/>
      <c r="P258" s="836"/>
      <c r="Q258" s="836"/>
      <c r="R258" s="836"/>
      <c r="S258" s="836"/>
      <c r="T258" s="836"/>
      <c r="U258" s="836"/>
      <c r="V258" s="836"/>
      <c r="W258" s="705"/>
      <c r="X258" s="705"/>
      <c r="Y258" s="705"/>
      <c r="Z258" s="705"/>
      <c r="AA258" s="786"/>
      <c r="AB258" s="705"/>
      <c r="AC258" s="705"/>
      <c r="AD258" s="705"/>
      <c r="AE258" s="705"/>
      <c r="AF258" s="705"/>
      <c r="AG258" s="550"/>
      <c r="AH258" s="710"/>
      <c r="AI258" s="550"/>
      <c r="AJ258" s="550"/>
      <c r="AK258" s="550"/>
      <c r="AL258" s="550"/>
      <c r="AM258" s="550"/>
      <c r="AN258" s="550"/>
      <c r="AO258" s="550"/>
      <c r="AP258" s="786"/>
      <c r="AQ258" s="550"/>
      <c r="AR258" s="550"/>
      <c r="AS258" s="836"/>
      <c r="AT258" s="836"/>
      <c r="AU258" s="836"/>
      <c r="AV258" s="836"/>
      <c r="AW258" s="836"/>
      <c r="AX258" s="836"/>
      <c r="AY258" s="836"/>
      <c r="AZ258" s="836"/>
      <c r="BA258" s="836"/>
      <c r="BB258" s="836"/>
      <c r="BC258" s="836"/>
      <c r="BD258" s="602"/>
      <c r="BE258" s="602"/>
      <c r="BF258" s="550"/>
      <c r="BG258" s="598"/>
      <c r="BH258" s="550"/>
      <c r="BI258" s="550"/>
      <c r="BJ258" s="550"/>
      <c r="BK258" s="550"/>
      <c r="BL258" s="550"/>
      <c r="BM258" s="551"/>
      <c r="BN258" s="590"/>
      <c r="BO258" s="590"/>
      <c r="BP258" s="590"/>
      <c r="BQ258" s="590"/>
      <c r="BR258" s="590"/>
      <c r="BS258" s="590"/>
      <c r="BT258" s="590"/>
      <c r="BU258" s="590"/>
      <c r="BV258" s="590"/>
      <c r="BW258" s="590"/>
      <c r="BY258" s="590"/>
      <c r="BZ258" s="590"/>
      <c r="CA258" s="590"/>
      <c r="CB258" s="590"/>
      <c r="CC258" s="590"/>
      <c r="CD258" s="590"/>
      <c r="CE258" s="590"/>
      <c r="CF258" s="590"/>
      <c r="CG258" s="590"/>
      <c r="CH258" s="590"/>
      <c r="CI258" s="590"/>
      <c r="CJ258" s="590"/>
      <c r="CK258" s="590"/>
      <c r="CL258" s="590"/>
      <c r="CM258" s="590"/>
      <c r="CN258" s="590"/>
      <c r="CO258" s="590"/>
      <c r="CP258" s="590"/>
      <c r="CQ258" s="590"/>
      <c r="CR258" s="590"/>
      <c r="CS258" s="590"/>
      <c r="CT258" s="590"/>
      <c r="CU258" s="590"/>
      <c r="CV258" s="590"/>
      <c r="CW258" s="591"/>
    </row>
    <row r="259" spans="1:101" ht="28.5" customHeight="1" x14ac:dyDescent="0.15">
      <c r="A259" s="588"/>
      <c r="B259" s="908"/>
      <c r="C259" s="725" t="s">
        <v>389</v>
      </c>
      <c r="D259" s="550"/>
      <c r="E259" s="550"/>
      <c r="F259" s="550"/>
      <c r="G259" s="550"/>
      <c r="H259" s="550"/>
      <c r="I259" s="550"/>
      <c r="J259" s="550"/>
      <c r="K259" s="550"/>
      <c r="L259" s="786"/>
      <c r="M259" s="837"/>
      <c r="N259" s="837"/>
      <c r="O259" s="837"/>
      <c r="P259" s="837"/>
      <c r="Q259" s="837"/>
      <c r="R259" s="550"/>
      <c r="S259" s="836"/>
      <c r="T259" s="836"/>
      <c r="U259" s="836"/>
      <c r="V259" s="836"/>
      <c r="W259" s="705"/>
      <c r="X259" s="705"/>
      <c r="Y259" s="705"/>
      <c r="Z259" s="705"/>
      <c r="AA259" s="786"/>
      <c r="AB259" s="705"/>
      <c r="AC259" s="705"/>
      <c r="AD259" s="705"/>
      <c r="AE259" s="705"/>
      <c r="AF259" s="705"/>
      <c r="AG259" s="550"/>
      <c r="AH259" s="710"/>
      <c r="AI259" s="550"/>
      <c r="AJ259" s="550"/>
      <c r="AK259" s="550"/>
      <c r="AL259" s="550"/>
      <c r="AM259" s="550"/>
      <c r="AN259" s="550"/>
      <c r="AO259" s="550"/>
      <c r="AP259" s="786"/>
      <c r="AQ259" s="550"/>
      <c r="AR259" s="550"/>
      <c r="AS259" s="836"/>
      <c r="AT259" s="836"/>
      <c r="AU259" s="836"/>
      <c r="AV259" s="836"/>
      <c r="AW259" s="836"/>
      <c r="AX259" s="836"/>
      <c r="AY259" s="836"/>
      <c r="AZ259" s="836"/>
      <c r="BA259" s="836"/>
      <c r="BB259" s="836"/>
      <c r="BC259" s="836"/>
      <c r="BD259" s="602"/>
      <c r="BE259" s="602"/>
      <c r="BF259" s="550"/>
      <c r="BG259" s="598"/>
      <c r="BH259" s="550"/>
      <c r="BI259" s="550"/>
      <c r="BJ259" s="550"/>
      <c r="BK259" s="550"/>
      <c r="BL259" s="550"/>
      <c r="BM259" s="551"/>
      <c r="BN259" s="590"/>
      <c r="BO259" s="590"/>
      <c r="BP259" s="590"/>
      <c r="BQ259" s="590"/>
      <c r="BR259" s="590"/>
      <c r="BS259" s="590"/>
      <c r="BT259" s="590"/>
      <c r="BU259" s="590"/>
      <c r="BV259" s="590"/>
      <c r="BW259" s="590"/>
      <c r="BY259" s="590"/>
      <c r="BZ259" s="590"/>
      <c r="CA259" s="590"/>
      <c r="CB259" s="590"/>
      <c r="CC259" s="590"/>
      <c r="CD259" s="590"/>
      <c r="CE259" s="590"/>
      <c r="CF259" s="590"/>
      <c r="CG259" s="590"/>
      <c r="CH259" s="590"/>
      <c r="CI259" s="590"/>
      <c r="CJ259" s="590"/>
      <c r="CK259" s="590"/>
      <c r="CL259" s="590"/>
      <c r="CM259" s="590"/>
      <c r="CN259" s="590"/>
      <c r="CO259" s="590"/>
      <c r="CP259" s="590"/>
      <c r="CQ259" s="590"/>
      <c r="CR259" s="590"/>
      <c r="CS259" s="590"/>
      <c r="CT259" s="590"/>
      <c r="CU259" s="590"/>
      <c r="CV259" s="590"/>
      <c r="CW259" s="591"/>
    </row>
    <row r="260" spans="1:101" ht="14" x14ac:dyDescent="0.15">
      <c r="A260" s="588"/>
      <c r="B260" s="908"/>
      <c r="C260" s="725" t="s">
        <v>311</v>
      </c>
      <c r="D260" s="550"/>
      <c r="E260" s="550"/>
      <c r="F260" s="550"/>
      <c r="G260" s="550"/>
      <c r="H260" s="550"/>
      <c r="I260" s="550"/>
      <c r="J260" s="550"/>
      <c r="K260" s="550"/>
      <c r="L260" s="786"/>
      <c r="M260" s="837"/>
      <c r="N260" s="837"/>
      <c r="O260" s="837"/>
      <c r="P260" s="837"/>
      <c r="Q260" s="837"/>
      <c r="R260" s="550"/>
      <c r="S260" s="836"/>
      <c r="T260" s="836"/>
      <c r="U260" s="836"/>
      <c r="V260" s="836"/>
      <c r="W260" s="705"/>
      <c r="X260" s="705"/>
      <c r="Y260" s="705"/>
      <c r="Z260" s="705"/>
      <c r="AA260" s="786"/>
      <c r="AB260" s="705"/>
      <c r="AC260" s="705"/>
      <c r="AD260" s="705"/>
      <c r="AE260" s="705"/>
      <c r="AF260" s="705"/>
      <c r="AG260" s="550"/>
      <c r="AH260" s="710"/>
      <c r="AI260" s="550"/>
      <c r="AJ260" s="550"/>
      <c r="AK260" s="550"/>
      <c r="AL260" s="550"/>
      <c r="AM260" s="550"/>
      <c r="AN260" s="550"/>
      <c r="AO260" s="550"/>
      <c r="AP260" s="786"/>
      <c r="AQ260" s="550"/>
      <c r="AR260" s="550"/>
      <c r="AS260" s="836"/>
      <c r="AT260" s="836"/>
      <c r="AU260" s="836"/>
      <c r="AV260" s="836"/>
      <c r="AW260" s="836"/>
      <c r="AX260" s="836"/>
      <c r="AY260" s="836"/>
      <c r="AZ260" s="836"/>
      <c r="BA260" s="836"/>
      <c r="BB260" s="836"/>
      <c r="BC260" s="836"/>
      <c r="BD260" s="602"/>
      <c r="BE260" s="602"/>
      <c r="BF260" s="550"/>
      <c r="BG260" s="598"/>
      <c r="BH260" s="550"/>
      <c r="BI260" s="550"/>
      <c r="BJ260" s="550"/>
      <c r="BK260" s="550"/>
      <c r="BL260" s="550"/>
      <c r="BM260" s="551"/>
      <c r="BN260" s="590"/>
      <c r="BO260" s="590"/>
      <c r="BP260" s="590"/>
      <c r="BQ260" s="590"/>
      <c r="BR260" s="590"/>
      <c r="BS260" s="590"/>
      <c r="BT260" s="590"/>
      <c r="BU260" s="590"/>
      <c r="BV260" s="590"/>
      <c r="BW260" s="590"/>
      <c r="BX260" s="590"/>
      <c r="BY260" s="590"/>
      <c r="BZ260" s="590"/>
      <c r="CA260" s="590"/>
      <c r="CB260" s="590"/>
      <c r="CC260" s="590"/>
      <c r="CD260" s="590"/>
      <c r="CE260" s="590"/>
      <c r="CF260" s="590"/>
      <c r="CG260" s="590"/>
      <c r="CH260" s="590"/>
      <c r="CI260" s="590"/>
      <c r="CJ260" s="590"/>
      <c r="CK260" s="590"/>
      <c r="CL260" s="590"/>
      <c r="CM260" s="590"/>
      <c r="CN260" s="590"/>
      <c r="CO260" s="590"/>
      <c r="CP260" s="590"/>
      <c r="CQ260" s="590"/>
      <c r="CR260" s="590"/>
      <c r="CS260" s="590"/>
      <c r="CT260" s="590"/>
      <c r="CU260" s="590"/>
      <c r="CV260" s="590"/>
      <c r="CW260" s="591"/>
    </row>
    <row r="261" spans="1:101" ht="16.5" customHeight="1" x14ac:dyDescent="0.15">
      <c r="A261" s="588"/>
      <c r="B261" s="597"/>
      <c r="C261" s="550"/>
      <c r="D261" s="550"/>
      <c r="E261" s="550"/>
      <c r="F261" s="550"/>
      <c r="G261" s="827"/>
      <c r="H261" s="827"/>
      <c r="I261" s="827"/>
      <c r="J261" s="827"/>
      <c r="K261" s="827"/>
      <c r="L261" s="550"/>
      <c r="M261" s="550"/>
      <c r="N261" s="550"/>
      <c r="O261" s="541"/>
      <c r="P261" s="836"/>
      <c r="Q261" s="836"/>
      <c r="R261" s="836"/>
      <c r="S261" s="836"/>
      <c r="T261" s="836"/>
      <c r="U261" s="836"/>
      <c r="V261" s="836"/>
      <c r="W261" s="705"/>
      <c r="X261" s="705"/>
      <c r="Y261" s="705"/>
      <c r="Z261" s="705"/>
      <c r="AA261" s="786"/>
      <c r="AB261" s="705"/>
      <c r="AC261" s="705"/>
      <c r="AD261" s="705"/>
      <c r="AE261" s="705"/>
      <c r="AF261" s="705"/>
      <c r="AG261" s="550"/>
      <c r="AH261" s="710"/>
      <c r="AI261" s="550"/>
      <c r="AJ261" s="550"/>
      <c r="AK261" s="550"/>
      <c r="AL261" s="550"/>
      <c r="AM261" s="550"/>
      <c r="AN261" s="550"/>
      <c r="AO261" s="550"/>
      <c r="AP261" s="786"/>
      <c r="AQ261" s="550"/>
      <c r="AR261" s="550"/>
      <c r="AS261" s="836"/>
      <c r="AT261" s="836"/>
      <c r="AU261" s="836"/>
      <c r="AV261" s="836"/>
      <c r="AW261" s="836"/>
      <c r="AX261" s="836"/>
      <c r="AY261" s="836"/>
      <c r="AZ261" s="836"/>
      <c r="BA261" s="836"/>
      <c r="BB261" s="836"/>
      <c r="BC261" s="836"/>
      <c r="BD261" s="602"/>
      <c r="BE261" s="602"/>
      <c r="BF261" s="550"/>
      <c r="BG261" s="598"/>
      <c r="BH261" s="550"/>
      <c r="BI261" s="550"/>
      <c r="BJ261" s="550"/>
      <c r="BK261" s="550"/>
      <c r="BL261" s="550"/>
      <c r="BM261" s="551"/>
      <c r="BN261" s="590"/>
      <c r="BO261" s="590"/>
      <c r="BP261" s="590"/>
      <c r="BQ261" s="590"/>
      <c r="BR261" s="590"/>
      <c r="BS261" s="590"/>
      <c r="BT261" s="590"/>
      <c r="BU261" s="590"/>
      <c r="BV261" s="590"/>
      <c r="BW261" s="590"/>
      <c r="BX261" s="590"/>
      <c r="BY261" s="590"/>
      <c r="BZ261" s="590"/>
      <c r="CA261" s="590"/>
      <c r="CB261" s="590"/>
      <c r="CC261" s="590"/>
      <c r="CD261" s="590"/>
      <c r="CE261" s="590"/>
      <c r="CF261" s="590"/>
      <c r="CG261" s="590"/>
      <c r="CH261" s="590"/>
      <c r="CI261" s="590"/>
      <c r="CJ261" s="590"/>
      <c r="CK261" s="590"/>
      <c r="CL261" s="590"/>
      <c r="CM261" s="590"/>
      <c r="CN261" s="590"/>
      <c r="CO261" s="590"/>
      <c r="CP261" s="590"/>
      <c r="CQ261" s="590"/>
      <c r="CR261" s="590"/>
      <c r="CS261" s="590"/>
      <c r="CT261" s="590"/>
      <c r="CU261" s="590"/>
      <c r="CV261" s="590"/>
      <c r="CW261" s="591"/>
    </row>
    <row r="262" spans="1:101" ht="19.5" customHeight="1" x14ac:dyDescent="0.15">
      <c r="A262" s="588"/>
      <c r="B262" s="619"/>
      <c r="C262" s="588"/>
      <c r="D262" s="571"/>
      <c r="E262" s="550" t="s">
        <v>312</v>
      </c>
      <c r="F262" s="550"/>
      <c r="G262" s="581"/>
      <c r="H262" s="541"/>
      <c r="I262" s="541"/>
      <c r="J262" s="1207" t="s">
        <v>313</v>
      </c>
      <c r="K262" s="1207"/>
      <c r="L262" s="1207"/>
      <c r="M262" s="1207"/>
      <c r="N262" s="1207"/>
      <c r="O262" s="1207"/>
      <c r="P262" s="1207"/>
      <c r="Q262" s="1207"/>
      <c r="R262" s="1207"/>
      <c r="S262" s="1207"/>
      <c r="T262" s="1207"/>
      <c r="U262" s="1207"/>
      <c r="V262" s="1207"/>
      <c r="W262" s="1207"/>
      <c r="X262" s="1207"/>
      <c r="Y262" s="1207"/>
      <c r="Z262" s="802"/>
      <c r="AA262" s="802"/>
      <c r="AB262" s="550"/>
      <c r="AC262" s="550"/>
      <c r="AD262" s="581"/>
      <c r="AE262" s="541"/>
      <c r="AF262" s="581"/>
      <c r="AG262" s="581"/>
      <c r="AH262" s="581"/>
      <c r="AI262" s="581"/>
      <c r="AJ262" s="581"/>
      <c r="AK262" s="550" t="s">
        <v>314</v>
      </c>
      <c r="AL262" s="550"/>
      <c r="AM262" s="581"/>
      <c r="AN262" s="541"/>
      <c r="AO262" s="541"/>
      <c r="AP262" s="1207" t="s">
        <v>313</v>
      </c>
      <c r="AQ262" s="1207"/>
      <c r="AR262" s="1207"/>
      <c r="AS262" s="1207"/>
      <c r="AT262" s="1207"/>
      <c r="AU262" s="1207"/>
      <c r="AV262" s="1207"/>
      <c r="AW262" s="1207"/>
      <c r="AX262" s="1207"/>
      <c r="AY262" s="1207"/>
      <c r="AZ262" s="1207"/>
      <c r="BA262" s="1207"/>
      <c r="BB262" s="1207"/>
      <c r="BC262" s="1207"/>
      <c r="BD262" s="1207"/>
      <c r="BE262" s="1207"/>
      <c r="BF262" s="550"/>
      <c r="BG262" s="598"/>
      <c r="BH262" s="550"/>
      <c r="BI262" s="550"/>
      <c r="BJ262" s="550"/>
      <c r="BK262" s="550"/>
      <c r="BL262" s="550"/>
      <c r="BM262" s="551"/>
      <c r="BN262" s="590"/>
      <c r="BO262" s="590"/>
      <c r="BP262" s="590"/>
      <c r="BQ262" s="590"/>
      <c r="BR262" s="590"/>
      <c r="BS262" s="590"/>
      <c r="BT262" s="590"/>
      <c r="BU262" s="590"/>
      <c r="BV262" s="590"/>
      <c r="BW262" s="590"/>
      <c r="BX262" s="590"/>
      <c r="BY262" s="590"/>
      <c r="BZ262" s="590"/>
      <c r="CA262" s="590"/>
      <c r="CB262" s="590"/>
      <c r="CC262" s="590"/>
      <c r="CD262" s="590"/>
      <c r="CE262" s="590"/>
      <c r="CF262" s="590"/>
      <c r="CG262" s="590"/>
      <c r="CH262" s="590"/>
      <c r="CI262" s="590"/>
      <c r="CJ262" s="590"/>
      <c r="CK262" s="590"/>
      <c r="CL262" s="590"/>
      <c r="CM262" s="590"/>
      <c r="CN262" s="590"/>
      <c r="CO262" s="590"/>
      <c r="CP262" s="590"/>
      <c r="CQ262" s="590"/>
      <c r="CR262" s="590"/>
      <c r="CS262" s="590"/>
      <c r="CT262" s="590"/>
      <c r="CU262" s="590"/>
      <c r="CV262" s="590"/>
      <c r="CW262" s="591"/>
    </row>
    <row r="263" spans="1:101" ht="25.5" customHeight="1" x14ac:dyDescent="0.15">
      <c r="A263" s="588"/>
      <c r="B263" s="619"/>
      <c r="C263" s="588"/>
      <c r="D263" s="571"/>
      <c r="E263" s="550"/>
      <c r="F263" s="550"/>
      <c r="G263" s="541"/>
      <c r="H263" s="541"/>
      <c r="I263" s="541"/>
      <c r="J263" s="1335" t="s">
        <v>315</v>
      </c>
      <c r="K263" s="1335"/>
      <c r="L263" s="1335"/>
      <c r="M263" s="1335"/>
      <c r="N263" s="1335"/>
      <c r="O263" s="1335"/>
      <c r="P263" s="1335"/>
      <c r="Q263" s="1335"/>
      <c r="R263" s="1335"/>
      <c r="S263" s="1335"/>
      <c r="T263" s="1335"/>
      <c r="U263" s="1335"/>
      <c r="V263" s="1335"/>
      <c r="W263" s="1335"/>
      <c r="X263" s="1335"/>
      <c r="Y263" s="1335"/>
      <c r="Z263" s="802"/>
      <c r="AA263" s="802"/>
      <c r="AB263" s="550"/>
      <c r="AC263" s="550"/>
      <c r="AD263" s="541"/>
      <c r="AE263" s="581"/>
      <c r="AF263" s="581"/>
      <c r="AG263" s="581"/>
      <c r="AH263" s="581"/>
      <c r="AI263" s="581"/>
      <c r="AJ263" s="581"/>
      <c r="AK263" s="550"/>
      <c r="AL263" s="550"/>
      <c r="AM263" s="541"/>
      <c r="AN263" s="541"/>
      <c r="AO263" s="541"/>
      <c r="AP263" s="1335" t="s">
        <v>315</v>
      </c>
      <c r="AQ263" s="1335"/>
      <c r="AR263" s="1335"/>
      <c r="AS263" s="1335"/>
      <c r="AT263" s="1335"/>
      <c r="AU263" s="1335"/>
      <c r="AV263" s="1335"/>
      <c r="AW263" s="1335"/>
      <c r="AX263" s="1335"/>
      <c r="AY263" s="1335"/>
      <c r="AZ263" s="1335"/>
      <c r="BA263" s="1335"/>
      <c r="BB263" s="1335"/>
      <c r="BC263" s="1335"/>
      <c r="BD263" s="1335"/>
      <c r="BE263" s="1335"/>
      <c r="BF263" s="550"/>
      <c r="BG263" s="598"/>
      <c r="BH263" s="550"/>
      <c r="BI263" s="550"/>
      <c r="BJ263" s="550"/>
      <c r="BK263" s="550"/>
      <c r="BL263" s="550"/>
      <c r="BM263" s="551"/>
      <c r="BN263" s="590"/>
      <c r="BO263" s="590"/>
      <c r="BP263" s="590"/>
      <c r="BQ263" s="590"/>
      <c r="BR263" s="590"/>
      <c r="BS263" s="590"/>
      <c r="BT263" s="590"/>
      <c r="BU263" s="590"/>
      <c r="BV263" s="590"/>
      <c r="BW263" s="590"/>
      <c r="BX263" s="590"/>
      <c r="BY263" s="590"/>
      <c r="BZ263" s="590"/>
      <c r="CA263" s="590"/>
      <c r="CB263" s="590"/>
      <c r="CC263" s="590"/>
      <c r="CD263" s="590"/>
      <c r="CE263" s="590"/>
      <c r="CF263" s="590"/>
      <c r="CG263" s="590"/>
      <c r="CH263" s="590"/>
      <c r="CI263" s="590"/>
      <c r="CJ263" s="590"/>
      <c r="CK263" s="590"/>
      <c r="CL263" s="590"/>
      <c r="CM263" s="590"/>
      <c r="CN263" s="590"/>
      <c r="CO263" s="590"/>
      <c r="CP263" s="590"/>
      <c r="CQ263" s="590"/>
      <c r="CR263" s="590"/>
      <c r="CS263" s="590"/>
      <c r="CT263" s="590"/>
      <c r="CU263" s="590"/>
      <c r="CV263" s="590"/>
      <c r="CW263" s="591"/>
    </row>
    <row r="264" spans="1:101" ht="14" x14ac:dyDescent="0.15">
      <c r="A264" s="588"/>
      <c r="B264" s="619"/>
      <c r="C264" s="588"/>
      <c r="D264" s="571"/>
      <c r="E264" s="550"/>
      <c r="F264" s="550"/>
      <c r="G264" s="541"/>
      <c r="H264" s="541"/>
      <c r="I264" s="541"/>
      <c r="J264" s="838"/>
      <c r="K264" s="838"/>
      <c r="L264" s="838"/>
      <c r="M264" s="838"/>
      <c r="N264" s="838"/>
      <c r="O264" s="838"/>
      <c r="P264" s="838"/>
      <c r="Q264" s="838"/>
      <c r="R264" s="838"/>
      <c r="S264" s="838"/>
      <c r="T264" s="838"/>
      <c r="U264" s="838"/>
      <c r="V264" s="838"/>
      <c r="W264" s="838"/>
      <c r="X264" s="838"/>
      <c r="Y264" s="838"/>
      <c r="Z264" s="802"/>
      <c r="AA264" s="802"/>
      <c r="AB264" s="550"/>
      <c r="AC264" s="550"/>
      <c r="AD264" s="541"/>
      <c r="AE264" s="581"/>
      <c r="AF264" s="581"/>
      <c r="AG264" s="705"/>
      <c r="AH264" s="705"/>
      <c r="AI264" s="705"/>
      <c r="AJ264" s="705"/>
      <c r="AK264" s="550"/>
      <c r="AL264" s="550"/>
      <c r="AM264" s="541"/>
      <c r="AN264" s="541"/>
      <c r="AO264" s="541"/>
      <c r="AP264" s="838"/>
      <c r="AQ264" s="838"/>
      <c r="AR264" s="838"/>
      <c r="AS264" s="838"/>
      <c r="AT264" s="838"/>
      <c r="AU264" s="838"/>
      <c r="AV264" s="838"/>
      <c r="AW264" s="838"/>
      <c r="AX264" s="838"/>
      <c r="AY264" s="838"/>
      <c r="AZ264" s="838"/>
      <c r="BA264" s="838"/>
      <c r="BB264" s="838"/>
      <c r="BC264" s="838"/>
      <c r="BD264" s="838"/>
      <c r="BE264" s="838"/>
      <c r="BF264" s="550"/>
      <c r="BG264" s="598"/>
      <c r="BH264" s="550"/>
      <c r="BI264" s="550"/>
      <c r="BJ264" s="550"/>
      <c r="BK264" s="550"/>
      <c r="BL264" s="550"/>
      <c r="BM264" s="551"/>
      <c r="BN264" s="590"/>
      <c r="BO264" s="590"/>
      <c r="BP264" s="590"/>
      <c r="BQ264" s="590"/>
      <c r="BR264" s="590"/>
      <c r="BS264" s="590"/>
      <c r="BT264" s="590"/>
      <c r="BU264" s="590"/>
      <c r="BV264" s="590"/>
      <c r="BW264" s="590"/>
      <c r="BX264" s="590"/>
      <c r="BY264" s="590"/>
      <c r="BZ264" s="590"/>
      <c r="CA264" s="590"/>
      <c r="CB264" s="590"/>
      <c r="CC264" s="590"/>
      <c r="CD264" s="590"/>
      <c r="CE264" s="590"/>
      <c r="CF264" s="590"/>
      <c r="CG264" s="590"/>
      <c r="CH264" s="590"/>
      <c r="CI264" s="590"/>
      <c r="CJ264" s="590"/>
      <c r="CK264" s="590"/>
      <c r="CL264" s="590"/>
      <c r="CM264" s="590"/>
      <c r="CN264" s="590"/>
      <c r="CO264" s="590"/>
      <c r="CP264" s="590"/>
      <c r="CQ264" s="590"/>
      <c r="CR264" s="590"/>
      <c r="CS264" s="590"/>
      <c r="CT264" s="590"/>
      <c r="CU264" s="590"/>
      <c r="CV264" s="590"/>
      <c r="CW264" s="591"/>
    </row>
    <row r="265" spans="1:101" ht="14.25" customHeight="1" x14ac:dyDescent="0.15">
      <c r="A265" s="588"/>
      <c r="B265" s="619"/>
      <c r="C265" s="588"/>
      <c r="D265" s="571"/>
      <c r="E265" s="550"/>
      <c r="F265" s="550"/>
      <c r="G265" s="581"/>
      <c r="H265" s="541"/>
      <c r="I265" s="541"/>
      <c r="J265" s="1207" t="s">
        <v>313</v>
      </c>
      <c r="K265" s="1207"/>
      <c r="L265" s="1207"/>
      <c r="M265" s="1207"/>
      <c r="N265" s="1207"/>
      <c r="O265" s="1207"/>
      <c r="P265" s="1207"/>
      <c r="Q265" s="1207"/>
      <c r="R265" s="1207"/>
      <c r="S265" s="1207"/>
      <c r="T265" s="1207"/>
      <c r="U265" s="1207"/>
      <c r="V265" s="1207"/>
      <c r="W265" s="1207"/>
      <c r="X265" s="1207"/>
      <c r="Y265" s="1207"/>
      <c r="Z265" s="802"/>
      <c r="AA265" s="802"/>
      <c r="AB265" s="550"/>
      <c r="AC265" s="550"/>
      <c r="AD265" s="581"/>
      <c r="AE265" s="541"/>
      <c r="AF265" s="581"/>
      <c r="AG265" s="581"/>
      <c r="AH265" s="581"/>
      <c r="AI265" s="581"/>
      <c r="AJ265" s="581"/>
      <c r="AK265" s="550"/>
      <c r="AL265" s="550"/>
      <c r="AM265" s="581"/>
      <c r="AN265" s="541"/>
      <c r="AO265" s="541"/>
      <c r="AP265" s="1207" t="s">
        <v>313</v>
      </c>
      <c r="AQ265" s="1207"/>
      <c r="AR265" s="1207"/>
      <c r="AS265" s="1207"/>
      <c r="AT265" s="1207"/>
      <c r="AU265" s="1207"/>
      <c r="AV265" s="1207"/>
      <c r="AW265" s="1207"/>
      <c r="AX265" s="1207"/>
      <c r="AY265" s="1207"/>
      <c r="AZ265" s="1207"/>
      <c r="BA265" s="1207"/>
      <c r="BB265" s="1207"/>
      <c r="BC265" s="1207"/>
      <c r="BD265" s="1207"/>
      <c r="BE265" s="1207"/>
      <c r="BF265" s="550"/>
      <c r="BG265" s="598"/>
      <c r="BH265" s="550"/>
      <c r="BI265" s="550"/>
      <c r="BJ265" s="550"/>
      <c r="BK265" s="550"/>
      <c r="BL265" s="550"/>
      <c r="BM265" s="551"/>
      <c r="BN265" s="590"/>
      <c r="BO265" s="590"/>
      <c r="BP265" s="590"/>
      <c r="BQ265" s="590"/>
      <c r="BR265" s="590"/>
      <c r="BS265" s="590"/>
      <c r="BT265" s="590"/>
      <c r="BU265" s="590"/>
      <c r="BV265" s="590"/>
      <c r="BW265" s="590"/>
      <c r="BX265" s="590"/>
      <c r="BY265" s="590"/>
      <c r="BZ265" s="590"/>
      <c r="CA265" s="590"/>
      <c r="CB265" s="590"/>
      <c r="CC265" s="590"/>
      <c r="CD265" s="590"/>
      <c r="CE265" s="590"/>
      <c r="CF265" s="590"/>
      <c r="CG265" s="590"/>
      <c r="CH265" s="590"/>
      <c r="CI265" s="590"/>
      <c r="CJ265" s="590"/>
      <c r="CK265" s="590"/>
      <c r="CL265" s="590"/>
      <c r="CM265" s="590"/>
      <c r="CN265" s="590"/>
      <c r="CO265" s="590"/>
      <c r="CP265" s="590"/>
      <c r="CQ265" s="590"/>
      <c r="CR265" s="590"/>
      <c r="CS265" s="590"/>
      <c r="CT265" s="590"/>
      <c r="CU265" s="590"/>
      <c r="CV265" s="590"/>
      <c r="CW265" s="591"/>
    </row>
    <row r="266" spans="1:101" ht="18" customHeight="1" x14ac:dyDescent="0.15">
      <c r="A266" s="588"/>
      <c r="B266" s="619"/>
      <c r="C266" s="588"/>
      <c r="D266" s="571"/>
      <c r="E266" s="550"/>
      <c r="F266" s="550"/>
      <c r="G266" s="541"/>
      <c r="H266" s="541"/>
      <c r="I266" s="541"/>
      <c r="J266" s="1207" t="s">
        <v>316</v>
      </c>
      <c r="K266" s="1207"/>
      <c r="L266" s="1207"/>
      <c r="M266" s="1207"/>
      <c r="N266" s="1207"/>
      <c r="O266" s="1207"/>
      <c r="P266" s="1207"/>
      <c r="Q266" s="1207"/>
      <c r="R266" s="1207"/>
      <c r="S266" s="1207"/>
      <c r="T266" s="1207"/>
      <c r="U266" s="1207"/>
      <c r="V266" s="1207"/>
      <c r="W266" s="1207"/>
      <c r="X266" s="1207"/>
      <c r="Y266" s="1207"/>
      <c r="Z266" s="802"/>
      <c r="AA266" s="802"/>
      <c r="AB266" s="550"/>
      <c r="AC266" s="550"/>
      <c r="AD266" s="541"/>
      <c r="AE266" s="581"/>
      <c r="AF266" s="581"/>
      <c r="AG266" s="581"/>
      <c r="AH266" s="581"/>
      <c r="AI266" s="581"/>
      <c r="AJ266" s="581"/>
      <c r="AK266" s="550"/>
      <c r="AL266" s="550"/>
      <c r="AM266" s="541"/>
      <c r="AN266" s="541"/>
      <c r="AO266" s="541"/>
      <c r="AP266" s="1207" t="s">
        <v>316</v>
      </c>
      <c r="AQ266" s="1207"/>
      <c r="AR266" s="1207"/>
      <c r="AS266" s="1207"/>
      <c r="AT266" s="1207"/>
      <c r="AU266" s="1207"/>
      <c r="AV266" s="1207"/>
      <c r="AW266" s="1207"/>
      <c r="AX266" s="1207"/>
      <c r="AY266" s="1207"/>
      <c r="AZ266" s="1207"/>
      <c r="BA266" s="1207"/>
      <c r="BB266" s="1207"/>
      <c r="BC266" s="1207"/>
      <c r="BD266" s="1207"/>
      <c r="BE266" s="1207"/>
      <c r="BF266" s="550"/>
      <c r="BG266" s="598"/>
      <c r="BH266" s="550"/>
      <c r="BI266" s="550"/>
      <c r="BJ266" s="550"/>
      <c r="BK266" s="550"/>
      <c r="BL266" s="550"/>
      <c r="BM266" s="551"/>
      <c r="BN266" s="590"/>
      <c r="BO266" s="590"/>
      <c r="BP266" s="590"/>
      <c r="BQ266" s="590"/>
      <c r="BR266" s="590"/>
      <c r="BS266" s="590"/>
      <c r="BT266" s="590"/>
      <c r="BU266" s="590"/>
      <c r="BV266" s="590"/>
      <c r="BW266" s="590"/>
      <c r="BX266" s="590"/>
      <c r="BY266" s="590"/>
      <c r="BZ266" s="590"/>
      <c r="CA266" s="590"/>
      <c r="CB266" s="590"/>
      <c r="CC266" s="590"/>
      <c r="CD266" s="590"/>
      <c r="CE266" s="590"/>
      <c r="CF266" s="590"/>
      <c r="CG266" s="590"/>
      <c r="CH266" s="590"/>
      <c r="CI266" s="590"/>
      <c r="CJ266" s="590"/>
      <c r="CK266" s="590"/>
      <c r="CL266" s="590"/>
      <c r="CM266" s="590"/>
      <c r="CN266" s="590"/>
      <c r="CO266" s="590"/>
      <c r="CP266" s="590"/>
      <c r="CQ266" s="590"/>
      <c r="CR266" s="590"/>
      <c r="CS266" s="590"/>
      <c r="CT266" s="590"/>
      <c r="CU266" s="590"/>
      <c r="CV266" s="590"/>
      <c r="CW266" s="591"/>
    </row>
    <row r="267" spans="1:101" ht="9.75" customHeight="1" x14ac:dyDescent="0.15">
      <c r="A267" s="588"/>
      <c r="B267" s="619"/>
      <c r="C267" s="588"/>
      <c r="D267" s="571"/>
      <c r="E267" s="550"/>
      <c r="F267" s="550"/>
      <c r="G267" s="541"/>
      <c r="H267" s="541"/>
      <c r="I267" s="541"/>
      <c r="J267" s="705"/>
      <c r="K267" s="705"/>
      <c r="L267" s="705"/>
      <c r="M267" s="705"/>
      <c r="N267" s="705"/>
      <c r="O267" s="705"/>
      <c r="P267" s="705"/>
      <c r="Q267" s="705"/>
      <c r="R267" s="705"/>
      <c r="S267" s="705"/>
      <c r="T267" s="705"/>
      <c r="U267" s="705"/>
      <c r="V267" s="705"/>
      <c r="W267" s="705"/>
      <c r="X267" s="705"/>
      <c r="Y267" s="705"/>
      <c r="Z267" s="802"/>
      <c r="AA267" s="802"/>
      <c r="AB267" s="550"/>
      <c r="AC267" s="550"/>
      <c r="AD267" s="541"/>
      <c r="AE267" s="581"/>
      <c r="AF267" s="581"/>
      <c r="AG267" s="705"/>
      <c r="AH267" s="705"/>
      <c r="AI267" s="705"/>
      <c r="AJ267" s="705"/>
      <c r="AK267" s="550"/>
      <c r="AL267" s="550"/>
      <c r="AM267" s="541"/>
      <c r="AN267" s="541"/>
      <c r="AO267" s="541"/>
      <c r="AP267" s="705"/>
      <c r="AQ267" s="705"/>
      <c r="AR267" s="705"/>
      <c r="AS267" s="705"/>
      <c r="AT267" s="705"/>
      <c r="AU267" s="705"/>
      <c r="AV267" s="705"/>
      <c r="AW267" s="705"/>
      <c r="AX267" s="705"/>
      <c r="AY267" s="705"/>
      <c r="AZ267" s="705"/>
      <c r="BA267" s="705"/>
      <c r="BB267" s="705"/>
      <c r="BC267" s="705"/>
      <c r="BD267" s="705"/>
      <c r="BE267" s="705"/>
      <c r="BF267" s="550"/>
      <c r="BG267" s="598"/>
      <c r="BH267" s="550"/>
      <c r="BI267" s="550"/>
      <c r="BJ267" s="550"/>
      <c r="BK267" s="550"/>
      <c r="BL267" s="550"/>
      <c r="BM267" s="551"/>
      <c r="BN267" s="590"/>
      <c r="BO267" s="590"/>
      <c r="BP267" s="590"/>
      <c r="BQ267" s="590"/>
      <c r="BR267" s="590"/>
      <c r="BS267" s="590"/>
      <c r="BT267" s="590"/>
      <c r="BU267" s="590"/>
      <c r="BV267" s="590"/>
      <c r="BW267" s="590"/>
      <c r="BX267" s="590"/>
      <c r="BY267" s="590"/>
      <c r="BZ267" s="590"/>
      <c r="CA267" s="590"/>
      <c r="CB267" s="590"/>
      <c r="CC267" s="590"/>
      <c r="CD267" s="590"/>
      <c r="CE267" s="590"/>
      <c r="CF267" s="590"/>
      <c r="CG267" s="590"/>
      <c r="CH267" s="590"/>
      <c r="CI267" s="590"/>
      <c r="CJ267" s="590"/>
      <c r="CK267" s="590"/>
      <c r="CL267" s="590"/>
      <c r="CM267" s="590"/>
      <c r="CN267" s="590"/>
      <c r="CO267" s="590"/>
      <c r="CP267" s="590"/>
      <c r="CQ267" s="590"/>
      <c r="CR267" s="590"/>
      <c r="CS267" s="590"/>
      <c r="CT267" s="590"/>
      <c r="CU267" s="590"/>
      <c r="CV267" s="590"/>
      <c r="CW267" s="591"/>
    </row>
    <row r="268" spans="1:101" ht="15.75" customHeight="1" x14ac:dyDescent="0.15">
      <c r="A268" s="588"/>
      <c r="B268" s="619"/>
      <c r="C268" s="588"/>
      <c r="D268" s="571"/>
      <c r="E268" s="550" t="s">
        <v>317</v>
      </c>
      <c r="F268" s="550"/>
      <c r="G268" s="550"/>
      <c r="H268" s="541"/>
      <c r="I268" s="541"/>
      <c r="J268" s="1207" t="s">
        <v>313</v>
      </c>
      <c r="K268" s="1207"/>
      <c r="L268" s="1207"/>
      <c r="M268" s="1207"/>
      <c r="N268" s="1207"/>
      <c r="O268" s="1207"/>
      <c r="P268" s="1207"/>
      <c r="Q268" s="1207"/>
      <c r="R268" s="1207"/>
      <c r="S268" s="1207"/>
      <c r="T268" s="1207"/>
      <c r="U268" s="1207"/>
      <c r="V268" s="1207"/>
      <c r="W268" s="1207"/>
      <c r="X268" s="1207"/>
      <c r="Y268" s="1207"/>
      <c r="Z268" s="802"/>
      <c r="AA268" s="802"/>
      <c r="AB268" s="550"/>
      <c r="AC268" s="550"/>
      <c r="AD268" s="550"/>
      <c r="AE268" s="541"/>
      <c r="AF268" s="581"/>
      <c r="AG268" s="581"/>
      <c r="AH268" s="581"/>
      <c r="AI268" s="581"/>
      <c r="AJ268" s="581"/>
      <c r="AK268" s="550" t="s">
        <v>317</v>
      </c>
      <c r="AL268" s="550"/>
      <c r="AM268" s="550"/>
      <c r="AN268" s="541"/>
      <c r="AO268" s="541"/>
      <c r="AP268" s="1207" t="s">
        <v>313</v>
      </c>
      <c r="AQ268" s="1207"/>
      <c r="AR268" s="1207"/>
      <c r="AS268" s="1207"/>
      <c r="AT268" s="1207"/>
      <c r="AU268" s="1207"/>
      <c r="AV268" s="1207"/>
      <c r="AW268" s="1207"/>
      <c r="AX268" s="1207"/>
      <c r="AY268" s="1207"/>
      <c r="AZ268" s="1207"/>
      <c r="BA268" s="1207"/>
      <c r="BB268" s="1207"/>
      <c r="BC268" s="1207"/>
      <c r="BD268" s="1207"/>
      <c r="BE268" s="1207"/>
      <c r="BF268" s="550"/>
      <c r="BG268" s="598"/>
      <c r="BH268" s="550"/>
      <c r="BI268" s="550"/>
      <c r="BJ268" s="550"/>
      <c r="BK268" s="550"/>
      <c r="BL268" s="550"/>
      <c r="BM268" s="551"/>
      <c r="BN268" s="590"/>
      <c r="BO268" s="590"/>
      <c r="BP268" s="590"/>
      <c r="BQ268" s="590"/>
      <c r="BR268" s="590"/>
      <c r="BS268" s="590"/>
      <c r="BT268" s="590"/>
      <c r="BU268" s="590"/>
      <c r="BV268" s="590"/>
      <c r="BW268" s="590"/>
      <c r="BX268" s="590"/>
      <c r="BY268" s="590"/>
      <c r="BZ268" s="590"/>
      <c r="CA268" s="590"/>
      <c r="CB268" s="590"/>
      <c r="CC268" s="590"/>
      <c r="CD268" s="590"/>
      <c r="CE268" s="590"/>
      <c r="CF268" s="590"/>
      <c r="CG268" s="590"/>
      <c r="CH268" s="590"/>
      <c r="CI268" s="590"/>
      <c r="CJ268" s="590"/>
      <c r="CK268" s="590"/>
      <c r="CL268" s="590"/>
      <c r="CM268" s="590"/>
      <c r="CN268" s="590"/>
      <c r="CO268" s="590"/>
      <c r="CP268" s="590"/>
      <c r="CQ268" s="590"/>
      <c r="CR268" s="590"/>
      <c r="CS268" s="590"/>
      <c r="CT268" s="590"/>
      <c r="CU268" s="590"/>
      <c r="CV268" s="590"/>
      <c r="CW268" s="591"/>
    </row>
    <row r="269" spans="1:101" ht="12.75" customHeight="1" x14ac:dyDescent="0.15">
      <c r="A269" s="588"/>
      <c r="B269" s="619"/>
      <c r="C269" s="588"/>
      <c r="D269" s="571"/>
      <c r="E269" s="550"/>
      <c r="F269" s="550"/>
      <c r="G269" s="550"/>
      <c r="H269" s="541"/>
      <c r="I269" s="541"/>
      <c r="J269" s="705"/>
      <c r="K269" s="705"/>
      <c r="L269" s="705"/>
      <c r="M269" s="705"/>
      <c r="N269" s="705"/>
      <c r="O269" s="705"/>
      <c r="P269" s="705"/>
      <c r="Q269" s="705"/>
      <c r="R269" s="705"/>
      <c r="S269" s="705"/>
      <c r="T269" s="705"/>
      <c r="U269" s="705"/>
      <c r="V269" s="705"/>
      <c r="W269" s="705"/>
      <c r="X269" s="705"/>
      <c r="Y269" s="705"/>
      <c r="Z269" s="802"/>
      <c r="AA269" s="802"/>
      <c r="AB269" s="550"/>
      <c r="AC269" s="550"/>
      <c r="AD269" s="550"/>
      <c r="AE269" s="541"/>
      <c r="AF269" s="581"/>
      <c r="AG269" s="705"/>
      <c r="AH269" s="705"/>
      <c r="AI269" s="705"/>
      <c r="AJ269" s="705"/>
      <c r="AK269" s="550"/>
      <c r="AL269" s="550"/>
      <c r="AM269" s="550"/>
      <c r="AN269" s="541"/>
      <c r="AO269" s="541"/>
      <c r="AP269" s="705"/>
      <c r="AQ269" s="705"/>
      <c r="AR269" s="705"/>
      <c r="AS269" s="705"/>
      <c r="AT269" s="705"/>
      <c r="AU269" s="705"/>
      <c r="AV269" s="705"/>
      <c r="AW269" s="705"/>
      <c r="AX269" s="705"/>
      <c r="AY269" s="705"/>
      <c r="AZ269" s="705"/>
      <c r="BA269" s="705"/>
      <c r="BB269" s="705"/>
      <c r="BC269" s="705"/>
      <c r="BD269" s="705"/>
      <c r="BE269" s="705"/>
      <c r="BF269" s="550"/>
      <c r="BG269" s="598"/>
      <c r="BH269" s="550"/>
      <c r="BI269" s="550"/>
      <c r="BJ269" s="550"/>
      <c r="BK269" s="550"/>
      <c r="BL269" s="550"/>
      <c r="BM269" s="845"/>
      <c r="BN269" s="658"/>
      <c r="BO269" s="658"/>
      <c r="BP269" s="658"/>
      <c r="BQ269" s="658"/>
      <c r="BR269" s="590"/>
      <c r="BS269" s="590"/>
      <c r="BT269" s="590"/>
      <c r="BU269" s="590"/>
      <c r="BV269" s="590"/>
      <c r="BW269" s="590"/>
      <c r="BX269" s="590"/>
      <c r="BY269" s="590"/>
      <c r="BZ269" s="590"/>
      <c r="CA269" s="590"/>
      <c r="CB269" s="590"/>
      <c r="CC269" s="590"/>
      <c r="CD269" s="590"/>
      <c r="CE269" s="590"/>
      <c r="CF269" s="590"/>
      <c r="CG269" s="590"/>
      <c r="CH269" s="590"/>
      <c r="CI269" s="590"/>
      <c r="CJ269" s="590"/>
      <c r="CK269" s="590"/>
      <c r="CL269" s="590"/>
      <c r="CM269" s="590"/>
      <c r="CN269" s="590"/>
      <c r="CO269" s="590"/>
      <c r="CP269" s="590"/>
      <c r="CQ269" s="590"/>
      <c r="CR269" s="590"/>
      <c r="CS269" s="590"/>
      <c r="CT269" s="590"/>
      <c r="CU269" s="590"/>
      <c r="CV269" s="590"/>
      <c r="CW269" s="591"/>
    </row>
    <row r="270" spans="1:101" ht="14.25" customHeight="1" x14ac:dyDescent="0.15">
      <c r="A270" s="588"/>
      <c r="B270" s="619"/>
      <c r="C270" s="588"/>
      <c r="D270" s="571"/>
      <c r="E270" s="550" t="s">
        <v>318</v>
      </c>
      <c r="F270" s="550"/>
      <c r="G270" s="550"/>
      <c r="H270" s="541"/>
      <c r="I270" s="541"/>
      <c r="J270" s="1207" t="s">
        <v>313</v>
      </c>
      <c r="K270" s="1207"/>
      <c r="L270" s="1207"/>
      <c r="M270" s="1207"/>
      <c r="N270" s="1207"/>
      <c r="O270" s="1207"/>
      <c r="P270" s="1207"/>
      <c r="Q270" s="1207"/>
      <c r="R270" s="1207"/>
      <c r="S270" s="1207"/>
      <c r="T270" s="1207"/>
      <c r="U270" s="1207"/>
      <c r="V270" s="1207"/>
      <c r="W270" s="1207"/>
      <c r="X270" s="1207"/>
      <c r="Y270" s="1207"/>
      <c r="Z270" s="802"/>
      <c r="AA270" s="802"/>
      <c r="AB270" s="550"/>
      <c r="AC270" s="550"/>
      <c r="AD270" s="550"/>
      <c r="AE270" s="541"/>
      <c r="AF270" s="581"/>
      <c r="AG270" s="581"/>
      <c r="AH270" s="581"/>
      <c r="AI270" s="581"/>
      <c r="AJ270" s="581"/>
      <c r="AK270" s="550" t="s">
        <v>318</v>
      </c>
      <c r="AL270" s="550"/>
      <c r="AM270" s="550"/>
      <c r="AN270" s="541"/>
      <c r="AO270" s="541"/>
      <c r="AP270" s="1207" t="s">
        <v>313</v>
      </c>
      <c r="AQ270" s="1207"/>
      <c r="AR270" s="1207"/>
      <c r="AS270" s="1207"/>
      <c r="AT270" s="1207"/>
      <c r="AU270" s="1207"/>
      <c r="AV270" s="1207"/>
      <c r="AW270" s="1207"/>
      <c r="AX270" s="1207"/>
      <c r="AY270" s="1207"/>
      <c r="AZ270" s="1207"/>
      <c r="BA270" s="1207"/>
      <c r="BB270" s="1207"/>
      <c r="BC270" s="1207"/>
      <c r="BD270" s="1207"/>
      <c r="BE270" s="1207"/>
      <c r="BF270" s="550"/>
      <c r="BG270" s="598"/>
      <c r="BH270" s="550"/>
      <c r="BI270" s="550"/>
      <c r="BJ270" s="550"/>
      <c r="BK270" s="550"/>
      <c r="BL270" s="550"/>
      <c r="BM270" s="551"/>
      <c r="BN270" s="590"/>
      <c r="BO270" s="590"/>
      <c r="BP270" s="590"/>
      <c r="BQ270" s="590"/>
      <c r="BR270" s="590"/>
      <c r="BS270" s="590"/>
      <c r="BT270" s="590"/>
      <c r="BU270" s="590"/>
      <c r="BV270" s="590"/>
      <c r="BW270" s="590"/>
      <c r="BX270" s="590"/>
      <c r="BY270" s="590"/>
      <c r="BZ270" s="590"/>
      <c r="CA270" s="590"/>
      <c r="CB270" s="590"/>
      <c r="CC270" s="590"/>
      <c r="CD270" s="590"/>
      <c r="CE270" s="590"/>
      <c r="CF270" s="590"/>
      <c r="CG270" s="590"/>
      <c r="CH270" s="590"/>
      <c r="CI270" s="590"/>
      <c r="CJ270" s="590"/>
      <c r="CK270" s="590"/>
      <c r="CL270" s="590"/>
      <c r="CM270" s="590"/>
      <c r="CN270" s="590"/>
      <c r="CO270" s="590"/>
      <c r="CP270" s="590"/>
      <c r="CQ270" s="590"/>
      <c r="CR270" s="590"/>
      <c r="CS270" s="590"/>
      <c r="CT270" s="590"/>
      <c r="CU270" s="590"/>
      <c r="CV270" s="590"/>
      <c r="CW270" s="591"/>
    </row>
    <row r="271" spans="1:101" ht="14.25" customHeight="1" x14ac:dyDescent="0.15">
      <c r="A271" s="588"/>
      <c r="B271" s="597"/>
      <c r="C271" s="550"/>
      <c r="D271" s="550"/>
      <c r="E271" s="550"/>
      <c r="F271" s="550"/>
      <c r="G271" s="827"/>
      <c r="H271" s="827"/>
      <c r="I271" s="827"/>
      <c r="J271" s="827"/>
      <c r="K271" s="827"/>
      <c r="L271" s="550"/>
      <c r="M271" s="550"/>
      <c r="N271" s="550"/>
      <c r="O271" s="541"/>
      <c r="P271" s="836"/>
      <c r="Q271" s="836"/>
      <c r="R271" s="836"/>
      <c r="S271" s="836"/>
      <c r="T271" s="836"/>
      <c r="U271" s="836"/>
      <c r="V271" s="836"/>
      <c r="W271" s="836"/>
      <c r="X271" s="836"/>
      <c r="Y271" s="836"/>
      <c r="Z271" s="602"/>
      <c r="AA271" s="705"/>
      <c r="AB271" s="550"/>
      <c r="AC271" s="550"/>
      <c r="AD271" s="550"/>
      <c r="AE271" s="550"/>
      <c r="AF271" s="550"/>
      <c r="AG271" s="550"/>
      <c r="AH271" s="710"/>
      <c r="AI271" s="550"/>
      <c r="AJ271" s="550"/>
      <c r="AK271" s="550"/>
      <c r="AL271" s="541"/>
      <c r="AM271" s="541"/>
      <c r="AN271" s="541"/>
      <c r="AO271" s="836"/>
      <c r="AP271" s="836"/>
      <c r="AQ271" s="836"/>
      <c r="AR271" s="836"/>
      <c r="AS271" s="836"/>
      <c r="AT271" s="836"/>
      <c r="AU271" s="836"/>
      <c r="AV271" s="836"/>
      <c r="AW271" s="836"/>
      <c r="AX271" s="836"/>
      <c r="AY271" s="836"/>
      <c r="AZ271" s="836"/>
      <c r="BA271" s="836"/>
      <c r="BB271" s="836"/>
      <c r="BC271" s="836"/>
      <c r="BD271" s="602"/>
      <c r="BE271" s="602"/>
      <c r="BF271" s="550"/>
      <c r="BG271" s="598"/>
      <c r="BH271" s="550"/>
      <c r="BI271" s="550"/>
      <c r="BJ271" s="550"/>
      <c r="BK271" s="550"/>
      <c r="BL271" s="550"/>
      <c r="BM271" s="551"/>
      <c r="BN271" s="590"/>
      <c r="BO271" s="590"/>
      <c r="BP271" s="590"/>
      <c r="BQ271" s="590"/>
      <c r="BR271" s="590"/>
      <c r="BS271" s="590"/>
      <c r="BT271" s="590"/>
      <c r="BU271" s="590"/>
      <c r="BV271" s="590"/>
      <c r="BW271" s="590"/>
      <c r="BX271" s="590"/>
      <c r="BY271" s="590"/>
      <c r="BZ271" s="590"/>
      <c r="CA271" s="590"/>
      <c r="CB271" s="590"/>
      <c r="CC271" s="590"/>
      <c r="CD271" s="590"/>
      <c r="CE271" s="590"/>
      <c r="CF271" s="590"/>
      <c r="CG271" s="590"/>
      <c r="CH271" s="590"/>
      <c r="CI271" s="590"/>
      <c r="CJ271" s="590"/>
      <c r="CK271" s="590"/>
      <c r="CL271" s="590"/>
      <c r="CM271" s="590"/>
      <c r="CN271" s="590"/>
      <c r="CO271" s="590"/>
      <c r="CP271" s="590"/>
      <c r="CQ271" s="590"/>
      <c r="CR271" s="590"/>
      <c r="CS271" s="590"/>
      <c r="CT271" s="590"/>
      <c r="CU271" s="590"/>
      <c r="CV271" s="590"/>
      <c r="CW271" s="591"/>
    </row>
    <row r="272" spans="1:101" ht="14" x14ac:dyDescent="0.15">
      <c r="A272" s="588"/>
      <c r="B272" s="597"/>
      <c r="C272" s="550"/>
      <c r="D272" s="550"/>
      <c r="E272" s="550"/>
      <c r="F272" s="550"/>
      <c r="G272" s="827"/>
      <c r="H272" s="827"/>
      <c r="I272" s="827"/>
      <c r="J272" s="827"/>
      <c r="K272" s="827"/>
      <c r="L272" s="550"/>
      <c r="M272" s="550"/>
      <c r="N272" s="550"/>
      <c r="O272" s="541"/>
      <c r="P272" s="836"/>
      <c r="Q272" s="836"/>
      <c r="R272" s="836"/>
      <c r="S272" s="836"/>
      <c r="T272" s="836"/>
      <c r="U272" s="836"/>
      <c r="V272" s="836"/>
      <c r="W272" s="836"/>
      <c r="X272" s="836"/>
      <c r="Y272" s="836"/>
      <c r="Z272" s="602"/>
      <c r="AA272" s="705"/>
      <c r="AB272" s="550"/>
      <c r="AC272" s="550"/>
      <c r="AD272" s="550"/>
      <c r="AE272" s="550"/>
      <c r="AF272" s="550"/>
      <c r="AG272" s="550"/>
      <c r="AH272" s="710"/>
      <c r="AI272" s="550"/>
      <c r="AJ272" s="550"/>
      <c r="AK272" s="550"/>
      <c r="AL272" s="541"/>
      <c r="AM272" s="541"/>
      <c r="AN272" s="541"/>
      <c r="AO272" s="836"/>
      <c r="AP272" s="836"/>
      <c r="AQ272" s="836"/>
      <c r="AR272" s="836"/>
      <c r="AS272" s="836"/>
      <c r="AT272" s="836"/>
      <c r="AU272" s="836"/>
      <c r="AV272" s="836"/>
      <c r="AW272" s="836"/>
      <c r="AX272" s="836"/>
      <c r="AY272" s="836"/>
      <c r="AZ272" s="836"/>
      <c r="BA272" s="836"/>
      <c r="BB272" s="836"/>
      <c r="BC272" s="836"/>
      <c r="BD272" s="602"/>
      <c r="BE272" s="602"/>
      <c r="BF272" s="550"/>
      <c r="BG272" s="598"/>
      <c r="BH272" s="550"/>
      <c r="BI272" s="550"/>
      <c r="BJ272" s="550"/>
      <c r="BK272" s="550"/>
      <c r="BL272" s="550"/>
      <c r="BM272" s="551"/>
      <c r="BN272" s="590"/>
      <c r="BO272" s="590"/>
      <c r="BP272" s="590"/>
      <c r="BQ272" s="590"/>
      <c r="BR272" s="590"/>
      <c r="BS272" s="590"/>
      <c r="BT272" s="590"/>
      <c r="BU272" s="590"/>
      <c r="BV272" s="590"/>
      <c r="BW272" s="590"/>
      <c r="BX272" s="590"/>
      <c r="BY272" s="590"/>
      <c r="BZ272" s="590"/>
      <c r="CA272" s="590"/>
      <c r="CB272" s="590"/>
      <c r="CC272" s="590"/>
      <c r="CD272" s="590"/>
      <c r="CE272" s="590"/>
      <c r="CF272" s="590"/>
      <c r="CG272" s="590"/>
      <c r="CH272" s="590"/>
      <c r="CI272" s="590"/>
      <c r="CJ272" s="590"/>
      <c r="CK272" s="590"/>
      <c r="CL272" s="590"/>
      <c r="CM272" s="590"/>
      <c r="CN272" s="590"/>
      <c r="CO272" s="590"/>
      <c r="CP272" s="590"/>
      <c r="CQ272" s="590"/>
      <c r="CR272" s="590"/>
      <c r="CS272" s="590"/>
      <c r="CT272" s="590"/>
      <c r="CU272" s="590"/>
      <c r="CV272" s="590"/>
      <c r="CW272" s="591"/>
    </row>
    <row r="273" spans="1:141" ht="9.75" customHeight="1" x14ac:dyDescent="0.15">
      <c r="A273" s="588"/>
      <c r="B273" s="603"/>
      <c r="C273" s="604"/>
      <c r="D273" s="604"/>
      <c r="E273" s="604"/>
      <c r="F273" s="604"/>
      <c r="G273" s="839"/>
      <c r="H273" s="839"/>
      <c r="I273" s="839"/>
      <c r="J273" s="839"/>
      <c r="K273" s="839"/>
      <c r="L273" s="604"/>
      <c r="M273" s="604"/>
      <c r="N273" s="604"/>
      <c r="O273" s="840"/>
      <c r="P273" s="841"/>
      <c r="Q273" s="841"/>
      <c r="R273" s="841"/>
      <c r="S273" s="841"/>
      <c r="T273" s="841"/>
      <c r="U273" s="841"/>
      <c r="V273" s="841"/>
      <c r="W273" s="841"/>
      <c r="X273" s="841"/>
      <c r="Y273" s="841"/>
      <c r="Z273" s="842"/>
      <c r="AA273" s="843"/>
      <c r="AB273" s="604"/>
      <c r="AC273" s="604"/>
      <c r="AD273" s="604"/>
      <c r="AE273" s="604"/>
      <c r="AF273" s="604"/>
      <c r="AG273" s="604"/>
      <c r="AH273" s="844"/>
      <c r="AI273" s="604"/>
      <c r="AJ273" s="604"/>
      <c r="AK273" s="604"/>
      <c r="AL273" s="840"/>
      <c r="AM273" s="840"/>
      <c r="AN273" s="840"/>
      <c r="AO273" s="841"/>
      <c r="AP273" s="841"/>
      <c r="AQ273" s="841"/>
      <c r="AR273" s="841"/>
      <c r="AS273" s="841"/>
      <c r="AT273" s="841"/>
      <c r="AU273" s="841"/>
      <c r="AV273" s="841"/>
      <c r="AW273" s="841"/>
      <c r="AX273" s="841"/>
      <c r="AY273" s="841"/>
      <c r="AZ273" s="841"/>
      <c r="BA273" s="841"/>
      <c r="BB273" s="841"/>
      <c r="BC273" s="841"/>
      <c r="BD273" s="842"/>
      <c r="BE273" s="842"/>
      <c r="BF273" s="604"/>
      <c r="BG273" s="607"/>
      <c r="BH273" s="550"/>
      <c r="BI273" s="550"/>
      <c r="BJ273" s="550"/>
      <c r="BK273" s="550"/>
      <c r="BL273" s="550"/>
      <c r="BM273" s="551"/>
      <c r="BN273" s="590"/>
      <c r="BO273" s="590"/>
      <c r="BP273" s="590"/>
      <c r="BQ273" s="590"/>
      <c r="BR273" s="590"/>
      <c r="BS273" s="590"/>
      <c r="BT273" s="590"/>
      <c r="BU273" s="590"/>
      <c r="BV273" s="590"/>
      <c r="BW273" s="590"/>
      <c r="BX273" s="590"/>
      <c r="BY273" s="590"/>
      <c r="BZ273" s="590"/>
      <c r="CA273" s="590"/>
      <c r="CB273" s="590"/>
      <c r="CC273" s="590"/>
      <c r="CD273" s="590"/>
      <c r="CE273" s="590"/>
      <c r="CF273" s="590"/>
      <c r="CG273" s="590"/>
      <c r="CH273" s="590"/>
      <c r="CI273" s="590"/>
      <c r="CJ273" s="590"/>
      <c r="CK273" s="590"/>
      <c r="CL273" s="590"/>
      <c r="CM273" s="590"/>
      <c r="CN273" s="590"/>
      <c r="CO273" s="590"/>
      <c r="CP273" s="590"/>
      <c r="CQ273" s="590"/>
      <c r="CR273" s="590"/>
      <c r="CS273" s="590"/>
      <c r="CT273" s="590"/>
      <c r="CU273" s="590"/>
      <c r="CV273" s="590"/>
      <c r="CW273" s="591"/>
    </row>
    <row r="274" spans="1:141" ht="12.75" customHeight="1" x14ac:dyDescent="0.15">
      <c r="A274" s="588"/>
      <c r="B274" s="1330" t="s">
        <v>865</v>
      </c>
      <c r="C274" s="1331"/>
      <c r="D274" s="1331"/>
      <c r="E274" s="1331"/>
      <c r="F274" s="1331"/>
      <c r="G274" s="1331"/>
      <c r="H274" s="1331"/>
      <c r="I274" s="1331"/>
      <c r="J274" s="1331"/>
      <c r="K274" s="1331"/>
      <c r="L274" s="1331"/>
      <c r="M274" s="1331"/>
      <c r="N274" s="1331"/>
      <c r="O274" s="1331"/>
      <c r="P274" s="1331"/>
      <c r="Q274" s="1331"/>
      <c r="R274" s="1331"/>
      <c r="S274" s="1331"/>
      <c r="T274" s="1331"/>
      <c r="U274" s="1331"/>
      <c r="V274" s="1331"/>
      <c r="W274" s="1331"/>
      <c r="X274" s="1331"/>
      <c r="Y274" s="1331"/>
      <c r="Z274" s="1331"/>
      <c r="AA274" s="1331"/>
      <c r="AB274" s="1331"/>
      <c r="AC274" s="1331"/>
      <c r="AD274" s="1331"/>
      <c r="AE274" s="1331"/>
      <c r="AF274" s="1331"/>
      <c r="AG274" s="1331"/>
      <c r="AH274" s="1331"/>
      <c r="AI274" s="1331"/>
      <c r="AJ274" s="1331"/>
      <c r="AK274" s="1331"/>
      <c r="AL274" s="1331"/>
      <c r="AM274" s="1331"/>
      <c r="AN274" s="1331"/>
      <c r="AO274" s="1331"/>
      <c r="AP274" s="1331"/>
      <c r="AQ274" s="1331"/>
      <c r="AR274" s="1331"/>
      <c r="AS274" s="1331"/>
      <c r="AT274" s="1331"/>
      <c r="AU274" s="1331"/>
      <c r="AV274" s="1331"/>
      <c r="AW274" s="1331"/>
      <c r="AX274" s="1331"/>
      <c r="AY274" s="1331"/>
      <c r="AZ274" s="1331"/>
      <c r="BA274" s="1331"/>
      <c r="BB274" s="1331"/>
      <c r="BC274" s="1331"/>
      <c r="BD274" s="1331"/>
      <c r="BE274" s="1331"/>
      <c r="BF274" s="1331"/>
      <c r="BG274" s="1332"/>
      <c r="BH274" s="550"/>
      <c r="BI274" s="550"/>
      <c r="BJ274" s="550"/>
      <c r="BK274" s="550"/>
      <c r="BL274" s="550"/>
      <c r="BM274" s="551"/>
      <c r="BN274" s="590"/>
      <c r="BO274" s="590"/>
      <c r="BP274" s="590"/>
      <c r="BQ274" s="590"/>
      <c r="BR274" s="590"/>
      <c r="BS274" s="590"/>
      <c r="BT274" s="590"/>
      <c r="BU274" s="590"/>
      <c r="BV274" s="590"/>
      <c r="BW274" s="590"/>
      <c r="BX274" s="590"/>
      <c r="BY274" s="590"/>
      <c r="BZ274" s="590"/>
      <c r="CA274" s="590"/>
      <c r="CB274" s="590"/>
      <c r="CC274" s="590"/>
      <c r="CD274" s="590"/>
      <c r="CE274" s="590"/>
      <c r="CF274" s="590"/>
      <c r="CG274" s="590"/>
      <c r="CH274" s="590"/>
      <c r="CI274" s="590"/>
      <c r="CJ274" s="590"/>
      <c r="CK274" s="590"/>
      <c r="CL274" s="590"/>
      <c r="CM274" s="590"/>
      <c r="CN274" s="590"/>
      <c r="CO274" s="590"/>
      <c r="CP274" s="590"/>
      <c r="CQ274" s="590"/>
      <c r="CR274" s="590"/>
      <c r="CS274" s="590"/>
      <c r="CT274" s="590"/>
      <c r="CU274" s="590"/>
      <c r="CV274" s="590"/>
      <c r="CW274" s="591"/>
    </row>
    <row r="275" spans="1:141" ht="9.75" customHeight="1" x14ac:dyDescent="0.15">
      <c r="A275" s="588"/>
      <c r="B275" s="846"/>
      <c r="C275" s="847"/>
      <c r="D275" s="847"/>
      <c r="E275" s="847"/>
      <c r="F275" s="847"/>
      <c r="G275" s="847"/>
      <c r="H275" s="847"/>
      <c r="I275" s="847"/>
      <c r="J275" s="847"/>
      <c r="K275" s="847"/>
      <c r="L275" s="847"/>
      <c r="M275" s="847"/>
      <c r="N275" s="847"/>
      <c r="O275" s="847"/>
      <c r="P275" s="847"/>
      <c r="Q275" s="847"/>
      <c r="R275" s="847"/>
      <c r="S275" s="847"/>
      <c r="T275" s="847"/>
      <c r="U275" s="847"/>
      <c r="V275" s="847"/>
      <c r="W275" s="847"/>
      <c r="X275" s="847"/>
      <c r="Y275" s="847"/>
      <c r="Z275" s="847"/>
      <c r="AA275" s="847"/>
      <c r="AB275" s="847"/>
      <c r="AC275" s="847"/>
      <c r="AD275" s="847"/>
      <c r="AE275" s="847"/>
      <c r="AF275" s="847"/>
      <c r="AG275" s="847"/>
      <c r="AH275" s="847"/>
      <c r="AI275" s="847"/>
      <c r="AJ275" s="847"/>
      <c r="AK275" s="847"/>
      <c r="AL275" s="847"/>
      <c r="AM275" s="847"/>
      <c r="AN275" s="847"/>
      <c r="AO275" s="847"/>
      <c r="AP275" s="847"/>
      <c r="AQ275" s="847"/>
      <c r="AR275" s="847"/>
      <c r="AS275" s="847"/>
      <c r="AT275" s="847"/>
      <c r="AU275" s="847"/>
      <c r="AV275" s="847"/>
      <c r="AW275" s="847"/>
      <c r="AX275" s="847"/>
      <c r="AY275" s="847"/>
      <c r="AZ275" s="847"/>
      <c r="BA275" s="847"/>
      <c r="BB275" s="847"/>
      <c r="BC275" s="847"/>
      <c r="BD275" s="847"/>
      <c r="BE275" s="847"/>
      <c r="BF275" s="847"/>
      <c r="BG275" s="848"/>
      <c r="BH275" s="550"/>
      <c r="BI275" s="550"/>
      <c r="BJ275" s="550"/>
      <c r="BK275" s="550"/>
      <c r="BL275" s="550"/>
      <c r="BM275" s="551"/>
      <c r="BN275" s="590"/>
      <c r="BO275" s="590"/>
      <c r="BP275" s="590"/>
      <c r="BQ275" s="590"/>
      <c r="BR275" s="590"/>
      <c r="BS275" s="590"/>
      <c r="BT275" s="590"/>
      <c r="BU275" s="590"/>
      <c r="BV275" s="590"/>
      <c r="BW275" s="590"/>
      <c r="BX275" s="590"/>
      <c r="BY275" s="590"/>
      <c r="BZ275" s="590"/>
      <c r="CA275" s="590"/>
      <c r="CB275" s="590"/>
      <c r="CC275" s="590"/>
      <c r="CD275" s="590"/>
      <c r="CE275" s="590"/>
      <c r="CF275" s="590"/>
      <c r="CG275" s="590"/>
      <c r="CH275" s="590"/>
      <c r="CI275" s="590"/>
      <c r="CJ275" s="590"/>
      <c r="CK275" s="590"/>
      <c r="CL275" s="590"/>
      <c r="CM275" s="590"/>
      <c r="CN275" s="590"/>
      <c r="CO275" s="590"/>
      <c r="CP275" s="590"/>
      <c r="CQ275" s="590"/>
      <c r="CR275" s="590"/>
      <c r="CS275" s="590"/>
      <c r="CT275" s="590"/>
      <c r="CU275" s="590"/>
      <c r="CV275" s="590"/>
      <c r="CW275" s="591"/>
    </row>
    <row r="276" spans="1:141" ht="13.5" customHeight="1" x14ac:dyDescent="0.15">
      <c r="A276" s="588"/>
      <c r="B276" s="849"/>
      <c r="C276" s="850"/>
      <c r="D276" s="1329" t="s">
        <v>165</v>
      </c>
      <c r="E276" s="1329"/>
      <c r="F276" s="1329"/>
      <c r="G276" s="1329"/>
      <c r="H276" s="1329"/>
      <c r="I276" s="1329"/>
      <c r="J276" s="1329"/>
      <c r="K276" s="850"/>
      <c r="L276" s="850"/>
      <c r="M276" s="850"/>
      <c r="N276" s="850"/>
      <c r="O276" s="850"/>
      <c r="P276" s="850"/>
      <c r="Q276" s="850"/>
      <c r="R276" s="850"/>
      <c r="S276" s="850"/>
      <c r="T276" s="850"/>
      <c r="U276" s="850"/>
      <c r="V276" s="850"/>
      <c r="W276" s="850"/>
      <c r="X276" s="850"/>
      <c r="Y276" s="850"/>
      <c r="Z276" s="850"/>
      <c r="AA276" s="850"/>
      <c r="AB276" s="850"/>
      <c r="AC276" s="850"/>
      <c r="AD276" s="850"/>
      <c r="AE276" s="850"/>
      <c r="AF276" s="850"/>
      <c r="AG276" s="850"/>
      <c r="AH276" s="850"/>
      <c r="AI276" s="850"/>
      <c r="AJ276" s="850"/>
      <c r="AK276" s="850"/>
      <c r="AL276" s="850"/>
      <c r="AM276" s="850"/>
      <c r="AN276" s="850"/>
      <c r="AO276" s="850"/>
      <c r="AP276" s="850"/>
      <c r="AQ276" s="850"/>
      <c r="AR276" s="850"/>
      <c r="AS276" s="850"/>
      <c r="AT276" s="850"/>
      <c r="AU276" s="850"/>
      <c r="AV276" s="850"/>
      <c r="AW276" s="850"/>
      <c r="AX276" s="850"/>
      <c r="AY276" s="850"/>
      <c r="AZ276" s="850"/>
      <c r="BA276" s="850"/>
      <c r="BB276" s="850"/>
      <c r="BC276" s="850"/>
      <c r="BD276" s="850"/>
      <c r="BE276" s="850"/>
      <c r="BF276" s="850"/>
      <c r="BG276" s="851"/>
      <c r="BH276" s="550"/>
      <c r="BI276" s="588"/>
      <c r="BJ276" s="588"/>
      <c r="BK276" s="588"/>
      <c r="BL276" s="588"/>
      <c r="BM276" s="589"/>
      <c r="BN276" s="590"/>
      <c r="BO276" s="590"/>
      <c r="BP276" s="590"/>
      <c r="BQ276" s="590"/>
      <c r="BR276" s="590"/>
      <c r="BS276" s="590"/>
      <c r="BT276" s="590"/>
      <c r="BU276" s="590"/>
      <c r="BV276" s="590"/>
      <c r="BW276" s="590"/>
      <c r="BX276" s="590"/>
      <c r="BY276" s="590"/>
      <c r="BZ276" s="590"/>
      <c r="CA276" s="590"/>
      <c r="CB276" s="590"/>
      <c r="CC276" s="590"/>
      <c r="CD276" s="590"/>
      <c r="CE276" s="590"/>
      <c r="CF276" s="590"/>
      <c r="CG276" s="590"/>
      <c r="CH276" s="590"/>
      <c r="CI276" s="590"/>
      <c r="CJ276" s="590"/>
      <c r="CK276" s="590"/>
      <c r="CL276" s="590"/>
      <c r="CM276" s="590"/>
      <c r="CN276" s="590"/>
      <c r="CO276" s="590"/>
      <c r="CP276" s="590"/>
      <c r="CQ276" s="590"/>
      <c r="CR276" s="590"/>
      <c r="CS276" s="590"/>
      <c r="CT276" s="590"/>
      <c r="CU276" s="590"/>
      <c r="CV276" s="590"/>
      <c r="CW276" s="591"/>
      <c r="CX276" s="590"/>
      <c r="CY276" s="590"/>
      <c r="CZ276" s="590"/>
      <c r="DA276" s="590"/>
      <c r="DB276" s="590"/>
      <c r="DC276" s="590"/>
      <c r="DD276" s="590"/>
      <c r="DE276" s="590"/>
      <c r="DF276" s="590"/>
      <c r="DG276" s="590"/>
      <c r="DH276" s="590"/>
      <c r="DI276" s="590"/>
      <c r="DJ276" s="590"/>
      <c r="DK276" s="590"/>
      <c r="DL276" s="590"/>
      <c r="DM276" s="590"/>
      <c r="DN276" s="590"/>
      <c r="DO276" s="590"/>
      <c r="DP276" s="590"/>
      <c r="DQ276" s="590"/>
      <c r="DR276" s="590"/>
      <c r="DS276" s="590"/>
      <c r="DT276" s="590"/>
      <c r="DU276" s="590"/>
      <c r="DV276" s="590"/>
      <c r="DW276" s="590"/>
      <c r="DX276" s="590"/>
      <c r="DY276" s="590"/>
      <c r="DZ276" s="590"/>
      <c r="EA276" s="590"/>
      <c r="EB276" s="590"/>
      <c r="EC276" s="590"/>
      <c r="ED276" s="590"/>
      <c r="EE276" s="590"/>
      <c r="EF276" s="590"/>
      <c r="EG276" s="590"/>
      <c r="EH276" s="590"/>
      <c r="EI276" s="590"/>
      <c r="EJ276" s="651"/>
      <c r="EK276" s="651"/>
    </row>
    <row r="277" spans="1:141" ht="12" customHeight="1" x14ac:dyDescent="0.15">
      <c r="A277" s="588"/>
      <c r="B277" s="852"/>
      <c r="C277" s="853"/>
      <c r="D277" s="854"/>
      <c r="E277" s="854"/>
      <c r="F277" s="854"/>
      <c r="G277" s="854"/>
      <c r="H277" s="854"/>
      <c r="I277" s="854"/>
      <c r="J277" s="854"/>
      <c r="K277" s="854"/>
      <c r="L277" s="854"/>
      <c r="M277" s="854"/>
      <c r="N277" s="854"/>
      <c r="O277" s="854"/>
      <c r="P277" s="854"/>
      <c r="Q277" s="854"/>
      <c r="R277" s="854"/>
      <c r="S277" s="854"/>
      <c r="T277" s="854"/>
      <c r="U277" s="854"/>
      <c r="V277" s="854"/>
      <c r="W277" s="854"/>
      <c r="X277" s="854"/>
      <c r="Y277" s="854"/>
      <c r="Z277" s="854"/>
      <c r="AA277" s="854"/>
      <c r="AB277" s="854"/>
      <c r="AC277" s="854"/>
      <c r="AD277" s="854"/>
      <c r="AE277" s="854"/>
      <c r="AF277" s="854"/>
      <c r="AG277" s="854"/>
      <c r="AH277" s="854"/>
      <c r="AI277" s="854"/>
      <c r="AJ277" s="854"/>
      <c r="AK277" s="854"/>
      <c r="AL277" s="854"/>
      <c r="AM277" s="854"/>
      <c r="AN277" s="854"/>
      <c r="AO277" s="854"/>
      <c r="AP277" s="854"/>
      <c r="AQ277" s="854"/>
      <c r="AR277" s="854"/>
      <c r="AS277" s="854"/>
      <c r="AT277" s="854"/>
      <c r="AU277" s="854"/>
      <c r="AV277" s="854"/>
      <c r="AW277" s="854"/>
      <c r="AX277" s="854"/>
      <c r="AY277" s="854"/>
      <c r="AZ277" s="854"/>
      <c r="BA277" s="854"/>
      <c r="BB277" s="854"/>
      <c r="BC277" s="854"/>
      <c r="BD277" s="854"/>
      <c r="BE277" s="854"/>
      <c r="BF277" s="854"/>
      <c r="BG277" s="855"/>
      <c r="BH277" s="550"/>
      <c r="BI277" s="588"/>
      <c r="BJ277" s="588"/>
      <c r="BK277" s="588"/>
      <c r="BL277" s="588"/>
      <c r="BM277" s="589"/>
      <c r="BN277" s="590"/>
      <c r="BO277" s="590"/>
      <c r="BP277" s="590"/>
      <c r="BQ277" s="590"/>
      <c r="BR277" s="590"/>
      <c r="BS277" s="590"/>
      <c r="BT277" s="590"/>
      <c r="BU277" s="590"/>
      <c r="BV277" s="590"/>
      <c r="BW277" s="590"/>
      <c r="BX277" s="590"/>
      <c r="BY277" s="590"/>
      <c r="BZ277" s="590"/>
      <c r="CA277" s="590"/>
      <c r="CB277" s="590"/>
      <c r="CC277" s="590"/>
      <c r="CD277" s="590"/>
      <c r="CE277" s="590"/>
      <c r="CF277" s="590"/>
      <c r="CG277" s="590"/>
      <c r="CH277" s="590"/>
      <c r="CI277" s="590"/>
      <c r="CJ277" s="590"/>
      <c r="CK277" s="590"/>
      <c r="CL277" s="590"/>
      <c r="CM277" s="590"/>
      <c r="CN277" s="590"/>
      <c r="CO277" s="590"/>
      <c r="CP277" s="590"/>
      <c r="CQ277" s="590"/>
      <c r="CR277" s="590"/>
      <c r="CS277" s="590"/>
      <c r="CT277" s="590"/>
      <c r="CU277" s="590"/>
      <c r="CV277" s="590"/>
      <c r="CW277" s="591"/>
      <c r="CX277" s="590"/>
      <c r="CY277" s="590"/>
      <c r="CZ277" s="590"/>
      <c r="DA277" s="590"/>
      <c r="DB277" s="590"/>
      <c r="DC277" s="590"/>
      <c r="DD277" s="590"/>
      <c r="DE277" s="590"/>
      <c r="DF277" s="590"/>
      <c r="DG277" s="590"/>
      <c r="DH277" s="590"/>
      <c r="DI277" s="590"/>
      <c r="DJ277" s="590"/>
      <c r="DK277" s="590"/>
      <c r="DL277" s="590"/>
      <c r="DM277" s="590"/>
      <c r="DN277" s="590"/>
      <c r="DO277" s="590"/>
      <c r="DP277" s="590"/>
      <c r="DQ277" s="590"/>
      <c r="DR277" s="590"/>
      <c r="DS277" s="590"/>
      <c r="DT277" s="590"/>
      <c r="DU277" s="590"/>
      <c r="DV277" s="590"/>
      <c r="DW277" s="590"/>
      <c r="DX277" s="590"/>
      <c r="DY277" s="590"/>
      <c r="DZ277" s="590"/>
      <c r="EA277" s="590"/>
      <c r="EB277" s="590"/>
      <c r="EC277" s="590"/>
      <c r="ED277" s="590"/>
      <c r="EE277" s="590"/>
      <c r="EF277" s="590"/>
      <c r="EG277" s="590"/>
      <c r="EH277" s="590"/>
      <c r="EI277" s="590"/>
      <c r="EJ277" s="651"/>
      <c r="EK277" s="651"/>
    </row>
    <row r="278" spans="1:141" ht="12" customHeight="1" x14ac:dyDescent="0.15">
      <c r="A278" s="588"/>
      <c r="B278" s="852"/>
      <c r="C278" s="853"/>
      <c r="D278" s="854"/>
      <c r="E278" s="1333" t="s">
        <v>166</v>
      </c>
      <c r="F278" s="1333"/>
      <c r="G278" s="1333"/>
      <c r="H278" s="1333"/>
      <c r="I278" s="1333"/>
      <c r="J278" s="1333"/>
      <c r="K278" s="1333"/>
      <c r="L278" s="1333"/>
      <c r="M278" s="1333"/>
      <c r="N278" s="1333"/>
      <c r="O278" s="1333"/>
      <c r="P278" s="1333"/>
      <c r="Q278" s="1333"/>
      <c r="R278" s="1333"/>
      <c r="S278" s="1333"/>
      <c r="T278" s="1333"/>
      <c r="U278" s="1333"/>
      <c r="V278" s="1333"/>
      <c r="W278" s="1333"/>
      <c r="X278" s="1333"/>
      <c r="Y278" s="1333"/>
      <c r="Z278" s="1333"/>
      <c r="AA278" s="1333"/>
      <c r="AB278" s="1333"/>
      <c r="AC278" s="1333"/>
      <c r="AD278" s="1333"/>
      <c r="AE278" s="1333"/>
      <c r="AF278" s="1333"/>
      <c r="AG278" s="1333"/>
      <c r="AH278" s="1333"/>
      <c r="AI278" s="1333"/>
      <c r="AJ278" s="854"/>
      <c r="AK278" s="854"/>
      <c r="AL278" s="854"/>
      <c r="AM278" s="854"/>
      <c r="AN278" s="854"/>
      <c r="AO278" s="854"/>
      <c r="AP278" s="1328">
        <v>7.1999999999999998E-3</v>
      </c>
      <c r="AQ278" s="1328"/>
      <c r="AR278" s="1328"/>
      <c r="AS278" s="1328"/>
      <c r="AT278" s="856"/>
      <c r="AU278" s="856"/>
      <c r="AV278" s="856"/>
      <c r="AW278" s="856"/>
      <c r="AX278" s="854"/>
      <c r="AY278" s="854"/>
      <c r="AZ278" s="857" t="s">
        <v>111</v>
      </c>
      <c r="BA278" s="854"/>
      <c r="BB278" s="854"/>
      <c r="BC278" s="854"/>
      <c r="BD278" s="854"/>
      <c r="BE278" s="854"/>
      <c r="BF278" s="854"/>
      <c r="BG278" s="855"/>
      <c r="BH278" s="588"/>
      <c r="BI278" s="588"/>
      <c r="BJ278" s="588"/>
      <c r="BK278" s="588"/>
      <c r="BL278" s="588"/>
      <c r="BM278" s="589"/>
      <c r="BN278" s="590"/>
      <c r="BO278" s="590"/>
      <c r="BP278" s="590"/>
      <c r="BQ278" s="590"/>
      <c r="BR278" s="590"/>
      <c r="BS278" s="590"/>
      <c r="BT278" s="590"/>
      <c r="BU278" s="590"/>
      <c r="BV278" s="590"/>
      <c r="BW278" s="590"/>
      <c r="BX278" s="590"/>
      <c r="BY278" s="590"/>
      <c r="BZ278" s="590"/>
      <c r="CA278" s="590"/>
      <c r="CB278" s="590"/>
      <c r="CC278" s="590"/>
      <c r="CD278" s="590"/>
      <c r="CE278" s="590"/>
      <c r="CF278" s="590"/>
      <c r="CG278" s="590"/>
      <c r="CH278" s="590"/>
      <c r="CI278" s="590"/>
      <c r="CJ278" s="590"/>
      <c r="CK278" s="590"/>
      <c r="CL278" s="590"/>
      <c r="CM278" s="590"/>
      <c r="CN278" s="590"/>
      <c r="CO278" s="590"/>
      <c r="CP278" s="590"/>
      <c r="CQ278" s="590"/>
      <c r="CR278" s="590"/>
      <c r="CS278" s="590"/>
      <c r="CT278" s="590"/>
      <c r="CU278" s="590"/>
      <c r="CV278" s="590"/>
      <c r="CW278" s="591"/>
      <c r="CX278" s="590"/>
      <c r="CY278" s="590"/>
      <c r="CZ278" s="590"/>
      <c r="DA278" s="590"/>
      <c r="DB278" s="590"/>
      <c r="DC278" s="590"/>
      <c r="DD278" s="590"/>
      <c r="DE278" s="590"/>
      <c r="DF278" s="590"/>
      <c r="DG278" s="590"/>
      <c r="DH278" s="590"/>
      <c r="DI278" s="590"/>
      <c r="DJ278" s="590"/>
      <c r="DK278" s="590"/>
      <c r="DL278" s="590"/>
      <c r="DM278" s="590"/>
      <c r="DN278" s="590"/>
      <c r="DO278" s="590"/>
      <c r="DP278" s="590"/>
      <c r="DQ278" s="590"/>
      <c r="DR278" s="590"/>
      <c r="DS278" s="590"/>
      <c r="DT278" s="590"/>
      <c r="DU278" s="590"/>
      <c r="DV278" s="590"/>
      <c r="DW278" s="590"/>
      <c r="DX278" s="590"/>
      <c r="DY278" s="590"/>
      <c r="DZ278" s="590"/>
      <c r="EA278" s="590"/>
      <c r="EB278" s="590"/>
      <c r="EC278" s="590"/>
      <c r="ED278" s="590"/>
      <c r="EE278" s="590"/>
      <c r="EF278" s="590"/>
      <c r="EG278" s="590"/>
      <c r="EH278" s="590"/>
      <c r="EI278" s="590"/>
      <c r="EJ278" s="651"/>
      <c r="EK278" s="651"/>
    </row>
    <row r="279" spans="1:141" ht="4.5" customHeight="1" x14ac:dyDescent="0.15">
      <c r="A279" s="588"/>
      <c r="B279" s="852"/>
      <c r="C279" s="853"/>
      <c r="D279" s="850"/>
      <c r="E279" s="858"/>
      <c r="F279" s="858"/>
      <c r="G279" s="858"/>
      <c r="H279" s="858"/>
      <c r="I279" s="858"/>
      <c r="J279" s="858"/>
      <c r="K279" s="858"/>
      <c r="L279" s="858"/>
      <c r="M279" s="858"/>
      <c r="N279" s="858"/>
      <c r="O279" s="858"/>
      <c r="P279" s="858"/>
      <c r="Q279" s="858"/>
      <c r="R279" s="858"/>
      <c r="S279" s="858"/>
      <c r="T279" s="858"/>
      <c r="U279" s="858"/>
      <c r="V279" s="858"/>
      <c r="W279" s="858"/>
      <c r="X279" s="858"/>
      <c r="Y279" s="858"/>
      <c r="Z279" s="858"/>
      <c r="AA279" s="858"/>
      <c r="AB279" s="858"/>
      <c r="AC279" s="858"/>
      <c r="AD279" s="858"/>
      <c r="AE279" s="858"/>
      <c r="AF279" s="858"/>
      <c r="AG279" s="858"/>
      <c r="AH279" s="858"/>
      <c r="AI279" s="858"/>
      <c r="AJ279" s="850"/>
      <c r="AK279" s="854"/>
      <c r="AL279" s="854"/>
      <c r="AM279" s="854"/>
      <c r="AN279" s="854"/>
      <c r="AO279" s="854"/>
      <c r="AP279" s="859"/>
      <c r="AQ279" s="860"/>
      <c r="AR279" s="854"/>
      <c r="AS279" s="856"/>
      <c r="AT279" s="856"/>
      <c r="AU279" s="856"/>
      <c r="AV279" s="856"/>
      <c r="AW279" s="856"/>
      <c r="AX279" s="854"/>
      <c r="AY279" s="854"/>
      <c r="AZ279" s="854"/>
      <c r="BA279" s="854"/>
      <c r="BB279" s="854"/>
      <c r="BC279" s="854"/>
      <c r="BD279" s="854"/>
      <c r="BE279" s="854"/>
      <c r="BF279" s="854"/>
      <c r="BG279" s="855"/>
      <c r="BH279" s="588"/>
      <c r="BI279" s="588"/>
      <c r="BJ279" s="588"/>
      <c r="BK279" s="588"/>
      <c r="BL279" s="588"/>
      <c r="BM279" s="589"/>
      <c r="BN279" s="590"/>
      <c r="BO279" s="590"/>
      <c r="BP279" s="590"/>
      <c r="BQ279" s="590"/>
      <c r="BR279" s="590"/>
      <c r="BS279" s="590"/>
      <c r="BT279" s="590"/>
      <c r="BU279" s="590"/>
      <c r="BV279" s="590"/>
      <c r="BW279" s="590"/>
      <c r="BX279" s="590"/>
      <c r="BY279" s="590"/>
      <c r="BZ279" s="590"/>
      <c r="CA279" s="590"/>
      <c r="CB279" s="590"/>
      <c r="CC279" s="590"/>
      <c r="CD279" s="590"/>
      <c r="CE279" s="590"/>
      <c r="CF279" s="590"/>
      <c r="CG279" s="590"/>
      <c r="CH279" s="590"/>
      <c r="CI279" s="590"/>
      <c r="CJ279" s="590"/>
      <c r="CK279" s="590"/>
      <c r="CL279" s="590"/>
      <c r="CM279" s="590"/>
      <c r="CN279" s="590"/>
      <c r="CO279" s="590"/>
      <c r="CP279" s="590"/>
      <c r="CQ279" s="590"/>
      <c r="CR279" s="590"/>
      <c r="CS279" s="590"/>
      <c r="CT279" s="590"/>
      <c r="CU279" s="590"/>
      <c r="CV279" s="590"/>
      <c r="CW279" s="591"/>
      <c r="CX279" s="590"/>
      <c r="CY279" s="590"/>
      <c r="CZ279" s="590"/>
      <c r="DA279" s="590"/>
      <c r="DB279" s="590"/>
      <c r="DC279" s="590"/>
      <c r="DD279" s="590"/>
      <c r="DE279" s="590"/>
      <c r="DF279" s="590"/>
      <c r="DG279" s="590"/>
      <c r="DH279" s="590"/>
      <c r="DI279" s="590"/>
      <c r="DJ279" s="590"/>
      <c r="DK279" s="590"/>
      <c r="DL279" s="590"/>
      <c r="DM279" s="590"/>
      <c r="DN279" s="590"/>
      <c r="DO279" s="590"/>
      <c r="DP279" s="590"/>
      <c r="DQ279" s="590"/>
      <c r="DR279" s="590"/>
      <c r="DS279" s="590"/>
      <c r="DT279" s="590"/>
      <c r="DU279" s="590"/>
      <c r="DV279" s="590"/>
      <c r="DW279" s="590"/>
      <c r="DX279" s="590"/>
      <c r="DY279" s="590"/>
      <c r="DZ279" s="590"/>
      <c r="EA279" s="590"/>
      <c r="EB279" s="590"/>
      <c r="EC279" s="590"/>
      <c r="ED279" s="590"/>
      <c r="EE279" s="590"/>
      <c r="EF279" s="590"/>
      <c r="EG279" s="590"/>
      <c r="EH279" s="590"/>
      <c r="EI279" s="590"/>
      <c r="EJ279" s="651"/>
      <c r="EK279" s="651"/>
    </row>
    <row r="280" spans="1:141" ht="14" x14ac:dyDescent="0.15">
      <c r="A280" s="588"/>
      <c r="B280" s="852"/>
      <c r="C280" s="853"/>
      <c r="D280" s="854"/>
      <c r="E280" s="1333" t="s">
        <v>168</v>
      </c>
      <c r="F280" s="1333"/>
      <c r="G280" s="1333"/>
      <c r="H280" s="1333"/>
      <c r="I280" s="1333"/>
      <c r="J280" s="1333"/>
      <c r="K280" s="1333"/>
      <c r="L280" s="1333"/>
      <c r="M280" s="1333"/>
      <c r="N280" s="1333"/>
      <c r="O280" s="1333"/>
      <c r="P280" s="1333"/>
      <c r="Q280" s="1333"/>
      <c r="R280" s="1333"/>
      <c r="S280" s="1333"/>
      <c r="T280" s="1333"/>
      <c r="U280" s="1333"/>
      <c r="V280" s="1333"/>
      <c r="W280" s="1333"/>
      <c r="X280" s="1333"/>
      <c r="Y280" s="1333"/>
      <c r="Z280" s="1333"/>
      <c r="AA280" s="1333"/>
      <c r="AB280" s="1333"/>
      <c r="AC280" s="1333"/>
      <c r="AD280" s="1333"/>
      <c r="AE280" s="1333"/>
      <c r="AF280" s="1333"/>
      <c r="AG280" s="1333"/>
      <c r="AH280" s="1333"/>
      <c r="AI280" s="1333"/>
      <c r="AJ280" s="854"/>
      <c r="AK280" s="854"/>
      <c r="AL280" s="854"/>
      <c r="AM280" s="854"/>
      <c r="AN280" s="854"/>
      <c r="AO280" s="854"/>
      <c r="AP280" s="1328">
        <v>-2.5999999999999999E-3</v>
      </c>
      <c r="AQ280" s="1328"/>
      <c r="AR280" s="1328"/>
      <c r="AS280" s="1328"/>
      <c r="AT280" s="856"/>
      <c r="AU280" s="856"/>
      <c r="AV280" s="856"/>
      <c r="AW280" s="856"/>
      <c r="AX280" s="854"/>
      <c r="AY280" s="854"/>
      <c r="AZ280" s="857" t="s">
        <v>111</v>
      </c>
      <c r="BA280" s="854"/>
      <c r="BB280" s="854"/>
      <c r="BC280" s="854"/>
      <c r="BD280" s="854"/>
      <c r="BE280" s="854"/>
      <c r="BF280" s="854"/>
      <c r="BG280" s="855"/>
      <c r="BH280" s="588"/>
      <c r="BI280" s="588"/>
      <c r="BJ280" s="588"/>
      <c r="BK280" s="588"/>
      <c r="BL280" s="588"/>
      <c r="BM280" s="589"/>
      <c r="BN280" s="590"/>
      <c r="BO280" s="590"/>
      <c r="BP280" s="590"/>
      <c r="BQ280" s="590"/>
      <c r="BR280" s="590"/>
      <c r="BS280" s="590"/>
      <c r="BT280" s="590"/>
      <c r="BU280" s="590"/>
      <c r="BV280" s="590"/>
      <c r="BW280" s="590"/>
      <c r="BX280" s="590"/>
      <c r="BY280" s="590"/>
      <c r="BZ280" s="590"/>
      <c r="CA280" s="590"/>
      <c r="CB280" s="590"/>
      <c r="CC280" s="590"/>
      <c r="CD280" s="590"/>
      <c r="CE280" s="590"/>
      <c r="CF280" s="590"/>
      <c r="CG280" s="590"/>
      <c r="CH280" s="590"/>
      <c r="CI280" s="590"/>
      <c r="CJ280" s="590"/>
      <c r="CK280" s="590"/>
      <c r="CL280" s="590"/>
      <c r="CM280" s="590"/>
      <c r="CN280" s="590"/>
      <c r="CO280" s="590"/>
      <c r="CP280" s="590"/>
      <c r="CQ280" s="590"/>
      <c r="CR280" s="590"/>
      <c r="CS280" s="590"/>
      <c r="CT280" s="590"/>
      <c r="CU280" s="590"/>
      <c r="CV280" s="590"/>
      <c r="CW280" s="591"/>
      <c r="CX280" s="590"/>
      <c r="CY280" s="590"/>
      <c r="CZ280" s="590"/>
      <c r="DA280" s="590"/>
      <c r="DB280" s="590"/>
      <c r="DC280" s="590"/>
      <c r="DD280" s="590"/>
      <c r="DE280" s="590"/>
      <c r="DF280" s="590"/>
      <c r="DG280" s="590"/>
      <c r="DH280" s="590"/>
      <c r="DI280" s="590"/>
      <c r="DJ280" s="590"/>
      <c r="DK280" s="590"/>
      <c r="DL280" s="590"/>
      <c r="DM280" s="590"/>
      <c r="DN280" s="590"/>
      <c r="DO280" s="590"/>
      <c r="DP280" s="590"/>
      <c r="DQ280" s="590"/>
      <c r="DR280" s="590"/>
      <c r="DS280" s="590"/>
      <c r="DT280" s="590"/>
      <c r="DU280" s="590"/>
      <c r="DV280" s="590"/>
      <c r="DW280" s="590"/>
      <c r="DX280" s="590"/>
      <c r="DY280" s="590"/>
      <c r="DZ280" s="590"/>
      <c r="EA280" s="590"/>
      <c r="EB280" s="590"/>
      <c r="EC280" s="590"/>
      <c r="ED280" s="590"/>
      <c r="EE280" s="590"/>
      <c r="EF280" s="590"/>
      <c r="EG280" s="590"/>
      <c r="EH280" s="590"/>
      <c r="EI280" s="590"/>
      <c r="EJ280" s="651"/>
      <c r="EK280" s="651"/>
    </row>
    <row r="281" spans="1:141" ht="12" customHeight="1" x14ac:dyDescent="0.15">
      <c r="A281" s="588"/>
      <c r="B281" s="852"/>
      <c r="C281" s="853"/>
      <c r="D281" s="854"/>
      <c r="E281" s="854"/>
      <c r="F281" s="854"/>
      <c r="G281" s="854"/>
      <c r="H281" s="854"/>
      <c r="I281" s="854"/>
      <c r="J281" s="854"/>
      <c r="K281" s="854"/>
      <c r="L281" s="854"/>
      <c r="M281" s="854"/>
      <c r="N281" s="854"/>
      <c r="O281" s="854"/>
      <c r="P281" s="854"/>
      <c r="Q281" s="854"/>
      <c r="R281" s="854"/>
      <c r="S281" s="854"/>
      <c r="T281" s="854"/>
      <c r="U281" s="854"/>
      <c r="V281" s="854"/>
      <c r="W281" s="854"/>
      <c r="X281" s="854"/>
      <c r="Y281" s="854"/>
      <c r="Z281" s="854"/>
      <c r="AA281" s="854"/>
      <c r="AB281" s="854"/>
      <c r="AC281" s="854"/>
      <c r="AD281" s="854"/>
      <c r="AE281" s="854"/>
      <c r="AF281" s="854"/>
      <c r="AG281" s="854"/>
      <c r="AH281" s="854"/>
      <c r="AI281" s="854"/>
      <c r="AJ281" s="854"/>
      <c r="AK281" s="854"/>
      <c r="AL281" s="854"/>
      <c r="AM281" s="854"/>
      <c r="AN281" s="854"/>
      <c r="AO281" s="854"/>
      <c r="AP281" s="854"/>
      <c r="AQ281" s="854"/>
      <c r="AR281" s="854"/>
      <c r="AS281" s="854"/>
      <c r="AT281" s="854"/>
      <c r="AU281" s="854"/>
      <c r="AV281" s="854"/>
      <c r="AW281" s="854"/>
      <c r="AX281" s="854"/>
      <c r="AY281" s="854"/>
      <c r="AZ281" s="854"/>
      <c r="BA281" s="854"/>
      <c r="BB281" s="854"/>
      <c r="BC281" s="854"/>
      <c r="BD281" s="854"/>
      <c r="BE281" s="854"/>
      <c r="BF281" s="854"/>
      <c r="BG281" s="855"/>
      <c r="BH281" s="588"/>
      <c r="BI281" s="588"/>
      <c r="BJ281" s="588"/>
      <c r="BK281" s="588"/>
      <c r="BL281" s="588"/>
      <c r="BM281" s="589"/>
      <c r="BN281" s="590"/>
      <c r="BO281" s="590"/>
      <c r="BP281" s="590"/>
      <c r="BQ281" s="590"/>
      <c r="BR281" s="590"/>
      <c r="BS281" s="590"/>
      <c r="BT281" s="590"/>
      <c r="BU281" s="590"/>
      <c r="BV281" s="590"/>
      <c r="BW281" s="590"/>
      <c r="BX281" s="590"/>
      <c r="BY281" s="590"/>
      <c r="BZ281" s="590"/>
      <c r="CA281" s="590"/>
      <c r="CB281" s="590"/>
      <c r="CC281" s="590"/>
      <c r="CD281" s="590"/>
      <c r="CE281" s="590"/>
      <c r="CF281" s="590"/>
      <c r="CG281" s="590"/>
      <c r="CH281" s="590"/>
      <c r="CI281" s="590"/>
      <c r="CJ281" s="590"/>
      <c r="CK281" s="590"/>
      <c r="CL281" s="590"/>
      <c r="CM281" s="590"/>
      <c r="CN281" s="590"/>
      <c r="CO281" s="590"/>
      <c r="CP281" s="590"/>
      <c r="CQ281" s="590"/>
      <c r="CR281" s="590"/>
      <c r="CS281" s="590"/>
      <c r="CT281" s="590"/>
      <c r="CU281" s="590"/>
      <c r="CV281" s="590"/>
      <c r="CW281" s="591"/>
      <c r="CX281" s="590"/>
      <c r="CY281" s="590"/>
      <c r="CZ281" s="590"/>
      <c r="DA281" s="590"/>
      <c r="DB281" s="590"/>
      <c r="DC281" s="590"/>
      <c r="DD281" s="590"/>
      <c r="DE281" s="590"/>
      <c r="DF281" s="590"/>
      <c r="DG281" s="590"/>
      <c r="DH281" s="590"/>
      <c r="DI281" s="590"/>
      <c r="DJ281" s="590"/>
      <c r="DK281" s="590"/>
      <c r="DL281" s="590"/>
      <c r="DM281" s="590"/>
      <c r="DN281" s="590"/>
      <c r="DO281" s="590"/>
      <c r="DP281" s="590"/>
      <c r="DQ281" s="590"/>
      <c r="DR281" s="590"/>
      <c r="DS281" s="590"/>
      <c r="DT281" s="590"/>
      <c r="DU281" s="590"/>
      <c r="DV281" s="590"/>
      <c r="DW281" s="590"/>
      <c r="DX281" s="590"/>
      <c r="DY281" s="590"/>
      <c r="DZ281" s="590"/>
      <c r="EA281" s="590"/>
      <c r="EB281" s="590"/>
      <c r="EC281" s="590"/>
      <c r="ED281" s="590"/>
      <c r="EE281" s="590"/>
      <c r="EF281" s="590"/>
      <c r="EG281" s="590"/>
      <c r="EH281" s="590"/>
      <c r="EI281" s="590"/>
      <c r="EJ281" s="651"/>
      <c r="EK281" s="651"/>
    </row>
    <row r="282" spans="1:141" ht="14" x14ac:dyDescent="0.15">
      <c r="A282" s="588"/>
      <c r="B282" s="849"/>
      <c r="C282" s="850"/>
      <c r="D282" s="850"/>
      <c r="E282" s="850"/>
      <c r="F282" s="850"/>
      <c r="G282" s="850"/>
      <c r="H282" s="850"/>
      <c r="I282" s="850"/>
      <c r="J282" s="850"/>
      <c r="K282" s="850"/>
      <c r="L282" s="850"/>
      <c r="M282" s="850"/>
      <c r="N282" s="850"/>
      <c r="O282" s="850"/>
      <c r="P282" s="850"/>
      <c r="Q282" s="850"/>
      <c r="R282" s="850"/>
      <c r="S282" s="850"/>
      <c r="T282" s="850"/>
      <c r="U282" s="850"/>
      <c r="V282" s="850"/>
      <c r="W282" s="850"/>
      <c r="X282" s="850"/>
      <c r="Y282" s="850"/>
      <c r="Z282" s="850"/>
      <c r="AA282" s="850"/>
      <c r="AB282" s="854"/>
      <c r="AC282" s="854"/>
      <c r="AD282" s="854"/>
      <c r="AE282" s="854"/>
      <c r="AF282" s="854"/>
      <c r="AG282" s="854"/>
      <c r="AH282" s="854"/>
      <c r="AI282" s="854"/>
      <c r="AJ282" s="854"/>
      <c r="AK282" s="854"/>
      <c r="AL282" s="854"/>
      <c r="AM282" s="854"/>
      <c r="AN282" s="854"/>
      <c r="AO282" s="854"/>
      <c r="AP282" s="854"/>
      <c r="AQ282" s="854"/>
      <c r="AR282" s="854"/>
      <c r="AS282" s="854"/>
      <c r="AT282" s="854"/>
      <c r="AU282" s="854"/>
      <c r="AV282" s="854"/>
      <c r="AW282" s="854"/>
      <c r="AX282" s="854"/>
      <c r="AY282" s="854"/>
      <c r="AZ282" s="854"/>
      <c r="BA282" s="854"/>
      <c r="BB282" s="854"/>
      <c r="BC282" s="854"/>
      <c r="BD282" s="854"/>
      <c r="BE282" s="854"/>
      <c r="BF282" s="854"/>
      <c r="BG282" s="855"/>
      <c r="BH282" s="588"/>
      <c r="BI282" s="588"/>
      <c r="BJ282" s="588"/>
      <c r="BK282" s="588"/>
      <c r="BL282" s="588"/>
      <c r="BM282" s="589"/>
      <c r="BN282" s="590"/>
      <c r="BO282" s="590"/>
      <c r="BP282" s="590"/>
      <c r="BQ282" s="590"/>
      <c r="BR282" s="590"/>
      <c r="BS282" s="590"/>
      <c r="BT282" s="590"/>
      <c r="BU282" s="590"/>
      <c r="BV282" s="590"/>
      <c r="BW282" s="590"/>
      <c r="BX282" s="590"/>
      <c r="BY282" s="590"/>
      <c r="BZ282" s="590"/>
      <c r="CA282" s="590"/>
      <c r="CB282" s="590"/>
      <c r="CC282" s="590"/>
      <c r="CD282" s="590"/>
      <c r="CE282" s="590"/>
      <c r="CF282" s="590"/>
      <c r="CG282" s="590"/>
      <c r="CH282" s="590"/>
      <c r="CI282" s="590"/>
      <c r="CJ282" s="590"/>
      <c r="CK282" s="590"/>
      <c r="CL282" s="590"/>
      <c r="CM282" s="590"/>
      <c r="CN282" s="590"/>
      <c r="CO282" s="590"/>
      <c r="CP282" s="590"/>
      <c r="CQ282" s="590"/>
      <c r="CR282" s="590"/>
      <c r="CS282" s="590"/>
      <c r="CT282" s="590"/>
      <c r="CU282" s="590"/>
      <c r="CV282" s="590"/>
      <c r="CW282" s="591"/>
      <c r="CX282" s="590"/>
      <c r="CY282" s="590"/>
      <c r="CZ282" s="590"/>
      <c r="DA282" s="590"/>
      <c r="DB282" s="590"/>
      <c r="DC282" s="590"/>
      <c r="DD282" s="590"/>
      <c r="DE282" s="590"/>
      <c r="DF282" s="590"/>
      <c r="DG282" s="590"/>
      <c r="DH282" s="590"/>
      <c r="DI282" s="590"/>
      <c r="DJ282" s="590"/>
      <c r="DK282" s="590"/>
      <c r="DL282" s="590"/>
      <c r="DM282" s="590"/>
      <c r="DN282" s="590"/>
      <c r="DO282" s="590"/>
      <c r="DP282" s="590"/>
      <c r="DQ282" s="590"/>
      <c r="DR282" s="590"/>
      <c r="DS282" s="590"/>
      <c r="DT282" s="590"/>
      <c r="DU282" s="590"/>
      <c r="DV282" s="590"/>
      <c r="DW282" s="590"/>
      <c r="DX282" s="590"/>
      <c r="DY282" s="590"/>
      <c r="DZ282" s="590"/>
      <c r="EA282" s="590"/>
      <c r="EB282" s="590"/>
      <c r="EC282" s="590"/>
      <c r="ED282" s="590"/>
      <c r="EE282" s="590"/>
      <c r="EF282" s="590"/>
      <c r="EG282" s="590"/>
      <c r="EH282" s="590"/>
      <c r="EI282" s="590"/>
      <c r="EJ282" s="651"/>
      <c r="EK282" s="651"/>
    </row>
    <row r="283" spans="1:141" ht="14" x14ac:dyDescent="0.15">
      <c r="A283" s="588"/>
      <c r="B283" s="849"/>
      <c r="C283" s="850"/>
      <c r="D283" s="1329" t="s">
        <v>169</v>
      </c>
      <c r="E283" s="1329"/>
      <c r="F283" s="1329"/>
      <c r="G283" s="1329"/>
      <c r="H283" s="1329"/>
      <c r="I283" s="850"/>
      <c r="J283" s="850" t="s">
        <v>889</v>
      </c>
      <c r="K283" s="850"/>
      <c r="L283" s="850"/>
      <c r="M283" s="850"/>
      <c r="N283" s="850"/>
      <c r="O283" s="850"/>
      <c r="P283" s="850"/>
      <c r="Q283" s="850"/>
      <c r="R283" s="850"/>
      <c r="S283" s="850"/>
      <c r="T283" s="850"/>
      <c r="U283" s="850"/>
      <c r="V283" s="850"/>
      <c r="W283" s="850"/>
      <c r="X283" s="850"/>
      <c r="Y283" s="850"/>
      <c r="Z283" s="850"/>
      <c r="AA283" s="850"/>
      <c r="AB283" s="854"/>
      <c r="AC283" s="854"/>
      <c r="AD283" s="854"/>
      <c r="AE283" s="854"/>
      <c r="AF283" s="854"/>
      <c r="AG283" s="854"/>
      <c r="AH283" s="861"/>
      <c r="AI283" s="854"/>
      <c r="AJ283" s="854"/>
      <c r="AK283" s="854"/>
      <c r="AL283" s="854"/>
      <c r="AM283" s="854"/>
      <c r="AN283" s="854"/>
      <c r="AO283" s="854"/>
      <c r="AP283" s="854"/>
      <c r="AQ283" s="854"/>
      <c r="AR283" s="854"/>
      <c r="AS283" s="854"/>
      <c r="AT283" s="854"/>
      <c r="AU283" s="854"/>
      <c r="AV283" s="854"/>
      <c r="AW283" s="854"/>
      <c r="AX283" s="854"/>
      <c r="AY283" s="854"/>
      <c r="AZ283" s="854"/>
      <c r="BA283" s="854"/>
      <c r="BB283" s="854"/>
      <c r="BC283" s="854"/>
      <c r="BD283" s="854"/>
      <c r="BE283" s="854"/>
      <c r="BF283" s="854"/>
      <c r="BG283" s="855"/>
      <c r="BH283" s="588"/>
      <c r="BI283" s="588"/>
      <c r="BJ283" s="588"/>
      <c r="BK283" s="588"/>
      <c r="BL283" s="588"/>
      <c r="BM283" s="589"/>
      <c r="BN283" s="590"/>
      <c r="BO283" s="590"/>
      <c r="BP283" s="590"/>
      <c r="BQ283" s="590"/>
      <c r="BR283" s="590"/>
      <c r="BS283" s="590"/>
      <c r="BT283" s="590"/>
      <c r="BU283" s="590"/>
      <c r="BV283" s="590"/>
      <c r="BW283" s="590"/>
      <c r="BX283" s="590"/>
      <c r="BY283" s="590"/>
      <c r="BZ283" s="590"/>
      <c r="CA283" s="590"/>
      <c r="CB283" s="590"/>
      <c r="CC283" s="590"/>
      <c r="CD283" s="590"/>
      <c r="CE283" s="590"/>
      <c r="CF283" s="590"/>
      <c r="CG283" s="590"/>
      <c r="CH283" s="590"/>
      <c r="CI283" s="590"/>
      <c r="CJ283" s="590"/>
      <c r="CK283" s="590"/>
      <c r="CL283" s="590"/>
      <c r="CM283" s="590"/>
      <c r="CN283" s="590"/>
      <c r="CO283" s="590"/>
      <c r="CP283" s="590"/>
      <c r="CQ283" s="590"/>
      <c r="CR283" s="590"/>
      <c r="CS283" s="590"/>
      <c r="CT283" s="590"/>
      <c r="CU283" s="590"/>
      <c r="CV283" s="590"/>
      <c r="CW283" s="591"/>
      <c r="CX283" s="590"/>
      <c r="CY283" s="590"/>
      <c r="CZ283" s="590"/>
      <c r="DA283" s="590"/>
      <c r="DB283" s="590"/>
      <c r="DC283" s="590"/>
      <c r="DD283" s="590"/>
      <c r="DE283" s="590"/>
      <c r="DF283" s="590"/>
      <c r="DG283" s="590"/>
      <c r="DH283" s="590"/>
      <c r="DI283" s="590"/>
      <c r="DJ283" s="590"/>
      <c r="DK283" s="590"/>
      <c r="DL283" s="590"/>
      <c r="DM283" s="590"/>
      <c r="DN283" s="590"/>
      <c r="DO283" s="590"/>
      <c r="DP283" s="590"/>
      <c r="DQ283" s="590"/>
      <c r="DR283" s="590"/>
      <c r="DS283" s="590"/>
      <c r="DT283" s="590"/>
      <c r="DU283" s="590"/>
      <c r="DV283" s="590"/>
      <c r="DW283" s="590"/>
      <c r="DX283" s="590"/>
      <c r="DY283" s="590"/>
      <c r="DZ283" s="590"/>
      <c r="EA283" s="590"/>
      <c r="EB283" s="590"/>
      <c r="EC283" s="590"/>
      <c r="ED283" s="590"/>
      <c r="EE283" s="590"/>
      <c r="EF283" s="590"/>
      <c r="EG283" s="590"/>
      <c r="EH283" s="590"/>
      <c r="EI283" s="590"/>
      <c r="EJ283" s="651"/>
      <c r="EK283" s="651"/>
    </row>
    <row r="284" spans="1:141" ht="17.25" customHeight="1" thickBot="1" x14ac:dyDescent="0.2">
      <c r="A284" s="588"/>
      <c r="B284" s="849"/>
      <c r="C284" s="850"/>
      <c r="D284" s="850"/>
      <c r="E284" s="850"/>
      <c r="F284" s="850"/>
      <c r="G284" s="862" t="s">
        <v>289</v>
      </c>
      <c r="H284" s="850"/>
      <c r="I284" s="850"/>
      <c r="J284" s="850"/>
      <c r="K284" s="850"/>
      <c r="L284" s="850"/>
      <c r="M284" s="850"/>
      <c r="N284" s="850"/>
      <c r="O284" s="850"/>
      <c r="P284" s="850"/>
      <c r="Q284" s="850"/>
      <c r="R284" s="850"/>
      <c r="S284" s="850"/>
      <c r="T284" s="850"/>
      <c r="U284" s="850"/>
      <c r="V284" s="850"/>
      <c r="W284" s="850"/>
      <c r="X284" s="850"/>
      <c r="Y284" s="850"/>
      <c r="Z284" s="850"/>
      <c r="AA284" s="850"/>
      <c r="AB284" s="854"/>
      <c r="AC284" s="854"/>
      <c r="AD284" s="854"/>
      <c r="AE284" s="854"/>
      <c r="AF284" s="854"/>
      <c r="AG284" s="854"/>
      <c r="AH284" s="854"/>
      <c r="AI284" s="854"/>
      <c r="AJ284" s="854"/>
      <c r="AK284" s="854"/>
      <c r="AL284" s="854"/>
      <c r="AM284" s="854"/>
      <c r="AN284" s="854"/>
      <c r="AO284" s="854"/>
      <c r="AP284" s="854"/>
      <c r="AQ284" s="854"/>
      <c r="AR284" s="854"/>
      <c r="AS284" s="854"/>
      <c r="AT284" s="854"/>
      <c r="AU284" s="854"/>
      <c r="AV284" s="854"/>
      <c r="AW284" s="854"/>
      <c r="AX284" s="854"/>
      <c r="AY284" s="854"/>
      <c r="AZ284" s="854"/>
      <c r="BA284" s="854"/>
      <c r="BB284" s="854"/>
      <c r="BC284" s="854"/>
      <c r="BD284" s="854"/>
      <c r="BE284" s="854"/>
      <c r="BF284" s="854"/>
      <c r="BG284" s="855"/>
      <c r="BH284" s="588"/>
      <c r="BI284" s="588"/>
      <c r="BJ284" s="588"/>
      <c r="BK284" s="588"/>
      <c r="BL284" s="588"/>
      <c r="BM284" s="865"/>
      <c r="BN284" s="866"/>
      <c r="BO284" s="866"/>
      <c r="BP284" s="866"/>
      <c r="BQ284" s="866"/>
      <c r="BR284" s="866"/>
      <c r="BS284" s="866"/>
      <c r="BT284" s="866"/>
      <c r="BU284" s="866"/>
      <c r="BV284" s="866"/>
      <c r="BW284" s="866"/>
      <c r="BX284" s="866"/>
      <c r="BY284" s="866"/>
      <c r="BZ284" s="866"/>
      <c r="CA284" s="866"/>
      <c r="CB284" s="866"/>
      <c r="CC284" s="866"/>
      <c r="CD284" s="866"/>
      <c r="CE284" s="866"/>
      <c r="CF284" s="866"/>
      <c r="CG284" s="866"/>
      <c r="CH284" s="866"/>
      <c r="CI284" s="866"/>
      <c r="CJ284" s="866"/>
      <c r="CK284" s="866"/>
      <c r="CL284" s="866"/>
      <c r="CM284" s="866"/>
      <c r="CN284" s="866"/>
      <c r="CO284" s="866"/>
      <c r="CP284" s="866"/>
      <c r="CQ284" s="866"/>
      <c r="CR284" s="866"/>
      <c r="CS284" s="866"/>
      <c r="CT284" s="866"/>
      <c r="CU284" s="866"/>
      <c r="CV284" s="866"/>
      <c r="CW284" s="867"/>
      <c r="CX284" s="590"/>
      <c r="CY284" s="590"/>
      <c r="CZ284" s="590"/>
      <c r="DA284" s="590"/>
      <c r="DB284" s="590"/>
      <c r="DC284" s="590"/>
      <c r="DD284" s="590"/>
      <c r="DE284" s="590"/>
      <c r="DF284" s="590"/>
      <c r="DG284" s="590"/>
      <c r="DH284" s="590"/>
      <c r="DI284" s="590"/>
      <c r="DJ284" s="590"/>
      <c r="DK284" s="590"/>
      <c r="DL284" s="590"/>
      <c r="DM284" s="590"/>
      <c r="DN284" s="590"/>
      <c r="DO284" s="590"/>
      <c r="DP284" s="590"/>
      <c r="DQ284" s="590"/>
      <c r="DR284" s="590"/>
      <c r="DS284" s="590"/>
      <c r="DT284" s="590"/>
      <c r="DU284" s="590"/>
      <c r="DV284" s="590"/>
      <c r="DW284" s="590"/>
      <c r="DX284" s="590"/>
      <c r="DY284" s="590"/>
      <c r="DZ284" s="590"/>
      <c r="EA284" s="590"/>
      <c r="EB284" s="590"/>
      <c r="EC284" s="590"/>
      <c r="ED284" s="590"/>
      <c r="EE284" s="590"/>
      <c r="EF284" s="590"/>
      <c r="EG284" s="590"/>
      <c r="EH284" s="590"/>
      <c r="EI284" s="590"/>
      <c r="EJ284" s="651"/>
      <c r="EK284" s="651"/>
    </row>
    <row r="285" spans="1:141" ht="14.25" customHeight="1" thickBot="1" x14ac:dyDescent="0.2">
      <c r="A285" s="588"/>
      <c r="B285" s="849"/>
      <c r="C285" s="850"/>
      <c r="D285" s="850"/>
      <c r="F285" s="862"/>
      <c r="G285" s="862"/>
      <c r="H285" s="862"/>
      <c r="I285" s="862"/>
      <c r="J285" s="862"/>
      <c r="K285" s="862"/>
      <c r="L285" s="862"/>
      <c r="M285" s="862"/>
      <c r="N285" s="862"/>
      <c r="O285" s="862"/>
      <c r="P285" s="862"/>
      <c r="Q285" s="862"/>
      <c r="R285" s="862"/>
      <c r="S285" s="862"/>
      <c r="T285" s="862"/>
      <c r="U285" s="862"/>
      <c r="V285" s="862"/>
      <c r="W285" s="862"/>
      <c r="X285" s="862"/>
      <c r="Y285" s="862"/>
      <c r="Z285" s="862"/>
      <c r="AA285" s="862"/>
      <c r="AB285" s="854"/>
      <c r="AC285" s="854"/>
      <c r="AD285" s="854"/>
      <c r="AE285" s="854"/>
      <c r="AF285" s="854"/>
      <c r="AG285" s="854"/>
      <c r="AH285" s="854"/>
      <c r="AI285" s="854"/>
      <c r="AJ285" s="854"/>
      <c r="AK285" s="854"/>
      <c r="AL285" s="854"/>
      <c r="AM285" s="854"/>
      <c r="AN285" s="854"/>
      <c r="AO285" s="854"/>
      <c r="AP285" s="854"/>
      <c r="AQ285" s="854"/>
      <c r="AR285" s="854"/>
      <c r="AS285" s="854"/>
      <c r="AT285" s="854"/>
      <c r="AU285" s="854"/>
      <c r="AV285" s="854"/>
      <c r="AW285" s="854"/>
      <c r="AX285" s="854"/>
      <c r="AY285" s="854"/>
      <c r="AZ285" s="854"/>
      <c r="BA285" s="854"/>
      <c r="BB285" s="854"/>
      <c r="BC285" s="854"/>
      <c r="BD285" s="854"/>
      <c r="BE285" s="854"/>
      <c r="BF285" s="854"/>
      <c r="BG285" s="855"/>
      <c r="BH285" s="588"/>
      <c r="BI285" s="588"/>
      <c r="BJ285" s="588"/>
      <c r="BK285" s="588"/>
      <c r="BL285" s="588"/>
      <c r="BM285" s="1402" t="s">
        <v>522</v>
      </c>
      <c r="BN285" s="1403"/>
      <c r="BO285" s="1403"/>
      <c r="BP285" s="1403"/>
      <c r="BQ285" s="1403"/>
      <c r="BR285" s="1403"/>
      <c r="BS285" s="1403"/>
      <c r="BT285" s="1403"/>
      <c r="BU285" s="1403"/>
      <c r="BV285" s="1403"/>
      <c r="BW285" s="1403"/>
      <c r="BX285" s="1403"/>
      <c r="BY285" s="1403"/>
      <c r="BZ285" s="1403"/>
      <c r="CA285" s="1403"/>
      <c r="CB285" s="1403"/>
      <c r="CC285" s="1403"/>
      <c r="CD285" s="1403"/>
      <c r="CE285" s="1403"/>
      <c r="CF285" s="1403"/>
      <c r="CG285" s="1403"/>
      <c r="CH285" s="1403"/>
      <c r="CI285" s="1403"/>
      <c r="CJ285" s="1403"/>
      <c r="CK285" s="1403"/>
      <c r="CL285" s="1403"/>
      <c r="CM285" s="1403"/>
      <c r="CN285" s="1403"/>
      <c r="CO285" s="1403"/>
      <c r="CP285" s="1403"/>
      <c r="CQ285" s="1403"/>
      <c r="CR285" s="1403"/>
      <c r="CS285" s="1403"/>
      <c r="CT285" s="1403"/>
      <c r="CU285" s="1403"/>
      <c r="CV285" s="1403"/>
      <c r="CW285" s="1404"/>
      <c r="CX285" s="590"/>
      <c r="CY285" s="590"/>
      <c r="CZ285" s="590"/>
      <c r="DA285" s="590"/>
      <c r="DB285" s="590"/>
      <c r="DC285" s="590"/>
      <c r="DD285" s="590"/>
      <c r="DE285" s="590"/>
      <c r="DF285" s="590"/>
      <c r="DG285" s="590"/>
      <c r="DH285" s="590"/>
      <c r="DI285" s="590"/>
      <c r="DJ285" s="590"/>
      <c r="DK285" s="590"/>
      <c r="DL285" s="590"/>
      <c r="DM285" s="590"/>
      <c r="DN285" s="590"/>
      <c r="DO285" s="590"/>
      <c r="DP285" s="590"/>
      <c r="DQ285" s="590"/>
      <c r="DR285" s="590"/>
      <c r="DS285" s="590"/>
      <c r="DT285" s="590"/>
      <c r="DU285" s="590"/>
      <c r="DV285" s="590"/>
      <c r="DW285" s="590"/>
      <c r="DX285" s="590"/>
      <c r="DY285" s="590"/>
      <c r="DZ285" s="590"/>
      <c r="EA285" s="590"/>
      <c r="EB285" s="590"/>
      <c r="EC285" s="590"/>
      <c r="ED285" s="590"/>
      <c r="EE285" s="590"/>
      <c r="EF285" s="590"/>
      <c r="EG285" s="590"/>
      <c r="EH285" s="590"/>
      <c r="EI285" s="590"/>
      <c r="EJ285" s="651"/>
      <c r="EK285" s="651"/>
    </row>
    <row r="286" spans="1:141" ht="21" customHeight="1" x14ac:dyDescent="0.15">
      <c r="A286" s="588"/>
      <c r="B286" s="1341"/>
      <c r="C286" s="1342"/>
      <c r="D286" s="1342"/>
      <c r="E286" s="1342"/>
      <c r="F286" s="1342"/>
      <c r="G286" s="1000" t="s">
        <v>273</v>
      </c>
      <c r="H286" s="1000"/>
      <c r="I286" s="1000"/>
      <c r="J286" s="1000"/>
      <c r="K286" s="1000"/>
      <c r="L286" s="1000"/>
      <c r="M286" s="850"/>
      <c r="N286" s="850"/>
      <c r="O286" s="850"/>
      <c r="P286" s="850"/>
      <c r="Q286" s="850"/>
      <c r="R286" s="850"/>
      <c r="S286" s="850"/>
      <c r="T286" s="850"/>
      <c r="U286" s="850"/>
      <c r="V286" s="850"/>
      <c r="W286" s="850"/>
      <c r="X286" s="850"/>
      <c r="Y286" s="850"/>
      <c r="Z286" s="850"/>
      <c r="AA286" s="850"/>
      <c r="AB286" s="854"/>
      <c r="AC286" s="854"/>
      <c r="AD286" s="854"/>
      <c r="AE286" s="854"/>
      <c r="AF286" s="854"/>
      <c r="AG286" s="854"/>
      <c r="AH286" s="854"/>
      <c r="AI286" s="854"/>
      <c r="AJ286" s="854"/>
      <c r="AK286" s="854"/>
      <c r="AL286" s="854"/>
      <c r="AM286" s="854"/>
      <c r="AN286" s="854"/>
      <c r="AO286" s="854"/>
      <c r="AP286" s="1340" t="str">
        <f>IF(BV287,BZ288,"")</f>
        <v/>
      </c>
      <c r="AQ286" s="1340"/>
      <c r="AR286" s="1340"/>
      <c r="AS286" s="1340"/>
      <c r="AT286" s="1340"/>
      <c r="AU286" s="1340"/>
      <c r="AV286" s="1340"/>
      <c r="AW286" s="1340"/>
      <c r="AX286" s="1340"/>
      <c r="AY286" s="1340"/>
      <c r="AZ286" s="1340"/>
      <c r="BA286" s="1340"/>
      <c r="BB286" s="1340"/>
      <c r="BC286" s="1340"/>
      <c r="BD286" s="1340"/>
      <c r="BE286" s="1340"/>
      <c r="BF286" s="1340"/>
      <c r="BG286" s="855"/>
      <c r="BH286" s="588"/>
      <c r="BI286" s="588"/>
      <c r="BJ286" s="588"/>
      <c r="BK286" s="588"/>
      <c r="BL286" s="588"/>
      <c r="BM286" s="589"/>
      <c r="BN286" s="590"/>
      <c r="BO286" s="590"/>
      <c r="BP286" s="590"/>
      <c r="BQ286" s="590"/>
      <c r="BR286" s="590"/>
      <c r="BS286" s="590"/>
      <c r="BT286" s="590"/>
      <c r="BU286" s="590"/>
      <c r="BV286" s="590"/>
      <c r="BW286" s="590"/>
      <c r="BX286" s="590"/>
      <c r="BY286" s="590"/>
      <c r="BZ286" s="590"/>
      <c r="CA286" s="590"/>
      <c r="CB286" s="590"/>
      <c r="CC286" s="590"/>
      <c r="CD286" s="590"/>
      <c r="CE286" s="590"/>
      <c r="CF286" s="590"/>
      <c r="CG286" s="590"/>
      <c r="CH286" s="590"/>
      <c r="CI286" s="590"/>
      <c r="CJ286" s="590"/>
      <c r="CK286" s="590"/>
      <c r="CL286" s="590"/>
      <c r="CM286" s="590"/>
      <c r="CN286" s="590"/>
      <c r="CO286" s="590"/>
      <c r="CP286" s="590"/>
      <c r="CQ286" s="590"/>
      <c r="CR286" s="590"/>
      <c r="CS286" s="590"/>
      <c r="CT286" s="590"/>
      <c r="CU286" s="590"/>
      <c r="CV286" s="590"/>
      <c r="CW286" s="591"/>
      <c r="CX286" s="590"/>
      <c r="CY286" s="590"/>
      <c r="CZ286" s="590"/>
      <c r="DA286" s="590"/>
      <c r="DB286" s="590"/>
      <c r="DC286" s="590"/>
      <c r="DD286" s="590"/>
      <c r="DE286" s="590"/>
      <c r="DF286" s="590"/>
      <c r="DG286" s="590"/>
      <c r="DH286" s="590"/>
      <c r="DI286" s="590"/>
      <c r="DJ286" s="590"/>
      <c r="DK286" s="590"/>
      <c r="DL286" s="590"/>
      <c r="DM286" s="590"/>
      <c r="DN286" s="590"/>
      <c r="DO286" s="590"/>
      <c r="DP286" s="590"/>
      <c r="DQ286" s="590"/>
      <c r="DR286" s="590"/>
      <c r="DS286" s="590"/>
      <c r="DT286" s="590"/>
      <c r="DU286" s="590"/>
      <c r="DV286" s="590"/>
      <c r="DW286" s="590"/>
      <c r="DX286" s="590"/>
      <c r="DY286" s="590"/>
      <c r="DZ286" s="590"/>
      <c r="EA286" s="590"/>
      <c r="EB286" s="590"/>
      <c r="EC286" s="590"/>
      <c r="ED286" s="590"/>
      <c r="EE286" s="590"/>
      <c r="EF286" s="590"/>
      <c r="EG286" s="590"/>
      <c r="EH286" s="590"/>
      <c r="EI286" s="590"/>
      <c r="EJ286" s="651"/>
      <c r="EK286" s="651"/>
    </row>
    <row r="287" spans="1:141" ht="10.5" customHeight="1" x14ac:dyDescent="0.15">
      <c r="A287" s="588"/>
      <c r="B287" s="863"/>
      <c r="C287" s="864"/>
      <c r="D287" s="864"/>
      <c r="E287" s="864"/>
      <c r="F287" s="864"/>
      <c r="G287" s="1000" t="s">
        <v>274</v>
      </c>
      <c r="H287" s="1000"/>
      <c r="I287" s="1000"/>
      <c r="J287" s="1000"/>
      <c r="K287" s="1000"/>
      <c r="L287" s="1000"/>
      <c r="M287" s="850"/>
      <c r="N287" s="850"/>
      <c r="O287" s="850"/>
      <c r="P287" s="850"/>
      <c r="Q287" s="850"/>
      <c r="R287" s="850"/>
      <c r="S287" s="850"/>
      <c r="T287" s="850"/>
      <c r="U287" s="850"/>
      <c r="V287" s="850"/>
      <c r="W287" s="850"/>
      <c r="X287" s="850"/>
      <c r="Y287" s="850"/>
      <c r="Z287" s="850"/>
      <c r="AA287" s="850"/>
      <c r="AB287" s="854"/>
      <c r="AC287" s="854"/>
      <c r="AD287" s="854"/>
      <c r="AE287" s="854"/>
      <c r="AF287" s="854"/>
      <c r="AG287" s="854"/>
      <c r="AH287" s="854"/>
      <c r="AI287" s="854"/>
      <c r="AJ287" s="854"/>
      <c r="AK287" s="854"/>
      <c r="AL287" s="854"/>
      <c r="AM287" s="854"/>
      <c r="AN287" s="854"/>
      <c r="AO287" s="854"/>
      <c r="AP287" s="1340"/>
      <c r="AQ287" s="1340"/>
      <c r="AR287" s="1340"/>
      <c r="AS287" s="1340"/>
      <c r="AT287" s="1340"/>
      <c r="AU287" s="1340"/>
      <c r="AV287" s="1340"/>
      <c r="AW287" s="1340"/>
      <c r="AX287" s="1340"/>
      <c r="AY287" s="1340"/>
      <c r="AZ287" s="1340"/>
      <c r="BA287" s="1340"/>
      <c r="BB287" s="1340"/>
      <c r="BC287" s="1340"/>
      <c r="BD287" s="1340"/>
      <c r="BE287" s="1340"/>
      <c r="BF287" s="1340"/>
      <c r="BG287" s="855"/>
      <c r="BH287" s="588"/>
      <c r="BI287" s="588"/>
      <c r="BJ287" s="588"/>
      <c r="BK287" s="588"/>
      <c r="BL287" s="588"/>
      <c r="BM287" s="589"/>
      <c r="BN287" s="590"/>
      <c r="BO287" s="868"/>
      <c r="BP287" s="868"/>
      <c r="BQ287" s="868"/>
      <c r="BR287" s="868"/>
      <c r="BS287" s="868"/>
      <c r="BT287" s="868"/>
      <c r="BU287" s="868"/>
      <c r="BV287" s="869" t="b">
        <f>AND(BV291,BV295)</f>
        <v>0</v>
      </c>
      <c r="BW287" s="868"/>
      <c r="BX287" s="868"/>
      <c r="BY287" s="868"/>
      <c r="BZ287" s="868"/>
      <c r="CA287" s="868"/>
      <c r="CB287" s="868"/>
      <c r="CC287" s="868"/>
      <c r="CD287" s="868"/>
      <c r="CE287" s="868"/>
      <c r="CF287" s="868"/>
      <c r="CG287" s="868"/>
      <c r="CH287" s="868"/>
      <c r="CI287" s="868"/>
      <c r="CJ287" s="868"/>
      <c r="CK287" s="868"/>
      <c r="CL287" s="868"/>
      <c r="CM287" s="868"/>
      <c r="CN287" s="868"/>
      <c r="CO287" s="868"/>
      <c r="CP287" s="868"/>
      <c r="CQ287" s="868"/>
      <c r="CR287" s="868"/>
      <c r="CS287" s="868"/>
      <c r="CT287" s="868"/>
      <c r="CU287" s="868"/>
      <c r="CV287" s="868"/>
      <c r="CW287" s="870"/>
      <c r="CX287" s="868"/>
      <c r="CY287" s="868"/>
      <c r="CZ287" s="868"/>
      <c r="DA287" s="868"/>
      <c r="DB287" s="868"/>
      <c r="DC287" s="590"/>
      <c r="DD287" s="590"/>
      <c r="DE287" s="590"/>
      <c r="DF287" s="590"/>
      <c r="DG287" s="590"/>
      <c r="DH287" s="590"/>
      <c r="DI287" s="590"/>
      <c r="DJ287" s="590"/>
      <c r="DK287" s="590"/>
      <c r="DL287" s="590"/>
      <c r="DM287" s="590"/>
      <c r="DN287" s="590"/>
      <c r="DO287" s="590"/>
      <c r="DP287" s="590"/>
      <c r="DQ287" s="590"/>
      <c r="DR287" s="590"/>
      <c r="DS287" s="590"/>
      <c r="DT287" s="590"/>
      <c r="DU287" s="590"/>
      <c r="DV287" s="590"/>
      <c r="DW287" s="590"/>
      <c r="DX287" s="590"/>
      <c r="DY287" s="590"/>
      <c r="DZ287" s="590"/>
      <c r="EA287" s="590"/>
      <c r="EB287" s="590"/>
      <c r="EC287" s="590"/>
      <c r="ED287" s="590"/>
      <c r="EE287" s="590"/>
      <c r="EF287" s="590"/>
      <c r="EG287" s="590"/>
      <c r="EH287" s="590"/>
      <c r="EI287" s="590"/>
      <c r="EJ287" s="651"/>
      <c r="EK287" s="651"/>
    </row>
    <row r="288" spans="1:141" ht="21.75" customHeight="1" x14ac:dyDescent="0.15">
      <c r="A288" s="588"/>
      <c r="B288" s="1341"/>
      <c r="C288" s="1342"/>
      <c r="D288" s="1342"/>
      <c r="E288" s="1342"/>
      <c r="F288" s="1342"/>
      <c r="G288" s="1000" t="s">
        <v>275</v>
      </c>
      <c r="H288" s="1000"/>
      <c r="I288" s="1000"/>
      <c r="J288" s="1000"/>
      <c r="K288" s="1000"/>
      <c r="L288" s="1000"/>
      <c r="M288" s="850"/>
      <c r="N288" s="850"/>
      <c r="O288" s="850"/>
      <c r="P288" s="850"/>
      <c r="Q288" s="850"/>
      <c r="R288" s="850"/>
      <c r="S288" s="850"/>
      <c r="T288" s="850"/>
      <c r="U288" s="850"/>
      <c r="V288" s="850"/>
      <c r="W288" s="850"/>
      <c r="X288" s="850"/>
      <c r="Y288" s="850"/>
      <c r="Z288" s="850"/>
      <c r="AA288" s="850"/>
      <c r="AB288" s="854"/>
      <c r="AC288" s="854"/>
      <c r="AD288" s="854"/>
      <c r="AE288" s="854"/>
      <c r="AF288" s="854"/>
      <c r="AG288" s="854"/>
      <c r="AH288" s="854"/>
      <c r="AI288" s="854"/>
      <c r="AJ288" s="854"/>
      <c r="AK288" s="854"/>
      <c r="AL288" s="854"/>
      <c r="AM288" s="854"/>
      <c r="AN288" s="854"/>
      <c r="AO288" s="854"/>
      <c r="AP288" s="1340"/>
      <c r="AQ288" s="1340"/>
      <c r="AR288" s="1340"/>
      <c r="AS288" s="1340"/>
      <c r="AT288" s="1340"/>
      <c r="AU288" s="1340"/>
      <c r="AV288" s="1340"/>
      <c r="AW288" s="1340"/>
      <c r="AX288" s="1340"/>
      <c r="AY288" s="1340"/>
      <c r="AZ288" s="1340"/>
      <c r="BA288" s="1340"/>
      <c r="BB288" s="1340"/>
      <c r="BC288" s="1340"/>
      <c r="BD288" s="1340"/>
      <c r="BE288" s="1340"/>
      <c r="BF288" s="1340"/>
      <c r="BG288" s="855"/>
      <c r="BH288" s="588"/>
      <c r="BI288" s="588"/>
      <c r="BJ288" s="588"/>
      <c r="BK288" s="588"/>
      <c r="BL288" s="588"/>
      <c r="BM288" s="589"/>
      <c r="BN288" s="590"/>
      <c r="BO288" s="868"/>
      <c r="BP288" s="868"/>
      <c r="BQ288" s="868"/>
      <c r="BR288" s="868"/>
      <c r="BS288" s="868"/>
      <c r="BT288" s="868"/>
      <c r="BU288" s="868"/>
      <c r="BV288" s="871" t="b">
        <v>0</v>
      </c>
      <c r="BW288" s="868"/>
      <c r="BX288" s="868"/>
      <c r="BY288" s="868"/>
      <c r="BZ288" s="743" t="s">
        <v>167</v>
      </c>
      <c r="CA288" s="869"/>
      <c r="CB288" s="869"/>
      <c r="CC288" s="869"/>
      <c r="CD288" s="869"/>
      <c r="CE288" s="869"/>
      <c r="CF288" s="869"/>
      <c r="CG288" s="869"/>
      <c r="CH288" s="868"/>
      <c r="CI288" s="868"/>
      <c r="CJ288" s="868"/>
      <c r="CK288" s="868"/>
      <c r="CL288" s="868"/>
      <c r="CM288" s="868"/>
      <c r="CN288" s="868"/>
      <c r="CO288" s="868"/>
      <c r="CP288" s="868"/>
      <c r="CQ288" s="868"/>
      <c r="CR288" s="868"/>
      <c r="CS288" s="868"/>
      <c r="CT288" s="868"/>
      <c r="CU288" s="868"/>
      <c r="CV288" s="868"/>
      <c r="CW288" s="870"/>
      <c r="CX288" s="868"/>
      <c r="CY288" s="868"/>
      <c r="CZ288" s="868"/>
      <c r="DA288" s="868"/>
      <c r="DB288" s="868"/>
      <c r="DC288" s="590"/>
      <c r="DD288" s="590"/>
      <c r="DE288" s="590"/>
      <c r="DF288" s="590"/>
      <c r="DG288" s="590"/>
      <c r="DH288" s="590"/>
      <c r="DI288" s="590"/>
      <c r="DJ288" s="590"/>
      <c r="DK288" s="590"/>
      <c r="DL288" s="590"/>
      <c r="DM288" s="590"/>
      <c r="DN288" s="590"/>
      <c r="DO288" s="590"/>
      <c r="DP288" s="590"/>
      <c r="DQ288" s="590"/>
      <c r="DR288" s="590"/>
      <c r="DS288" s="590"/>
      <c r="DT288" s="590"/>
      <c r="DU288" s="590"/>
      <c r="DV288" s="590"/>
      <c r="DW288" s="590"/>
      <c r="DX288" s="590"/>
      <c r="DY288" s="590"/>
      <c r="DZ288" s="590"/>
      <c r="EA288" s="590"/>
      <c r="EB288" s="590"/>
      <c r="EC288" s="590"/>
      <c r="ED288" s="590"/>
      <c r="EE288" s="590"/>
      <c r="EF288" s="590"/>
      <c r="EG288" s="590"/>
      <c r="EH288" s="590"/>
      <c r="EI288" s="590"/>
      <c r="EJ288" s="651"/>
      <c r="EK288" s="651"/>
    </row>
    <row r="289" spans="1:141" ht="12" customHeight="1" x14ac:dyDescent="0.15">
      <c r="A289" s="588"/>
      <c r="B289" s="849"/>
      <c r="C289" s="850"/>
      <c r="D289" s="850"/>
      <c r="E289" s="850"/>
      <c r="F289" s="850"/>
      <c r="G289" s="850"/>
      <c r="H289" s="850"/>
      <c r="I289" s="850"/>
      <c r="J289" s="850"/>
      <c r="K289" s="850"/>
      <c r="L289" s="850"/>
      <c r="M289" s="850"/>
      <c r="N289" s="850"/>
      <c r="O289" s="850"/>
      <c r="P289" s="850"/>
      <c r="Q289" s="850"/>
      <c r="R289" s="850"/>
      <c r="S289" s="850"/>
      <c r="T289" s="850"/>
      <c r="U289" s="850"/>
      <c r="V289" s="850"/>
      <c r="W289" s="850"/>
      <c r="X289" s="850"/>
      <c r="Y289" s="850"/>
      <c r="Z289" s="850"/>
      <c r="AA289" s="850"/>
      <c r="AB289" s="854"/>
      <c r="AC289" s="854"/>
      <c r="AD289" s="854"/>
      <c r="AE289" s="854"/>
      <c r="AF289" s="854"/>
      <c r="AG289" s="854"/>
      <c r="AH289" s="854"/>
      <c r="AI289" s="854"/>
      <c r="AJ289" s="854"/>
      <c r="AK289" s="854"/>
      <c r="AL289" s="854"/>
      <c r="AM289" s="854"/>
      <c r="AN289" s="854"/>
      <c r="AO289" s="854"/>
      <c r="AP289" s="1340"/>
      <c r="AQ289" s="1340"/>
      <c r="AR289" s="1340"/>
      <c r="AS289" s="1340"/>
      <c r="AT289" s="1340"/>
      <c r="AU289" s="1340"/>
      <c r="AV289" s="1340"/>
      <c r="AW289" s="1340"/>
      <c r="AX289" s="1340"/>
      <c r="AY289" s="1340"/>
      <c r="AZ289" s="1340"/>
      <c r="BA289" s="1340"/>
      <c r="BB289" s="1340"/>
      <c r="BC289" s="1340"/>
      <c r="BD289" s="1340"/>
      <c r="BE289" s="1340"/>
      <c r="BF289" s="1340"/>
      <c r="BG289" s="855"/>
      <c r="BH289" s="588"/>
      <c r="BI289" s="588"/>
      <c r="BJ289" s="588"/>
      <c r="BK289" s="588"/>
      <c r="BL289" s="588"/>
      <c r="BM289" s="589"/>
      <c r="BN289" s="590"/>
      <c r="BO289" s="868"/>
      <c r="BP289" s="868"/>
      <c r="BQ289" s="868"/>
      <c r="BR289" s="868"/>
      <c r="BS289" s="868"/>
      <c r="BT289" s="868"/>
      <c r="BU289" s="868"/>
      <c r="BV289" s="871" t="b">
        <v>0</v>
      </c>
      <c r="BW289" s="868"/>
      <c r="BX289" s="868"/>
      <c r="BY289" s="868"/>
      <c r="BZ289" s="743" t="s">
        <v>172</v>
      </c>
      <c r="CA289" s="869"/>
      <c r="CB289" s="869"/>
      <c r="CC289" s="869"/>
      <c r="CD289" s="869"/>
      <c r="CE289" s="869"/>
      <c r="CF289" s="869"/>
      <c r="CG289" s="869"/>
      <c r="CH289" s="868"/>
      <c r="CI289" s="868"/>
      <c r="CJ289" s="868"/>
      <c r="CK289" s="868"/>
      <c r="CL289" s="868"/>
      <c r="CM289" s="868"/>
      <c r="CN289" s="868"/>
      <c r="CO289" s="868"/>
      <c r="CP289" s="868"/>
      <c r="CQ289" s="868"/>
      <c r="CR289" s="868"/>
      <c r="CS289" s="868"/>
      <c r="CT289" s="868"/>
      <c r="CU289" s="868"/>
      <c r="CV289" s="868"/>
      <c r="CW289" s="870"/>
      <c r="CX289" s="868"/>
      <c r="CY289" s="868"/>
      <c r="CZ289" s="868"/>
      <c r="DA289" s="868"/>
      <c r="DB289" s="868"/>
      <c r="DC289" s="590"/>
      <c r="DD289" s="590"/>
      <c r="DE289" s="590"/>
      <c r="DF289" s="590"/>
      <c r="DG289" s="590"/>
      <c r="DH289" s="590"/>
      <c r="DI289" s="590"/>
      <c r="DJ289" s="590"/>
      <c r="DK289" s="590"/>
      <c r="DL289" s="590"/>
      <c r="DM289" s="590"/>
      <c r="DN289" s="590"/>
      <c r="DO289" s="590"/>
      <c r="DP289" s="590"/>
      <c r="DQ289" s="590"/>
      <c r="DR289" s="590"/>
      <c r="DS289" s="590"/>
      <c r="DT289" s="590"/>
      <c r="DU289" s="590"/>
      <c r="DV289" s="590"/>
      <c r="DW289" s="590"/>
      <c r="DX289" s="590"/>
      <c r="DY289" s="590"/>
      <c r="DZ289" s="590"/>
      <c r="EA289" s="590"/>
      <c r="EB289" s="590"/>
      <c r="EC289" s="590"/>
      <c r="ED289" s="590"/>
      <c r="EE289" s="590"/>
      <c r="EF289" s="590"/>
      <c r="EG289" s="590"/>
      <c r="EH289" s="590"/>
      <c r="EI289" s="590"/>
      <c r="EJ289" s="651"/>
      <c r="EK289" s="651"/>
    </row>
    <row r="290" spans="1:141" ht="12" customHeight="1" x14ac:dyDescent="0.15">
      <c r="A290" s="872"/>
      <c r="B290" s="852"/>
      <c r="C290" s="853"/>
      <c r="D290" s="854"/>
      <c r="E290" s="1326" t="s">
        <v>355</v>
      </c>
      <c r="F290" s="1326"/>
      <c r="G290" s="1326"/>
      <c r="H290" s="1326"/>
      <c r="I290" s="1326"/>
      <c r="J290" s="1326"/>
      <c r="K290" s="1326"/>
      <c r="L290" s="1326"/>
      <c r="M290" s="1326"/>
      <c r="N290" s="1326"/>
      <c r="O290" s="1326"/>
      <c r="P290" s="1326"/>
      <c r="Q290" s="1326"/>
      <c r="R290" s="1326"/>
      <c r="S290" s="1326"/>
      <c r="T290" s="1326"/>
      <c r="U290" s="1326"/>
      <c r="V290" s="1326"/>
      <c r="W290" s="1326"/>
      <c r="X290" s="1326"/>
      <c r="Y290" s="1326"/>
      <c r="Z290" s="1326"/>
      <c r="AA290" s="1326"/>
      <c r="AB290" s="1326"/>
      <c r="AC290" s="1326"/>
      <c r="AD290" s="1326"/>
      <c r="AE290" s="1326"/>
      <c r="AF290" s="1326"/>
      <c r="AG290" s="1326"/>
      <c r="AH290" s="1326"/>
      <c r="AI290" s="854"/>
      <c r="AJ290" s="854"/>
      <c r="AK290" s="854"/>
      <c r="AL290" s="854"/>
      <c r="AM290" s="854"/>
      <c r="AN290" s="854"/>
      <c r="AO290" s="854"/>
      <c r="AP290" s="1340"/>
      <c r="AQ290" s="1340"/>
      <c r="AR290" s="1340"/>
      <c r="AS290" s="1340"/>
      <c r="AT290" s="1340"/>
      <c r="AU290" s="1340"/>
      <c r="AV290" s="1340"/>
      <c r="AW290" s="1340"/>
      <c r="AX290" s="1340"/>
      <c r="AY290" s="1340"/>
      <c r="AZ290" s="1340"/>
      <c r="BA290" s="1340"/>
      <c r="BB290" s="1340"/>
      <c r="BC290" s="1340"/>
      <c r="BD290" s="1340"/>
      <c r="BE290" s="1340"/>
      <c r="BF290" s="1340"/>
      <c r="BG290" s="855"/>
      <c r="BH290" s="588"/>
      <c r="BI290" s="588"/>
      <c r="BJ290" s="588"/>
      <c r="BK290" s="588"/>
      <c r="BL290" s="588"/>
      <c r="BM290" s="589"/>
      <c r="BN290" s="743" t="s">
        <v>528</v>
      </c>
      <c r="BO290" s="869"/>
      <c r="BP290" s="868"/>
      <c r="BQ290" s="868"/>
      <c r="BR290" s="868"/>
      <c r="BS290" s="868"/>
      <c r="BT290" s="868"/>
      <c r="BU290" s="868"/>
      <c r="BV290" s="871" t="b">
        <v>0</v>
      </c>
      <c r="BW290" s="868"/>
      <c r="BX290" s="868"/>
      <c r="BY290" s="868"/>
      <c r="BZ290" s="868"/>
      <c r="CA290" s="868"/>
      <c r="CB290" s="868"/>
      <c r="CC290" s="868"/>
      <c r="CD290" s="868"/>
      <c r="CE290" s="868"/>
      <c r="CF290" s="868"/>
      <c r="CG290" s="868"/>
      <c r="CH290" s="868"/>
      <c r="CI290" s="868"/>
      <c r="CJ290" s="868"/>
      <c r="CK290" s="868"/>
      <c r="CL290" s="868"/>
      <c r="CM290" s="868"/>
      <c r="CN290" s="868"/>
      <c r="CO290" s="868"/>
      <c r="CP290" s="868"/>
      <c r="CQ290" s="868"/>
      <c r="CR290" s="868"/>
      <c r="CS290" s="868"/>
      <c r="CT290" s="868"/>
      <c r="CU290" s="868"/>
      <c r="CV290" s="868"/>
      <c r="CW290" s="870"/>
      <c r="CX290" s="868"/>
      <c r="CY290" s="868"/>
      <c r="CZ290" s="868"/>
      <c r="DA290" s="868"/>
      <c r="DB290" s="868"/>
      <c r="DC290" s="590"/>
      <c r="DD290" s="590"/>
      <c r="DE290" s="590"/>
      <c r="DF290" s="590"/>
      <c r="DG290" s="590"/>
      <c r="DH290" s="590"/>
      <c r="DI290" s="590"/>
      <c r="DJ290" s="590"/>
      <c r="DK290" s="590"/>
      <c r="DL290" s="590"/>
      <c r="DM290" s="590"/>
      <c r="DN290" s="590"/>
      <c r="DO290" s="590"/>
      <c r="DP290" s="590"/>
      <c r="DQ290" s="590"/>
      <c r="DR290" s="590"/>
      <c r="DS290" s="590"/>
      <c r="DT290" s="590"/>
      <c r="DU290" s="590"/>
      <c r="DV290" s="590"/>
      <c r="DW290" s="590"/>
      <c r="DX290" s="590"/>
      <c r="DY290" s="590"/>
      <c r="DZ290" s="590"/>
      <c r="EA290" s="590"/>
      <c r="EB290" s="590"/>
      <c r="EC290" s="590"/>
      <c r="ED290" s="590"/>
      <c r="EE290" s="590"/>
      <c r="EF290" s="590"/>
      <c r="EG290" s="590"/>
      <c r="EH290" s="590"/>
      <c r="EI290" s="590"/>
      <c r="EJ290" s="651"/>
      <c r="EK290" s="651"/>
    </row>
    <row r="291" spans="1:141" ht="12" customHeight="1" x14ac:dyDescent="0.15">
      <c r="A291" s="588"/>
      <c r="B291" s="852"/>
      <c r="C291" s="853"/>
      <c r="D291" s="854"/>
      <c r="E291" s="854"/>
      <c r="F291" s="854"/>
      <c r="G291" s="854"/>
      <c r="H291" s="854"/>
      <c r="I291" s="854"/>
      <c r="J291" s="854"/>
      <c r="K291" s="854"/>
      <c r="L291" s="854"/>
      <c r="M291" s="854"/>
      <c r="N291" s="854"/>
      <c r="O291" s="854"/>
      <c r="P291" s="854"/>
      <c r="Q291" s="854"/>
      <c r="R291" s="854"/>
      <c r="S291" s="854"/>
      <c r="T291" s="854"/>
      <c r="U291" s="854"/>
      <c r="V291" s="854"/>
      <c r="W291" s="854"/>
      <c r="X291" s="854"/>
      <c r="Y291" s="854"/>
      <c r="Z291" s="854"/>
      <c r="AA291" s="854"/>
      <c r="AB291" s="854"/>
      <c r="AC291" s="854"/>
      <c r="AD291" s="854"/>
      <c r="AE291" s="854"/>
      <c r="AF291" s="854"/>
      <c r="AG291" s="854"/>
      <c r="AH291" s="854"/>
      <c r="AI291" s="854"/>
      <c r="AJ291" s="854"/>
      <c r="AK291" s="854"/>
      <c r="AL291" s="854"/>
      <c r="AM291" s="854"/>
      <c r="AN291" s="854"/>
      <c r="AO291" s="854"/>
      <c r="AP291" s="1340"/>
      <c r="AQ291" s="1340"/>
      <c r="AR291" s="1340"/>
      <c r="AS291" s="1340"/>
      <c r="AT291" s="1340"/>
      <c r="AU291" s="1340"/>
      <c r="AV291" s="1340"/>
      <c r="AW291" s="1340"/>
      <c r="AX291" s="1340"/>
      <c r="AY291" s="1340"/>
      <c r="AZ291" s="1340"/>
      <c r="BA291" s="1340"/>
      <c r="BB291" s="1340"/>
      <c r="BC291" s="1340"/>
      <c r="BD291" s="1340"/>
      <c r="BE291" s="1340"/>
      <c r="BF291" s="1340"/>
      <c r="BG291" s="855"/>
      <c r="BH291" s="588"/>
      <c r="BI291" s="588"/>
      <c r="BJ291" s="588"/>
      <c r="BK291" s="588"/>
      <c r="BL291" s="588"/>
      <c r="BM291" s="589"/>
      <c r="BN291" s="625">
        <f>+IF(TT_kategoria="mezőgazdasági csekély összegű támogatás",1,0)</f>
        <v>0</v>
      </c>
      <c r="BO291" s="869"/>
      <c r="BP291" s="868"/>
      <c r="BQ291" s="868"/>
      <c r="BR291" s="868"/>
      <c r="BS291" s="868"/>
      <c r="BT291" s="868"/>
      <c r="BU291" s="868"/>
      <c r="BV291" s="869" t="b">
        <f>OR(BV288,BV289,BV290)</f>
        <v>0</v>
      </c>
      <c r="BW291" s="868"/>
      <c r="BX291" s="868"/>
      <c r="BY291" s="868"/>
      <c r="BZ291" s="868"/>
      <c r="CA291" s="868"/>
      <c r="CB291" s="868"/>
      <c r="CC291" s="868"/>
      <c r="CD291" s="868"/>
      <c r="CE291" s="868"/>
      <c r="CF291" s="868"/>
      <c r="CG291" s="868"/>
      <c r="CH291" s="868"/>
      <c r="CI291" s="868"/>
      <c r="CJ291" s="868"/>
      <c r="CK291" s="868"/>
      <c r="CL291" s="868"/>
      <c r="CM291" s="868"/>
      <c r="CN291" s="868"/>
      <c r="CO291" s="868"/>
      <c r="CP291" s="868"/>
      <c r="CQ291" s="868"/>
      <c r="CR291" s="868"/>
      <c r="CS291" s="868"/>
      <c r="CT291" s="868"/>
      <c r="CU291" s="868"/>
      <c r="CV291" s="868"/>
      <c r="CW291" s="870"/>
      <c r="CX291" s="868"/>
      <c r="CY291" s="868"/>
      <c r="CZ291" s="868"/>
      <c r="DA291" s="868"/>
      <c r="DB291" s="868"/>
      <c r="DC291" s="590"/>
      <c r="DD291" s="590"/>
      <c r="DE291" s="590"/>
      <c r="DF291" s="590"/>
      <c r="DG291" s="590"/>
      <c r="DH291" s="590"/>
      <c r="DI291" s="590"/>
      <c r="DJ291" s="590"/>
      <c r="DK291" s="590"/>
      <c r="DL291" s="590"/>
      <c r="DM291" s="590"/>
      <c r="DN291" s="590"/>
      <c r="DO291" s="590"/>
      <c r="DP291" s="590"/>
      <c r="DQ291" s="590"/>
      <c r="DR291" s="590"/>
      <c r="DS291" s="590"/>
      <c r="DT291" s="590"/>
      <c r="DU291" s="590"/>
      <c r="DV291" s="590"/>
      <c r="DW291" s="590"/>
      <c r="DX291" s="590"/>
      <c r="DY291" s="590"/>
      <c r="DZ291" s="590"/>
      <c r="EA291" s="590"/>
      <c r="EB291" s="590"/>
      <c r="EC291" s="590"/>
      <c r="ED291" s="590"/>
      <c r="EE291" s="590"/>
      <c r="EF291" s="590"/>
      <c r="EG291" s="590"/>
      <c r="EH291" s="590"/>
      <c r="EI291" s="590"/>
      <c r="EJ291" s="651"/>
      <c r="EK291" s="651"/>
    </row>
    <row r="292" spans="1:141" ht="14" x14ac:dyDescent="0.15">
      <c r="A292" s="588"/>
      <c r="B292" s="852"/>
      <c r="C292" s="853"/>
      <c r="D292" s="854"/>
      <c r="E292" s="854"/>
      <c r="F292" s="854"/>
      <c r="G292" s="854"/>
      <c r="H292" s="854" t="s">
        <v>170</v>
      </c>
      <c r="I292" s="854"/>
      <c r="J292" s="854"/>
      <c r="K292" s="854"/>
      <c r="L292" s="854"/>
      <c r="M292" s="854"/>
      <c r="N292" s="854"/>
      <c r="O292" s="854"/>
      <c r="P292" s="854"/>
      <c r="Q292" s="854"/>
      <c r="R292" s="854"/>
      <c r="S292" s="854"/>
      <c r="T292" s="854"/>
      <c r="U292" s="854"/>
      <c r="V292" s="854"/>
      <c r="W292" s="854"/>
      <c r="X292" s="854"/>
      <c r="Y292" s="854"/>
      <c r="Z292" s="854"/>
      <c r="AA292" s="854"/>
      <c r="AB292" s="854"/>
      <c r="AC292" s="854"/>
      <c r="AD292" s="854"/>
      <c r="AE292" s="854"/>
      <c r="AF292" s="854"/>
      <c r="AG292" s="854"/>
      <c r="AH292" s="854"/>
      <c r="AI292" s="854"/>
      <c r="AJ292" s="854"/>
      <c r="AK292" s="854"/>
      <c r="AL292" s="854"/>
      <c r="AM292" s="854"/>
      <c r="AN292" s="854"/>
      <c r="AO292" s="854"/>
      <c r="AP292" s="1340"/>
      <c r="AQ292" s="1340"/>
      <c r="AR292" s="1340"/>
      <c r="AS292" s="1340"/>
      <c r="AT292" s="1340"/>
      <c r="AU292" s="1340"/>
      <c r="AV292" s="1340"/>
      <c r="AW292" s="1340"/>
      <c r="AX292" s="1340"/>
      <c r="AY292" s="1340"/>
      <c r="AZ292" s="1340"/>
      <c r="BA292" s="1340"/>
      <c r="BB292" s="1340"/>
      <c r="BC292" s="1340"/>
      <c r="BD292" s="1340"/>
      <c r="BE292" s="1340"/>
      <c r="BF292" s="1340"/>
      <c r="BG292" s="855"/>
      <c r="BH292" s="588"/>
      <c r="BI292" s="588"/>
      <c r="BJ292" s="588"/>
      <c r="BK292" s="588"/>
      <c r="BL292" s="588"/>
      <c r="BM292" s="589"/>
      <c r="BN292" s="625">
        <f>+IF(TT_kategoria="elsődleges mezőgazdasági termelés támogatása",1,0)</f>
        <v>0</v>
      </c>
      <c r="BO292" s="869"/>
      <c r="BP292" s="868"/>
      <c r="BQ292" s="868"/>
      <c r="BR292" s="868"/>
      <c r="BS292" s="868"/>
      <c r="BT292" s="868"/>
      <c r="BU292" s="868"/>
      <c r="BV292" s="869"/>
      <c r="BW292" s="868"/>
      <c r="BX292" s="868"/>
      <c r="BY292" s="868"/>
      <c r="BZ292" s="868"/>
      <c r="CA292" s="868"/>
      <c r="CB292" s="868"/>
      <c r="CC292" s="868"/>
      <c r="CD292" s="868"/>
      <c r="CE292" s="868"/>
      <c r="CF292" s="868"/>
      <c r="CG292" s="868"/>
      <c r="CH292" s="868"/>
      <c r="CI292" s="868"/>
      <c r="CJ292" s="868"/>
      <c r="CK292" s="868"/>
      <c r="CL292" s="868"/>
      <c r="CM292" s="868"/>
      <c r="CN292" s="868"/>
      <c r="CO292" s="868"/>
      <c r="CP292" s="868"/>
      <c r="CQ292" s="868"/>
      <c r="CR292" s="868"/>
      <c r="CS292" s="868"/>
      <c r="CT292" s="868"/>
      <c r="CU292" s="868"/>
      <c r="CV292" s="868"/>
      <c r="CW292" s="870"/>
      <c r="CX292" s="868"/>
      <c r="CY292" s="868"/>
      <c r="CZ292" s="868"/>
      <c r="DA292" s="868"/>
      <c r="DB292" s="868"/>
      <c r="DC292" s="590"/>
      <c r="DD292" s="590"/>
      <c r="DE292" s="590"/>
      <c r="DF292" s="590"/>
      <c r="DG292" s="590"/>
      <c r="DH292" s="590"/>
      <c r="DI292" s="590"/>
      <c r="DJ292" s="590"/>
      <c r="DK292" s="590"/>
      <c r="DL292" s="590"/>
      <c r="DM292" s="590"/>
      <c r="DN292" s="590"/>
      <c r="DO292" s="590"/>
      <c r="DP292" s="590"/>
      <c r="DQ292" s="590"/>
      <c r="DR292" s="590"/>
      <c r="DS292" s="590"/>
      <c r="DT292" s="590"/>
      <c r="DU292" s="590"/>
      <c r="DV292" s="590"/>
      <c r="DW292" s="590"/>
      <c r="DX292" s="590"/>
      <c r="DY292" s="590"/>
      <c r="DZ292" s="590"/>
      <c r="EA292" s="590"/>
      <c r="EB292" s="590"/>
      <c r="EC292" s="590"/>
      <c r="ED292" s="590"/>
      <c r="EE292" s="590"/>
      <c r="EF292" s="590"/>
      <c r="EG292" s="590"/>
      <c r="EH292" s="590"/>
      <c r="EI292" s="590"/>
      <c r="EJ292" s="651"/>
      <c r="EK292" s="651"/>
    </row>
    <row r="293" spans="1:141" ht="12" customHeight="1" x14ac:dyDescent="0.15">
      <c r="A293" s="588"/>
      <c r="B293" s="852"/>
      <c r="C293" s="853"/>
      <c r="D293" s="854"/>
      <c r="E293" s="854"/>
      <c r="F293" s="854"/>
      <c r="G293" s="854"/>
      <c r="H293" s="854"/>
      <c r="I293" s="854"/>
      <c r="J293" s="854"/>
      <c r="K293" s="854"/>
      <c r="L293" s="854"/>
      <c r="M293" s="854"/>
      <c r="N293" s="854"/>
      <c r="O293" s="854"/>
      <c r="P293" s="854"/>
      <c r="Q293" s="854"/>
      <c r="R293" s="854"/>
      <c r="S293" s="854"/>
      <c r="T293" s="854"/>
      <c r="U293" s="854"/>
      <c r="V293" s="854"/>
      <c r="W293" s="854"/>
      <c r="X293" s="854"/>
      <c r="Y293" s="854"/>
      <c r="Z293" s="854"/>
      <c r="AA293" s="854"/>
      <c r="AB293" s="854"/>
      <c r="AC293" s="854"/>
      <c r="AD293" s="854"/>
      <c r="AE293" s="854"/>
      <c r="AF293" s="854"/>
      <c r="AG293" s="854"/>
      <c r="AH293" s="854"/>
      <c r="AI293" s="854"/>
      <c r="AJ293" s="854"/>
      <c r="AK293" s="854"/>
      <c r="AL293" s="854"/>
      <c r="AM293" s="854"/>
      <c r="AN293" s="854"/>
      <c r="AO293" s="854"/>
      <c r="AP293" s="1340"/>
      <c r="AQ293" s="1340"/>
      <c r="AR293" s="1340"/>
      <c r="AS293" s="1340"/>
      <c r="AT293" s="1340"/>
      <c r="AU293" s="1340"/>
      <c r="AV293" s="1340"/>
      <c r="AW293" s="1340"/>
      <c r="AX293" s="1340"/>
      <c r="AY293" s="1340"/>
      <c r="AZ293" s="1340"/>
      <c r="BA293" s="1340"/>
      <c r="BB293" s="1340"/>
      <c r="BC293" s="1340"/>
      <c r="BD293" s="1340"/>
      <c r="BE293" s="1340"/>
      <c r="BF293" s="1340"/>
      <c r="BG293" s="855"/>
      <c r="BH293" s="588"/>
      <c r="BI293" s="588"/>
      <c r="BJ293" s="588"/>
      <c r="BK293" s="588"/>
      <c r="BL293" s="588"/>
      <c r="BM293" s="589"/>
      <c r="BN293" s="567">
        <f>+IF(TT_kategoria="mezőgazdasági termékek feldolg. forg. tám.",1,0)</f>
        <v>0</v>
      </c>
      <c r="BO293" s="869"/>
      <c r="BP293" s="868"/>
      <c r="BQ293" s="868"/>
      <c r="BR293" s="868"/>
      <c r="BS293" s="868"/>
      <c r="BT293" s="868"/>
      <c r="BU293" s="868"/>
      <c r="BV293" s="869">
        <f>IF(BV291=FALSE,0,400)</f>
        <v>0</v>
      </c>
      <c r="BW293" s="868"/>
      <c r="BX293" s="868"/>
      <c r="BY293" s="868"/>
      <c r="BZ293" s="868"/>
      <c r="CA293" s="868"/>
      <c r="CB293" s="868"/>
      <c r="CC293" s="868"/>
      <c r="CD293" s="868"/>
      <c r="CE293" s="868"/>
      <c r="CF293" s="868"/>
      <c r="CG293" s="868"/>
      <c r="CH293" s="868"/>
      <c r="CI293" s="868"/>
      <c r="CJ293" s="868"/>
      <c r="CK293" s="868"/>
      <c r="CL293" s="868"/>
      <c r="CM293" s="868"/>
      <c r="CN293" s="868"/>
      <c r="CO293" s="868"/>
      <c r="CP293" s="868"/>
      <c r="CQ293" s="868"/>
      <c r="CR293" s="868"/>
      <c r="CS293" s="868"/>
      <c r="CT293" s="868"/>
      <c r="CU293" s="868"/>
      <c r="CV293" s="868"/>
      <c r="CW293" s="870"/>
      <c r="CX293" s="868"/>
      <c r="CY293" s="868"/>
      <c r="CZ293" s="868"/>
      <c r="DA293" s="868"/>
      <c r="DB293" s="868"/>
      <c r="DC293" s="590"/>
      <c r="DD293" s="590"/>
      <c r="DE293" s="590"/>
      <c r="DF293" s="590"/>
      <c r="DG293" s="590"/>
      <c r="DH293" s="590"/>
      <c r="DI293" s="590"/>
      <c r="DJ293" s="590"/>
      <c r="DK293" s="590"/>
      <c r="DL293" s="590"/>
      <c r="DM293" s="590"/>
      <c r="DN293" s="590"/>
      <c r="DO293" s="590"/>
      <c r="DP293" s="590"/>
      <c r="DQ293" s="590"/>
      <c r="DR293" s="590"/>
      <c r="DS293" s="590"/>
      <c r="DT293" s="590"/>
      <c r="DU293" s="590"/>
      <c r="DV293" s="590"/>
      <c r="DW293" s="590"/>
      <c r="DX293" s="590"/>
      <c r="DY293" s="590"/>
      <c r="DZ293" s="590"/>
      <c r="EA293" s="590"/>
      <c r="EB293" s="590"/>
      <c r="EC293" s="590"/>
      <c r="ED293" s="590"/>
      <c r="EE293" s="590"/>
      <c r="EF293" s="590"/>
      <c r="EG293" s="590"/>
      <c r="EH293" s="590"/>
      <c r="EI293" s="590"/>
      <c r="EJ293" s="651"/>
      <c r="EK293" s="651"/>
    </row>
    <row r="294" spans="1:141" ht="12" customHeight="1" x14ac:dyDescent="0.15">
      <c r="A294" s="588"/>
      <c r="B294" s="852"/>
      <c r="C294" s="853"/>
      <c r="D294" s="861"/>
      <c r="E294" s="1309" t="s">
        <v>171</v>
      </c>
      <c r="F294" s="1309"/>
      <c r="G294" s="1309"/>
      <c r="H294" s="1309"/>
      <c r="I294" s="1309"/>
      <c r="J294" s="1309"/>
      <c r="K294" s="1309"/>
      <c r="L294" s="1309"/>
      <c r="M294" s="1309"/>
      <c r="N294" s="1309"/>
      <c r="O294" s="1309"/>
      <c r="P294" s="1309"/>
      <c r="Q294" s="1309"/>
      <c r="R294" s="854"/>
      <c r="S294" s="873" t="str">
        <f>+IF(BV291=TRUE,"Az alábbi cellát nem szabad kitölteni!","")</f>
        <v/>
      </c>
      <c r="T294" s="874"/>
      <c r="U294" s="874"/>
      <c r="V294" s="874"/>
      <c r="W294" s="874"/>
      <c r="X294" s="874"/>
      <c r="Y294" s="874"/>
      <c r="Z294" s="874"/>
      <c r="AA294" s="874"/>
      <c r="AB294" s="874"/>
      <c r="AC294" s="874"/>
      <c r="AD294" s="874"/>
      <c r="AE294" s="874"/>
      <c r="AF294" s="874"/>
      <c r="AG294" s="874"/>
      <c r="AH294" s="874"/>
      <c r="AI294" s="875"/>
      <c r="AJ294" s="875"/>
      <c r="AK294" s="876"/>
      <c r="AL294" s="876"/>
      <c r="AM294" s="876"/>
      <c r="AN294" s="876"/>
      <c r="AO294" s="876"/>
      <c r="AP294" s="876"/>
      <c r="AQ294" s="876"/>
      <c r="AR294" s="876"/>
      <c r="AS294" s="876"/>
      <c r="AT294" s="876"/>
      <c r="AU294" s="876"/>
      <c r="AV294" s="876"/>
      <c r="AW294" s="876"/>
      <c r="AX294" s="876"/>
      <c r="AY294" s="876"/>
      <c r="AZ294" s="876"/>
      <c r="BA294" s="876"/>
      <c r="BB294" s="876"/>
      <c r="BC294" s="861"/>
      <c r="BD294" s="861"/>
      <c r="BE294" s="861"/>
      <c r="BF294" s="854"/>
      <c r="BG294" s="855"/>
      <c r="BH294" s="588"/>
      <c r="BI294" s="588"/>
      <c r="BJ294" s="588"/>
      <c r="BK294" s="588"/>
      <c r="BL294" s="588"/>
      <c r="BM294" s="589"/>
      <c r="BN294" s="743">
        <f>SUM(BN291:BN293)</f>
        <v>0</v>
      </c>
      <c r="BO294" s="869"/>
      <c r="BP294" s="868"/>
      <c r="BQ294" s="868"/>
      <c r="BR294" s="868"/>
      <c r="BS294" s="868"/>
      <c r="BT294" s="868"/>
      <c r="BU294" s="868"/>
      <c r="BV294" s="869"/>
      <c r="BW294" s="868"/>
      <c r="BX294" s="868"/>
      <c r="BY294" s="868"/>
      <c r="BZ294" s="868"/>
      <c r="CA294" s="868"/>
      <c r="CB294" s="868"/>
      <c r="CC294" s="868"/>
      <c r="CD294" s="868"/>
      <c r="CE294" s="868"/>
      <c r="CF294" s="868"/>
      <c r="CG294" s="868"/>
      <c r="CH294" s="868"/>
      <c r="CI294" s="868"/>
      <c r="CJ294" s="868"/>
      <c r="CK294" s="868"/>
      <c r="CL294" s="868"/>
      <c r="CM294" s="868"/>
      <c r="CN294" s="868"/>
      <c r="CO294" s="868"/>
      <c r="CP294" s="868"/>
      <c r="CQ294" s="868"/>
      <c r="CR294" s="868"/>
      <c r="CS294" s="868"/>
      <c r="CT294" s="868"/>
      <c r="CU294" s="868"/>
      <c r="CV294" s="868"/>
      <c r="CW294" s="870"/>
      <c r="CX294" s="868"/>
      <c r="CY294" s="868"/>
      <c r="CZ294" s="868"/>
      <c r="DA294" s="868"/>
      <c r="DB294" s="868"/>
      <c r="DC294" s="590"/>
      <c r="DD294" s="590"/>
      <c r="DE294" s="590"/>
      <c r="DF294" s="590"/>
      <c r="DG294" s="590"/>
      <c r="DH294" s="590"/>
      <c r="DI294" s="590"/>
      <c r="DJ294" s="590"/>
      <c r="DK294" s="590"/>
      <c r="DL294" s="590"/>
      <c r="DM294" s="590"/>
      <c r="DN294" s="590"/>
      <c r="DO294" s="590"/>
      <c r="DP294" s="590"/>
      <c r="DQ294" s="590"/>
      <c r="DR294" s="590"/>
      <c r="DS294" s="590"/>
      <c r="DT294" s="590"/>
      <c r="DU294" s="590"/>
      <c r="DV294" s="590"/>
      <c r="DW294" s="590"/>
      <c r="DX294" s="590"/>
      <c r="DY294" s="590"/>
      <c r="DZ294" s="590"/>
      <c r="EA294" s="590"/>
      <c r="EB294" s="590"/>
      <c r="EC294" s="590"/>
      <c r="ED294" s="590"/>
      <c r="EE294" s="590"/>
      <c r="EF294" s="590"/>
      <c r="EG294" s="590"/>
      <c r="EH294" s="590"/>
      <c r="EI294" s="590"/>
      <c r="EJ294" s="651"/>
      <c r="EK294" s="651"/>
    </row>
    <row r="295" spans="1:141" ht="12" customHeight="1" x14ac:dyDescent="0.15">
      <c r="A295" s="588"/>
      <c r="B295" s="852"/>
      <c r="C295" s="853"/>
      <c r="D295" s="861"/>
      <c r="E295" s="1309"/>
      <c r="F295" s="1309"/>
      <c r="G295" s="1309"/>
      <c r="H295" s="1309"/>
      <c r="I295" s="1309"/>
      <c r="J295" s="1309"/>
      <c r="K295" s="1309"/>
      <c r="L295" s="1309"/>
      <c r="M295" s="1309"/>
      <c r="N295" s="1309"/>
      <c r="O295" s="1309"/>
      <c r="P295" s="1309"/>
      <c r="Q295" s="1309"/>
      <c r="R295" s="854"/>
      <c r="S295" s="1339" t="s">
        <v>163</v>
      </c>
      <c r="T295" s="1339"/>
      <c r="U295" s="1339"/>
      <c r="V295" s="1339"/>
      <c r="W295" s="1339"/>
      <c r="X295" s="1339"/>
      <c r="Y295" s="1339"/>
      <c r="Z295" s="1339"/>
      <c r="AA295" s="1339"/>
      <c r="AB295" s="1339"/>
      <c r="AC295" s="1339"/>
      <c r="AD295" s="1339"/>
      <c r="AE295" s="1339"/>
      <c r="AF295" s="1339"/>
      <c r="AG295" s="1339"/>
      <c r="AH295" s="1339"/>
      <c r="AI295" s="1339"/>
      <c r="AJ295" s="1339"/>
      <c r="AK295" s="1339"/>
      <c r="AL295" s="1339"/>
      <c r="AM295" s="1339"/>
      <c r="AN295" s="1339"/>
      <c r="AO295" s="1339"/>
      <c r="AP295" s="1339"/>
      <c r="AQ295" s="1339"/>
      <c r="AR295" s="1339"/>
      <c r="AS295" s="1339"/>
      <c r="AT295" s="1339"/>
      <c r="AU295" s="1339"/>
      <c r="AV295" s="1339"/>
      <c r="AW295" s="1339"/>
      <c r="AX295" s="1339"/>
      <c r="AY295" s="1339"/>
      <c r="AZ295" s="1339"/>
      <c r="BA295" s="1339"/>
      <c r="BB295" s="1339"/>
      <c r="BC295" s="861"/>
      <c r="BD295" s="861"/>
      <c r="BE295" s="861"/>
      <c r="BF295" s="854"/>
      <c r="BG295" s="855"/>
      <c r="BH295" s="588"/>
      <c r="BI295" s="588"/>
      <c r="BJ295" s="588"/>
      <c r="BK295" s="588"/>
      <c r="BL295" s="588"/>
      <c r="BM295" s="589"/>
      <c r="BN295" s="590"/>
      <c r="BO295" s="868"/>
      <c r="BP295" s="868"/>
      <c r="BQ295" s="868"/>
      <c r="BR295" s="868"/>
      <c r="BS295" s="868"/>
      <c r="BT295" s="868"/>
      <c r="BU295" s="868"/>
      <c r="BV295" s="871" t="b">
        <v>0</v>
      </c>
      <c r="BW295" s="868"/>
      <c r="BX295" s="868"/>
      <c r="BY295" s="868"/>
      <c r="BZ295" s="868"/>
      <c r="CA295" s="868"/>
      <c r="CB295" s="868"/>
      <c r="CC295" s="868"/>
      <c r="CD295" s="868"/>
      <c r="CE295" s="868"/>
      <c r="CF295" s="868"/>
      <c r="CG295" s="868"/>
      <c r="CH295" s="868"/>
      <c r="CI295" s="868"/>
      <c r="CJ295" s="868"/>
      <c r="CK295" s="868"/>
      <c r="CL295" s="868"/>
      <c r="CM295" s="868"/>
      <c r="CN295" s="868"/>
      <c r="CO295" s="868"/>
      <c r="CP295" s="868"/>
      <c r="CQ295" s="868"/>
      <c r="CR295" s="868"/>
      <c r="CS295" s="868"/>
      <c r="CT295" s="868"/>
      <c r="CU295" s="868"/>
      <c r="CV295" s="868"/>
      <c r="CW295" s="870"/>
      <c r="CX295" s="868"/>
      <c r="CY295" s="868"/>
      <c r="CZ295" s="868"/>
      <c r="DA295" s="868"/>
      <c r="DB295" s="868"/>
      <c r="DC295" s="590"/>
      <c r="DD295" s="590"/>
      <c r="DE295" s="590"/>
      <c r="DF295" s="590"/>
      <c r="DG295" s="590"/>
      <c r="DH295" s="590"/>
      <c r="DI295" s="590"/>
      <c r="DJ295" s="590"/>
      <c r="DK295" s="590"/>
      <c r="DL295" s="590"/>
      <c r="DM295" s="590"/>
      <c r="DN295" s="590"/>
      <c r="DO295" s="590"/>
      <c r="DP295" s="590"/>
      <c r="DQ295" s="590"/>
      <c r="DR295" s="590"/>
      <c r="DS295" s="590"/>
      <c r="DT295" s="590"/>
      <c r="DU295" s="590"/>
      <c r="DV295" s="590"/>
      <c r="DW295" s="590"/>
      <c r="DX295" s="590"/>
      <c r="DY295" s="590"/>
      <c r="DZ295" s="590"/>
      <c r="EA295" s="590"/>
      <c r="EB295" s="590"/>
      <c r="EC295" s="590"/>
      <c r="ED295" s="590"/>
      <c r="EE295" s="590"/>
      <c r="EF295" s="590"/>
      <c r="EG295" s="590"/>
      <c r="EH295" s="590"/>
      <c r="EI295" s="590"/>
      <c r="EJ295" s="651"/>
      <c r="EK295" s="651"/>
    </row>
    <row r="296" spans="1:141" ht="15.75" customHeight="1" x14ac:dyDescent="0.15">
      <c r="A296" s="588"/>
      <c r="B296" s="852"/>
      <c r="C296" s="853"/>
      <c r="D296" s="861"/>
      <c r="E296" s="1309"/>
      <c r="F296" s="1309"/>
      <c r="G296" s="1309"/>
      <c r="H296" s="1309"/>
      <c r="I296" s="1309"/>
      <c r="J296" s="1309"/>
      <c r="K296" s="1309"/>
      <c r="L296" s="1309"/>
      <c r="M296" s="1309"/>
      <c r="N296" s="1309"/>
      <c r="O296" s="1309"/>
      <c r="P296" s="1309"/>
      <c r="Q296" s="1309"/>
      <c r="R296" s="854"/>
      <c r="S296" s="854"/>
      <c r="T296" s="854"/>
      <c r="U296" s="854"/>
      <c r="V296" s="854"/>
      <c r="W296" s="854"/>
      <c r="X296" s="861"/>
      <c r="Y296" s="861"/>
      <c r="Z296" s="861"/>
      <c r="AA296" s="861"/>
      <c r="AB296" s="861"/>
      <c r="AC296" s="861"/>
      <c r="AD296" s="861"/>
      <c r="AE296" s="861"/>
      <c r="AF296" s="861"/>
      <c r="AG296" s="861"/>
      <c r="AH296" s="861"/>
      <c r="AI296" s="861"/>
      <c r="AJ296" s="861"/>
      <c r="AK296" s="861"/>
      <c r="AL296" s="861"/>
      <c r="AM296" s="861"/>
      <c r="AN296" s="861"/>
      <c r="AO296" s="861"/>
      <c r="AP296" s="861"/>
      <c r="AQ296" s="861"/>
      <c r="AR296" s="861"/>
      <c r="AS296" s="861"/>
      <c r="AT296" s="861"/>
      <c r="AU296" s="861"/>
      <c r="AV296" s="861"/>
      <c r="AW296" s="861"/>
      <c r="AX296" s="861"/>
      <c r="AY296" s="861"/>
      <c r="AZ296" s="861"/>
      <c r="BA296" s="861"/>
      <c r="BB296" s="877"/>
      <c r="BC296" s="861"/>
      <c r="BD296" s="861"/>
      <c r="BE296" s="861"/>
      <c r="BF296" s="854"/>
      <c r="BG296" s="855"/>
      <c r="BH296" s="588"/>
      <c r="BI296" s="588"/>
      <c r="BJ296" s="588"/>
      <c r="BK296" s="588"/>
      <c r="BL296" s="588"/>
      <c r="BM296" s="589"/>
      <c r="BN296" s="590"/>
      <c r="BO296" s="868"/>
      <c r="BP296" s="868"/>
      <c r="BQ296" s="868"/>
      <c r="BR296" s="868"/>
      <c r="BS296" s="868"/>
      <c r="BT296" s="868"/>
      <c r="BU296" s="868"/>
      <c r="BV296" s="869"/>
      <c r="BW296" s="868"/>
      <c r="BX296" s="868"/>
      <c r="BY296" s="868"/>
      <c r="BZ296" s="868"/>
      <c r="CA296" s="868"/>
      <c r="CB296" s="868"/>
      <c r="CC296" s="868"/>
      <c r="CD296" s="868"/>
      <c r="CE296" s="868"/>
      <c r="CF296" s="868"/>
      <c r="CG296" s="868"/>
      <c r="CH296" s="868"/>
      <c r="CI296" s="868"/>
      <c r="CJ296" s="868"/>
      <c r="CK296" s="868"/>
      <c r="CL296" s="868"/>
      <c r="CM296" s="868"/>
      <c r="CN296" s="868"/>
      <c r="CO296" s="868"/>
      <c r="CP296" s="868"/>
      <c r="CQ296" s="868"/>
      <c r="CR296" s="868"/>
      <c r="CS296" s="868"/>
      <c r="CT296" s="868"/>
      <c r="CU296" s="868"/>
      <c r="CV296" s="868"/>
      <c r="CW296" s="870"/>
      <c r="CX296" s="868"/>
      <c r="CY296" s="868"/>
      <c r="CZ296" s="868"/>
      <c r="DA296" s="868"/>
      <c r="DB296" s="868"/>
      <c r="DC296" s="590"/>
      <c r="DD296" s="590"/>
      <c r="DE296" s="590"/>
      <c r="DF296" s="590"/>
      <c r="DG296" s="590"/>
      <c r="DH296" s="590"/>
      <c r="DI296" s="590"/>
      <c r="DJ296" s="590"/>
      <c r="DK296" s="590"/>
      <c r="DL296" s="590"/>
      <c r="DM296" s="590"/>
      <c r="DN296" s="590"/>
      <c r="DO296" s="590"/>
      <c r="DP296" s="590"/>
      <c r="DQ296" s="590"/>
      <c r="DR296" s="590"/>
      <c r="DS296" s="590"/>
      <c r="DT296" s="590"/>
      <c r="DU296" s="590"/>
      <c r="DV296" s="590"/>
      <c r="DW296" s="590"/>
      <c r="DX296" s="590"/>
      <c r="DY296" s="590"/>
      <c r="DZ296" s="590"/>
      <c r="EA296" s="590"/>
      <c r="EB296" s="590"/>
      <c r="EC296" s="590"/>
      <c r="ED296" s="590"/>
      <c r="EE296" s="590"/>
      <c r="EF296" s="590"/>
      <c r="EG296" s="590"/>
      <c r="EH296" s="590"/>
      <c r="EI296" s="590"/>
      <c r="EJ296" s="651"/>
      <c r="EK296" s="651"/>
    </row>
    <row r="297" spans="1:141" ht="12" customHeight="1" x14ac:dyDescent="0.15">
      <c r="A297" s="588"/>
      <c r="B297" s="852"/>
      <c r="C297" s="853"/>
      <c r="D297" s="861"/>
      <c r="E297" s="1309" t="s">
        <v>173</v>
      </c>
      <c r="F297" s="1309"/>
      <c r="G297" s="1309"/>
      <c r="H297" s="1309"/>
      <c r="I297" s="1309"/>
      <c r="J297" s="1309"/>
      <c r="K297" s="1309"/>
      <c r="L297" s="1309"/>
      <c r="M297" s="1309"/>
      <c r="N297" s="1309"/>
      <c r="O297" s="1309"/>
      <c r="P297" s="1309"/>
      <c r="Q297" s="1309"/>
      <c r="R297" s="1309"/>
      <c r="S297" s="1310"/>
      <c r="T297" s="1310"/>
      <c r="U297" s="1310"/>
      <c r="V297" s="1310"/>
      <c r="W297" s="878"/>
      <c r="X297" s="861"/>
      <c r="Y297" s="861"/>
      <c r="Z297" s="861"/>
      <c r="AA297" s="861"/>
      <c r="AB297" s="861"/>
      <c r="AC297" s="861"/>
      <c r="AD297" s="861"/>
      <c r="AE297" s="861"/>
      <c r="AF297" s="861"/>
      <c r="AG297" s="861"/>
      <c r="AH297" s="861"/>
      <c r="AI297" s="861"/>
      <c r="AJ297" s="861"/>
      <c r="AK297" s="861"/>
      <c r="AL297" s="861"/>
      <c r="AM297" s="861"/>
      <c r="AN297" s="861"/>
      <c r="AO297" s="861"/>
      <c r="AP297" s="861"/>
      <c r="AQ297" s="861"/>
      <c r="AR297" s="861"/>
      <c r="AS297" s="861"/>
      <c r="AT297" s="861"/>
      <c r="AU297" s="861"/>
      <c r="AV297" s="861"/>
      <c r="AW297" s="861"/>
      <c r="AX297" s="861"/>
      <c r="AY297" s="861"/>
      <c r="AZ297" s="861"/>
      <c r="BA297" s="861"/>
      <c r="BB297" s="877"/>
      <c r="BC297" s="861"/>
      <c r="BD297" s="861"/>
      <c r="BE297" s="861"/>
      <c r="BF297" s="854"/>
      <c r="BG297" s="855"/>
      <c r="BH297" s="588"/>
      <c r="BI297" s="588"/>
      <c r="BJ297" s="588"/>
      <c r="BK297" s="588"/>
      <c r="BL297" s="588"/>
      <c r="BM297" s="589"/>
      <c r="BN297" s="590"/>
      <c r="BO297" s="868"/>
      <c r="BP297" s="868"/>
      <c r="BQ297" s="868"/>
      <c r="BR297" s="868"/>
      <c r="BS297" s="868"/>
      <c r="BT297" s="868"/>
      <c r="BU297" s="868"/>
      <c r="BV297" s="869">
        <f>IF(BV295=FALSE,400,0)</f>
        <v>400</v>
      </c>
      <c r="BW297" s="868"/>
      <c r="BX297" s="868"/>
      <c r="BY297" s="868"/>
      <c r="BZ297" s="868"/>
      <c r="CA297" s="868"/>
      <c r="CB297" s="868"/>
      <c r="CC297" s="868"/>
      <c r="CD297" s="868"/>
      <c r="CE297" s="868"/>
      <c r="CF297" s="868"/>
      <c r="CG297" s="868"/>
      <c r="CH297" s="868"/>
      <c r="CI297" s="868"/>
      <c r="CJ297" s="868"/>
      <c r="CK297" s="868"/>
      <c r="CL297" s="868"/>
      <c r="CM297" s="868"/>
      <c r="CN297" s="868"/>
      <c r="CO297" s="868"/>
      <c r="CP297" s="868"/>
      <c r="CQ297" s="868"/>
      <c r="CR297" s="868"/>
      <c r="CS297" s="868"/>
      <c r="CT297" s="868"/>
      <c r="CU297" s="868"/>
      <c r="CV297" s="868"/>
      <c r="CW297" s="870"/>
      <c r="CX297" s="868"/>
      <c r="CY297" s="868"/>
      <c r="CZ297" s="868"/>
      <c r="DA297" s="868"/>
      <c r="DB297" s="868"/>
      <c r="DC297" s="590"/>
      <c r="DD297" s="590"/>
      <c r="DE297" s="590"/>
      <c r="DF297" s="590"/>
      <c r="DG297" s="590"/>
      <c r="DH297" s="590"/>
      <c r="DI297" s="590"/>
      <c r="DJ297" s="590"/>
      <c r="DK297" s="590"/>
      <c r="DL297" s="590"/>
      <c r="DM297" s="590"/>
      <c r="DN297" s="590"/>
      <c r="DO297" s="590"/>
      <c r="DP297" s="590"/>
      <c r="DQ297" s="590"/>
      <c r="DR297" s="590"/>
      <c r="DS297" s="590"/>
      <c r="DT297" s="590"/>
      <c r="DU297" s="590"/>
      <c r="DV297" s="590"/>
      <c r="DW297" s="590"/>
      <c r="DX297" s="590"/>
      <c r="DY297" s="590"/>
      <c r="DZ297" s="590"/>
      <c r="EA297" s="590"/>
      <c r="EB297" s="590"/>
      <c r="EC297" s="590"/>
      <c r="ED297" s="590"/>
      <c r="EE297" s="590"/>
      <c r="EF297" s="590"/>
      <c r="EG297" s="590"/>
      <c r="EH297" s="590"/>
      <c r="EI297" s="590"/>
      <c r="EJ297" s="651"/>
      <c r="EK297" s="651"/>
    </row>
    <row r="298" spans="1:141" ht="12" customHeight="1" x14ac:dyDescent="0.15">
      <c r="A298" s="588"/>
      <c r="B298" s="852"/>
      <c r="C298" s="853"/>
      <c r="D298" s="861"/>
      <c r="E298" s="1309" t="s">
        <v>174</v>
      </c>
      <c r="F298" s="1309"/>
      <c r="G298" s="1309"/>
      <c r="H298" s="1309"/>
      <c r="I298" s="1309"/>
      <c r="J298" s="1309"/>
      <c r="K298" s="1309"/>
      <c r="L298" s="1309"/>
      <c r="M298" s="1309"/>
      <c r="N298" s="1309"/>
      <c r="O298" s="1309"/>
      <c r="P298" s="1309"/>
      <c r="Q298" s="1309"/>
      <c r="R298" s="854"/>
      <c r="S298" s="854"/>
      <c r="T298" s="854"/>
      <c r="U298" s="854"/>
      <c r="V298" s="854"/>
      <c r="W298" s="854"/>
      <c r="X298" s="854"/>
      <c r="Y298" s="854"/>
      <c r="Z298" s="854"/>
      <c r="AA298" s="854"/>
      <c r="AB298" s="854"/>
      <c r="AC298" s="854"/>
      <c r="AD298" s="854"/>
      <c r="AE298" s="854"/>
      <c r="AF298" s="854"/>
      <c r="AG298" s="854"/>
      <c r="AH298" s="854"/>
      <c r="AI298" s="854"/>
      <c r="AJ298" s="879"/>
      <c r="AK298" s="879"/>
      <c r="AL298" s="879"/>
      <c r="AM298" s="879"/>
      <c r="AN298" s="879"/>
      <c r="AO298" s="879"/>
      <c r="AP298" s="861"/>
      <c r="AQ298" s="861"/>
      <c r="AR298" s="861"/>
      <c r="AS298" s="861"/>
      <c r="AT298" s="861"/>
      <c r="AU298" s="861"/>
      <c r="AV298" s="861"/>
      <c r="AW298" s="861"/>
      <c r="AX298" s="861"/>
      <c r="AY298" s="861"/>
      <c r="AZ298" s="861"/>
      <c r="BA298" s="861"/>
      <c r="BB298" s="861"/>
      <c r="BC298" s="861"/>
      <c r="BD298" s="861"/>
      <c r="BE298" s="861"/>
      <c r="BF298" s="854"/>
      <c r="BG298" s="855"/>
      <c r="BH298" s="588"/>
      <c r="BI298" s="588"/>
      <c r="BJ298" s="588"/>
      <c r="BK298" s="588"/>
      <c r="BL298" s="588"/>
      <c r="BM298" s="589"/>
      <c r="BN298" s="590"/>
      <c r="BO298" s="854"/>
      <c r="BP298" s="854"/>
      <c r="BQ298" s="854"/>
      <c r="BR298" s="868"/>
      <c r="BS298" s="868"/>
      <c r="BT298" s="868"/>
      <c r="BU298" s="868"/>
      <c r="BV298" s="868"/>
      <c r="BW298" s="868"/>
      <c r="BX298" s="868"/>
      <c r="BY298" s="868"/>
      <c r="BZ298" s="868"/>
      <c r="CA298" s="868"/>
      <c r="CB298" s="868"/>
      <c r="CC298" s="868"/>
      <c r="CD298" s="868"/>
      <c r="CE298" s="868"/>
      <c r="CF298" s="868"/>
      <c r="CG298" s="868"/>
      <c r="CH298" s="868"/>
      <c r="CI298" s="868"/>
      <c r="CJ298" s="868"/>
      <c r="CK298" s="868"/>
      <c r="CL298" s="868"/>
      <c r="CM298" s="868"/>
      <c r="CN298" s="868"/>
      <c r="CO298" s="868"/>
      <c r="CP298" s="868"/>
      <c r="CQ298" s="868"/>
      <c r="CR298" s="868"/>
      <c r="CS298" s="868"/>
      <c r="CT298" s="868"/>
      <c r="CU298" s="868"/>
      <c r="CV298" s="868"/>
      <c r="CW298" s="870"/>
      <c r="CX298" s="868"/>
      <c r="CY298" s="868"/>
      <c r="CZ298" s="868"/>
      <c r="DA298" s="868"/>
      <c r="DB298" s="868"/>
      <c r="DC298" s="590"/>
      <c r="DD298" s="590"/>
      <c r="DE298" s="590"/>
      <c r="DF298" s="590"/>
      <c r="DG298" s="590"/>
      <c r="DH298" s="590"/>
      <c r="DI298" s="590"/>
      <c r="DJ298" s="590"/>
      <c r="DK298" s="590"/>
      <c r="DL298" s="590"/>
      <c r="DM298" s="590"/>
      <c r="DN298" s="590"/>
      <c r="DO298" s="590"/>
      <c r="DP298" s="590"/>
      <c r="DQ298" s="590"/>
      <c r="DR298" s="590"/>
      <c r="DS298" s="590"/>
      <c r="DT298" s="590"/>
      <c r="DU298" s="590"/>
      <c r="DV298" s="590"/>
      <c r="DW298" s="590"/>
      <c r="DX298" s="590"/>
      <c r="DY298" s="590"/>
      <c r="DZ298" s="590"/>
      <c r="EA298" s="590"/>
      <c r="EB298" s="590"/>
      <c r="EC298" s="590"/>
      <c r="ED298" s="590"/>
      <c r="EE298" s="590"/>
      <c r="EF298" s="590"/>
      <c r="EG298" s="590"/>
      <c r="EH298" s="590"/>
      <c r="EI298" s="590"/>
      <c r="EJ298" s="651"/>
      <c r="EK298" s="651"/>
    </row>
    <row r="299" spans="1:141" ht="12" customHeight="1" x14ac:dyDescent="0.15">
      <c r="A299" s="588"/>
      <c r="B299" s="852"/>
      <c r="C299" s="853"/>
      <c r="D299" s="861"/>
      <c r="E299" s="1309"/>
      <c r="F299" s="1309"/>
      <c r="G299" s="1309"/>
      <c r="H299" s="1309"/>
      <c r="I299" s="1309"/>
      <c r="J299" s="1309"/>
      <c r="K299" s="1309"/>
      <c r="L299" s="1309"/>
      <c r="M299" s="1309"/>
      <c r="N299" s="1309"/>
      <c r="O299" s="1309"/>
      <c r="P299" s="1309"/>
      <c r="Q299" s="1309"/>
      <c r="R299" s="861"/>
      <c r="S299" s="1325" t="str">
        <f>IF(S297="","",IF(S297&lt;=BU311,BN311,IF(S297&lt;BU310,BN310,BN309)))</f>
        <v/>
      </c>
      <c r="T299" s="1325"/>
      <c r="U299" s="1325"/>
      <c r="V299" s="1325"/>
      <c r="W299" s="1325"/>
      <c r="X299" s="1325"/>
      <c r="Y299" s="1325"/>
      <c r="Z299" s="1325"/>
      <c r="AA299" s="1325"/>
      <c r="AB299" s="1325"/>
      <c r="AC299" s="1325"/>
      <c r="AD299" s="1325"/>
      <c r="AE299" s="1325"/>
      <c r="AF299" s="1325"/>
      <c r="AG299" s="1325"/>
      <c r="AH299" s="1325"/>
      <c r="AI299" s="1325"/>
      <c r="AJ299" s="879"/>
      <c r="AK299" s="879"/>
      <c r="AL299" s="879"/>
      <c r="AM299" s="879"/>
      <c r="AN299" s="879"/>
      <c r="AO299" s="879"/>
      <c r="AP299" s="861"/>
      <c r="AQ299" s="861"/>
      <c r="AR299" s="861"/>
      <c r="AS299" s="861"/>
      <c r="AT299" s="861"/>
      <c r="AU299" s="861"/>
      <c r="AV299" s="861"/>
      <c r="AW299" s="861"/>
      <c r="AX299" s="861"/>
      <c r="AY299" s="861"/>
      <c r="AZ299" s="861"/>
      <c r="BA299" s="861"/>
      <c r="BB299" s="861"/>
      <c r="BC299" s="861"/>
      <c r="BD299" s="861"/>
      <c r="BE299" s="861"/>
      <c r="BF299" s="854"/>
      <c r="BG299" s="855"/>
      <c r="BH299" s="588"/>
      <c r="BI299" s="588"/>
      <c r="BJ299" s="588"/>
      <c r="BK299" s="588"/>
      <c r="BL299" s="588"/>
      <c r="BM299" s="589"/>
      <c r="BN299" s="743" t="s">
        <v>163</v>
      </c>
      <c r="BO299" s="869"/>
      <c r="BP299" s="868"/>
      <c r="BQ299" s="868"/>
      <c r="BR299" s="868"/>
      <c r="BS299" s="868"/>
      <c r="BT299" s="868"/>
      <c r="BU299" s="868"/>
      <c r="BV299" s="868"/>
      <c r="BW299" s="869"/>
      <c r="BX299" s="869"/>
      <c r="BY299" s="869"/>
      <c r="BZ299" s="882" t="s">
        <v>186</v>
      </c>
      <c r="CA299" s="882"/>
      <c r="CB299" s="869" t="s">
        <v>179</v>
      </c>
      <c r="CC299" s="869" t="s">
        <v>180</v>
      </c>
      <c r="CD299" s="869" t="s">
        <v>181</v>
      </c>
      <c r="CE299" s="869"/>
      <c r="CF299" s="869"/>
      <c r="CG299" s="869"/>
      <c r="CH299" s="869"/>
      <c r="CI299" s="869"/>
      <c r="CJ299" s="869"/>
      <c r="CK299" s="869"/>
      <c r="CL299" s="869"/>
      <c r="CM299" s="869"/>
      <c r="CN299" s="869"/>
      <c r="CO299" s="868"/>
      <c r="CP299" s="868"/>
      <c r="CQ299" s="868"/>
      <c r="CR299" s="868"/>
      <c r="CS299" s="868"/>
      <c r="CT299" s="868"/>
      <c r="CU299" s="868"/>
      <c r="CV299" s="868"/>
      <c r="CW299" s="870"/>
      <c r="CX299" s="868"/>
      <c r="CY299" s="868"/>
      <c r="CZ299" s="868"/>
      <c r="DA299" s="868"/>
      <c r="DB299" s="868"/>
      <c r="DC299" s="590"/>
      <c r="DD299" s="590"/>
      <c r="DE299" s="590"/>
      <c r="DF299" s="590"/>
      <c r="DG299" s="590"/>
      <c r="DH299" s="590"/>
      <c r="DI299" s="590"/>
      <c r="DJ299" s="590"/>
      <c r="DK299" s="590"/>
      <c r="DL299" s="590"/>
      <c r="DM299" s="590"/>
      <c r="DN299" s="590"/>
      <c r="DO299" s="590"/>
      <c r="DP299" s="590"/>
      <c r="DQ299" s="590"/>
      <c r="DR299" s="590"/>
      <c r="DS299" s="590"/>
      <c r="DT299" s="590"/>
      <c r="DU299" s="590"/>
      <c r="DV299" s="590"/>
      <c r="DW299" s="590"/>
      <c r="DX299" s="590"/>
      <c r="DY299" s="590"/>
      <c r="DZ299" s="590"/>
      <c r="EA299" s="590"/>
      <c r="EB299" s="590"/>
      <c r="EC299" s="590"/>
      <c r="ED299" s="590"/>
      <c r="EE299" s="590"/>
      <c r="EF299" s="590"/>
      <c r="EG299" s="590"/>
      <c r="EH299" s="590"/>
      <c r="EI299" s="590"/>
      <c r="EJ299" s="651"/>
      <c r="EK299" s="651"/>
    </row>
    <row r="300" spans="1:141" ht="12" customHeight="1" x14ac:dyDescent="0.15">
      <c r="A300" s="588"/>
      <c r="B300" s="852"/>
      <c r="C300" s="853"/>
      <c r="D300" s="861"/>
      <c r="E300" s="1309"/>
      <c r="F300" s="1309"/>
      <c r="G300" s="1309"/>
      <c r="H300" s="1309"/>
      <c r="I300" s="1309"/>
      <c r="J300" s="1309"/>
      <c r="K300" s="1309"/>
      <c r="L300" s="1309"/>
      <c r="M300" s="1309"/>
      <c r="N300" s="1309"/>
      <c r="O300" s="1309"/>
      <c r="P300" s="1309"/>
      <c r="Q300" s="1309"/>
      <c r="R300" s="854"/>
      <c r="S300" s="854"/>
      <c r="T300" s="854"/>
      <c r="U300" s="854"/>
      <c r="V300" s="854"/>
      <c r="W300" s="854"/>
      <c r="X300" s="854"/>
      <c r="Y300" s="854"/>
      <c r="Z300" s="880"/>
      <c r="AA300" s="880"/>
      <c r="AB300" s="880"/>
      <c r="AC300" s="880"/>
      <c r="AD300" s="880"/>
      <c r="AE300" s="880"/>
      <c r="AF300" s="880"/>
      <c r="AG300" s="880"/>
      <c r="AH300" s="880"/>
      <c r="AI300" s="879"/>
      <c r="AJ300" s="879"/>
      <c r="AK300" s="879"/>
      <c r="AL300" s="879"/>
      <c r="AM300" s="879"/>
      <c r="AN300" s="879"/>
      <c r="AO300" s="879"/>
      <c r="AP300" s="861"/>
      <c r="AQ300" s="861"/>
      <c r="AR300" s="861"/>
      <c r="AS300" s="861"/>
      <c r="AT300" s="861"/>
      <c r="AU300" s="861"/>
      <c r="AV300" s="861"/>
      <c r="AW300" s="861"/>
      <c r="AX300" s="861"/>
      <c r="AY300" s="861"/>
      <c r="AZ300" s="861"/>
      <c r="BA300" s="861"/>
      <c r="BB300" s="861"/>
      <c r="BC300" s="861"/>
      <c r="BD300" s="861"/>
      <c r="BE300" s="861"/>
      <c r="BF300" s="854"/>
      <c r="BG300" s="855"/>
      <c r="BH300" s="588"/>
      <c r="BI300" s="588"/>
      <c r="BJ300" s="588"/>
      <c r="BK300" s="588"/>
      <c r="BL300" s="588"/>
      <c r="BM300" s="589"/>
      <c r="BN300" s="743" t="s">
        <v>182</v>
      </c>
      <c r="BO300" s="869"/>
      <c r="BP300" s="868"/>
      <c r="BQ300" s="868"/>
      <c r="BR300" s="868"/>
      <c r="BS300" s="868"/>
      <c r="BT300" s="868"/>
      <c r="BU300" s="868"/>
      <c r="BV300" s="868"/>
      <c r="BW300" s="869"/>
      <c r="BX300" s="869"/>
      <c r="BY300" s="869"/>
      <c r="BZ300" s="882" t="s">
        <v>182</v>
      </c>
      <c r="CA300" s="882"/>
      <c r="CB300" s="869">
        <v>60</v>
      </c>
      <c r="CC300" s="869">
        <v>75</v>
      </c>
      <c r="CD300" s="869">
        <v>100</v>
      </c>
      <c r="CE300" s="869"/>
      <c r="CF300" s="869"/>
      <c r="CG300" s="869"/>
      <c r="CH300" s="869"/>
      <c r="CI300" s="869"/>
      <c r="CJ300" s="869"/>
      <c r="CK300" s="869"/>
      <c r="CL300" s="869"/>
      <c r="CM300" s="869"/>
      <c r="CN300" s="869"/>
      <c r="CO300" s="868"/>
      <c r="CP300" s="868"/>
      <c r="CQ300" s="868"/>
      <c r="CR300" s="868"/>
      <c r="CS300" s="868"/>
      <c r="CT300" s="868"/>
      <c r="CU300" s="868"/>
      <c r="CV300" s="868"/>
      <c r="CW300" s="870"/>
      <c r="CX300" s="868"/>
      <c r="CY300" s="868"/>
      <c r="CZ300" s="868"/>
      <c r="DA300" s="868"/>
      <c r="DB300" s="868"/>
      <c r="DC300" s="590"/>
      <c r="DD300" s="590"/>
      <c r="DE300" s="590"/>
      <c r="DF300" s="590"/>
      <c r="DG300" s="590"/>
      <c r="DH300" s="590"/>
      <c r="DI300" s="590"/>
      <c r="DJ300" s="590"/>
      <c r="DK300" s="590"/>
      <c r="DL300" s="590"/>
      <c r="DM300" s="590"/>
      <c r="DN300" s="590"/>
      <c r="DO300" s="590"/>
      <c r="DP300" s="590"/>
      <c r="DQ300" s="590"/>
      <c r="DR300" s="590"/>
      <c r="DS300" s="590"/>
      <c r="DT300" s="590"/>
      <c r="DU300" s="590"/>
      <c r="DV300" s="590"/>
      <c r="DW300" s="590"/>
      <c r="DX300" s="590"/>
      <c r="DY300" s="590"/>
      <c r="DZ300" s="590"/>
      <c r="EA300" s="590"/>
      <c r="EB300" s="590"/>
      <c r="EC300" s="590"/>
      <c r="ED300" s="590"/>
      <c r="EE300" s="590"/>
      <c r="EF300" s="590"/>
      <c r="EG300" s="590"/>
      <c r="EH300" s="590"/>
      <c r="EI300" s="590"/>
      <c r="EJ300" s="651"/>
      <c r="EK300" s="651"/>
    </row>
    <row r="301" spans="1:141" ht="14" x14ac:dyDescent="0.15">
      <c r="A301" s="588"/>
      <c r="B301" s="852"/>
      <c r="C301" s="853"/>
      <c r="D301" s="861"/>
      <c r="E301" s="1309" t="s">
        <v>175</v>
      </c>
      <c r="F301" s="1309"/>
      <c r="G301" s="1309"/>
      <c r="H301" s="1309"/>
      <c r="I301" s="1309"/>
      <c r="J301" s="1309"/>
      <c r="K301" s="1309"/>
      <c r="L301" s="1309"/>
      <c r="M301" s="1309"/>
      <c r="N301" s="1309"/>
      <c r="O301" s="1309"/>
      <c r="P301" s="1309"/>
      <c r="Q301" s="1309"/>
      <c r="R301" s="1309"/>
      <c r="S301" s="1315" t="str">
        <f>IF(CE321=0,"",CE323/10000)</f>
        <v/>
      </c>
      <c r="T301" s="1315"/>
      <c r="U301" s="1315"/>
      <c r="V301" s="1315"/>
      <c r="W301" s="862"/>
      <c r="X301" s="861"/>
      <c r="Y301" s="861"/>
      <c r="Z301" s="861"/>
      <c r="AA301" s="861"/>
      <c r="AB301" s="861"/>
      <c r="AC301" s="861"/>
      <c r="AD301" s="861"/>
      <c r="AE301" s="861"/>
      <c r="AF301" s="861"/>
      <c r="AG301" s="861"/>
      <c r="AH301" s="861"/>
      <c r="AI301" s="861"/>
      <c r="AJ301" s="861"/>
      <c r="AK301" s="861"/>
      <c r="AL301" s="861"/>
      <c r="AM301" s="861"/>
      <c r="AN301" s="861"/>
      <c r="AO301" s="861"/>
      <c r="AP301" s="861"/>
      <c r="AQ301" s="861"/>
      <c r="AR301" s="861"/>
      <c r="AS301" s="861"/>
      <c r="AT301" s="861"/>
      <c r="AU301" s="861"/>
      <c r="AV301" s="861"/>
      <c r="AW301" s="861"/>
      <c r="AX301" s="861"/>
      <c r="AY301" s="861"/>
      <c r="AZ301" s="861"/>
      <c r="BA301" s="861"/>
      <c r="BB301" s="861"/>
      <c r="BC301" s="861"/>
      <c r="BD301" s="861"/>
      <c r="BE301" s="861"/>
      <c r="BF301" s="854"/>
      <c r="BG301" s="855"/>
      <c r="BH301" s="588"/>
      <c r="BI301" s="588"/>
      <c r="BJ301" s="588"/>
      <c r="BK301" s="588"/>
      <c r="BL301" s="588"/>
      <c r="BM301" s="589"/>
      <c r="BN301" s="743" t="s">
        <v>183</v>
      </c>
      <c r="BO301" s="869"/>
      <c r="BP301" s="868"/>
      <c r="BQ301" s="868"/>
      <c r="BR301" s="868"/>
      <c r="BS301" s="868"/>
      <c r="BT301" s="868"/>
      <c r="BU301" s="868"/>
      <c r="BV301" s="868"/>
      <c r="BW301" s="869"/>
      <c r="BX301" s="869"/>
      <c r="BY301" s="869"/>
      <c r="BZ301" s="882" t="s">
        <v>183</v>
      </c>
      <c r="CA301" s="882"/>
      <c r="CB301" s="869">
        <v>75</v>
      </c>
      <c r="CC301" s="869">
        <v>100</v>
      </c>
      <c r="CD301" s="869">
        <v>220</v>
      </c>
      <c r="CE301" s="869"/>
      <c r="CF301" s="869"/>
      <c r="CG301" s="869"/>
      <c r="CH301" s="869"/>
      <c r="CI301" s="869"/>
      <c r="CJ301" s="869"/>
      <c r="CK301" s="869"/>
      <c r="CL301" s="869"/>
      <c r="CM301" s="869"/>
      <c r="CN301" s="869"/>
      <c r="CO301" s="868"/>
      <c r="CP301" s="868"/>
      <c r="CQ301" s="868"/>
      <c r="CR301" s="868"/>
      <c r="CS301" s="868"/>
      <c r="CT301" s="868"/>
      <c r="CU301" s="868"/>
      <c r="CV301" s="868"/>
      <c r="CW301" s="870"/>
      <c r="CX301" s="868"/>
      <c r="CY301" s="868"/>
      <c r="CZ301" s="868"/>
      <c r="DA301" s="868"/>
      <c r="DB301" s="868"/>
      <c r="DC301" s="590"/>
      <c r="DD301" s="590"/>
      <c r="DE301" s="590"/>
      <c r="DF301" s="590"/>
      <c r="DG301" s="590"/>
      <c r="DH301" s="590"/>
      <c r="DI301" s="590"/>
      <c r="DJ301" s="590"/>
      <c r="DK301" s="590"/>
      <c r="DL301" s="590"/>
      <c r="DM301" s="590"/>
      <c r="DN301" s="590"/>
      <c r="DO301" s="590"/>
      <c r="DP301" s="590"/>
      <c r="DQ301" s="590"/>
      <c r="DR301" s="590"/>
      <c r="DS301" s="590"/>
      <c r="DT301" s="590"/>
      <c r="DU301" s="590"/>
      <c r="DV301" s="590"/>
      <c r="DW301" s="590"/>
      <c r="DX301" s="590"/>
      <c r="DY301" s="590"/>
      <c r="EF301" s="590"/>
      <c r="EG301" s="590"/>
      <c r="EH301" s="590"/>
      <c r="EI301" s="590"/>
      <c r="EJ301" s="651"/>
      <c r="EK301" s="651"/>
    </row>
    <row r="302" spans="1:141" ht="15" customHeight="1" x14ac:dyDescent="0.15">
      <c r="A302" s="588"/>
      <c r="B302" s="852"/>
      <c r="C302" s="853"/>
      <c r="D302" s="853"/>
      <c r="E302" s="853"/>
      <c r="F302" s="853"/>
      <c r="G302" s="853"/>
      <c r="H302" s="853"/>
      <c r="I302" s="853"/>
      <c r="J302" s="853"/>
      <c r="K302" s="853"/>
      <c r="L302" s="853"/>
      <c r="M302" s="853"/>
      <c r="N302" s="853"/>
      <c r="O302" s="853"/>
      <c r="P302" s="853"/>
      <c r="Q302" s="853"/>
      <c r="R302" s="853"/>
      <c r="S302" s="853"/>
      <c r="T302" s="853"/>
      <c r="U302" s="853"/>
      <c r="V302" s="853"/>
      <c r="W302" s="853"/>
      <c r="X302" s="853"/>
      <c r="Y302" s="853"/>
      <c r="Z302" s="853"/>
      <c r="AA302" s="853"/>
      <c r="AB302" s="853"/>
      <c r="AC302" s="853"/>
      <c r="AD302" s="853"/>
      <c r="AE302" s="853"/>
      <c r="AF302" s="853"/>
      <c r="AG302" s="853"/>
      <c r="AH302" s="853"/>
      <c r="AI302" s="853"/>
      <c r="AJ302" s="853"/>
      <c r="AK302" s="853"/>
      <c r="AL302" s="853"/>
      <c r="AM302" s="853"/>
      <c r="AN302" s="853"/>
      <c r="AO302" s="853"/>
      <c r="AP302" s="853"/>
      <c r="AQ302" s="853"/>
      <c r="AR302" s="853"/>
      <c r="AS302" s="853"/>
      <c r="AT302" s="853"/>
      <c r="AU302" s="853"/>
      <c r="AV302" s="853"/>
      <c r="AW302" s="853"/>
      <c r="AX302" s="853"/>
      <c r="AY302" s="853"/>
      <c r="AZ302" s="853"/>
      <c r="BA302" s="853"/>
      <c r="BB302" s="853"/>
      <c r="BC302" s="853"/>
      <c r="BD302" s="853"/>
      <c r="BE302" s="853"/>
      <c r="BF302" s="853"/>
      <c r="BG302" s="855"/>
      <c r="BH302" s="588"/>
      <c r="BI302" s="588"/>
      <c r="BJ302" s="588"/>
      <c r="BK302" s="588"/>
      <c r="BL302" s="588"/>
      <c r="BM302" s="589"/>
      <c r="BN302" s="743" t="s">
        <v>184</v>
      </c>
      <c r="BO302" s="869"/>
      <c r="BP302" s="868"/>
      <c r="BQ302" s="868"/>
      <c r="BR302" s="868"/>
      <c r="BS302" s="868"/>
      <c r="BT302" s="868"/>
      <c r="BU302" s="868"/>
      <c r="BV302" s="868"/>
      <c r="BW302" s="869"/>
      <c r="BX302" s="869"/>
      <c r="BY302" s="869"/>
      <c r="BZ302" s="882" t="s">
        <v>184</v>
      </c>
      <c r="CA302" s="882"/>
      <c r="CB302" s="869">
        <v>100</v>
      </c>
      <c r="CC302" s="869">
        <v>220</v>
      </c>
      <c r="CD302" s="869">
        <v>400</v>
      </c>
      <c r="CE302" s="869"/>
      <c r="CF302" s="869"/>
      <c r="CG302" s="869"/>
      <c r="CH302" s="869"/>
      <c r="CI302" s="869"/>
      <c r="CJ302" s="869"/>
      <c r="CK302" s="869"/>
      <c r="CL302" s="869"/>
      <c r="CM302" s="869"/>
      <c r="CN302" s="869"/>
      <c r="CO302" s="868"/>
      <c r="CP302" s="868"/>
      <c r="CQ302" s="868"/>
      <c r="CR302" s="868"/>
      <c r="CS302" s="868"/>
      <c r="CT302" s="868"/>
      <c r="CU302" s="868"/>
      <c r="CV302" s="868"/>
      <c r="CW302" s="870"/>
      <c r="CX302" s="868"/>
      <c r="CY302" s="868"/>
      <c r="CZ302" s="868"/>
      <c r="DA302" s="868"/>
      <c r="DB302" s="868"/>
      <c r="DC302" s="590"/>
      <c r="DD302" s="590"/>
      <c r="DE302" s="590"/>
      <c r="DF302" s="590"/>
      <c r="DG302" s="590"/>
      <c r="DH302" s="590"/>
      <c r="DI302" s="590"/>
      <c r="DJ302" s="590"/>
      <c r="DK302" s="590"/>
      <c r="DL302" s="590"/>
      <c r="DM302" s="590"/>
      <c r="DN302" s="590"/>
      <c r="DO302" s="590"/>
      <c r="DP302" s="590"/>
      <c r="DQ302" s="590"/>
      <c r="DR302" s="590"/>
      <c r="DS302" s="590"/>
      <c r="DT302" s="590"/>
      <c r="DU302" s="590"/>
      <c r="DV302" s="590"/>
      <c r="DW302" s="590"/>
      <c r="DX302" s="590"/>
      <c r="DY302" s="590"/>
      <c r="EF302" s="590"/>
      <c r="EG302" s="590"/>
      <c r="EH302" s="590"/>
      <c r="EI302" s="590"/>
      <c r="EJ302" s="651"/>
      <c r="EK302" s="651"/>
    </row>
    <row r="303" spans="1:141" ht="14" x14ac:dyDescent="0.15">
      <c r="A303" s="588"/>
      <c r="B303" s="852"/>
      <c r="C303" s="853"/>
      <c r="D303" s="881"/>
      <c r="E303" s="881"/>
      <c r="F303" s="881"/>
      <c r="G303" s="881"/>
      <c r="H303" s="881"/>
      <c r="I303" s="881"/>
      <c r="J303" s="881"/>
      <c r="K303" s="881"/>
      <c r="L303" s="881"/>
      <c r="M303" s="881"/>
      <c r="N303" s="881"/>
      <c r="O303" s="881"/>
      <c r="P303" s="881"/>
      <c r="Q303" s="881"/>
      <c r="R303" s="881"/>
      <c r="S303" s="881"/>
      <c r="T303" s="881"/>
      <c r="U303" s="881"/>
      <c r="V303" s="881"/>
      <c r="W303" s="881"/>
      <c r="X303" s="881"/>
      <c r="Y303" s="881"/>
      <c r="Z303" s="881"/>
      <c r="AA303" s="881"/>
      <c r="AB303" s="881"/>
      <c r="AC303" s="881"/>
      <c r="AD303" s="881"/>
      <c r="AE303" s="881"/>
      <c r="AF303" s="881"/>
      <c r="AG303" s="881"/>
      <c r="AH303" s="881"/>
      <c r="AI303" s="881"/>
      <c r="AJ303" s="881"/>
      <c r="AK303" s="881"/>
      <c r="AL303" s="881"/>
      <c r="AM303" s="881"/>
      <c r="AN303" s="881"/>
      <c r="AO303" s="881"/>
      <c r="AP303" s="881"/>
      <c r="AQ303" s="881"/>
      <c r="AR303" s="881"/>
      <c r="AS303" s="881"/>
      <c r="AT303" s="881"/>
      <c r="AU303" s="881"/>
      <c r="AV303" s="881"/>
      <c r="AW303" s="881"/>
      <c r="AX303" s="881"/>
      <c r="AY303" s="881"/>
      <c r="AZ303" s="881"/>
      <c r="BA303" s="881"/>
      <c r="BB303" s="881"/>
      <c r="BC303" s="881"/>
      <c r="BD303" s="881"/>
      <c r="BE303" s="881"/>
      <c r="BF303" s="853"/>
      <c r="BG303" s="855"/>
      <c r="BH303" s="588"/>
      <c r="BI303" s="588"/>
      <c r="BJ303" s="588"/>
      <c r="BK303" s="588"/>
      <c r="BL303" s="588"/>
      <c r="BM303" s="589"/>
      <c r="BN303" s="590" t="s">
        <v>185</v>
      </c>
      <c r="BO303" s="868"/>
      <c r="BP303" s="868"/>
      <c r="BQ303" s="868"/>
      <c r="BR303" s="868"/>
      <c r="BS303" s="868"/>
      <c r="BT303" s="868"/>
      <c r="BU303" s="868"/>
      <c r="BV303" s="868"/>
      <c r="BW303" s="869"/>
      <c r="BX303" s="869"/>
      <c r="BY303" s="869"/>
      <c r="BZ303" s="882" t="s">
        <v>185</v>
      </c>
      <c r="CA303" s="882"/>
      <c r="CB303" s="869">
        <v>220</v>
      </c>
      <c r="CC303" s="869">
        <v>400</v>
      </c>
      <c r="CD303" s="869">
        <v>650</v>
      </c>
      <c r="CE303" s="869"/>
      <c r="CF303" s="869"/>
      <c r="CG303" s="869"/>
      <c r="CH303" s="869"/>
      <c r="CI303" s="869"/>
      <c r="CJ303" s="869"/>
      <c r="CK303" s="869"/>
      <c r="CL303" s="869"/>
      <c r="CM303" s="869"/>
      <c r="CN303" s="869"/>
      <c r="CO303" s="868"/>
      <c r="CP303" s="868"/>
      <c r="CQ303" s="868"/>
      <c r="CR303" s="868"/>
      <c r="CS303" s="868"/>
      <c r="CT303" s="868"/>
      <c r="CU303" s="868"/>
      <c r="CV303" s="868"/>
      <c r="CW303" s="870"/>
      <c r="CX303" s="868"/>
      <c r="CY303" s="868"/>
      <c r="CZ303" s="868"/>
      <c r="DA303" s="868"/>
      <c r="DB303" s="868"/>
      <c r="DC303" s="590"/>
      <c r="DD303" s="590"/>
      <c r="DE303" s="590"/>
      <c r="DF303" s="590"/>
      <c r="DG303" s="590"/>
      <c r="DH303" s="590"/>
      <c r="DI303" s="590"/>
      <c r="DJ303" s="590"/>
      <c r="DK303" s="590"/>
      <c r="DL303" s="590"/>
      <c r="DM303" s="590"/>
      <c r="DN303" s="590"/>
      <c r="DO303" s="590"/>
      <c r="DP303" s="590"/>
      <c r="DQ303" s="590"/>
      <c r="DR303" s="590"/>
      <c r="DS303" s="590"/>
      <c r="DT303" s="590"/>
      <c r="DU303" s="590"/>
      <c r="DV303" s="590"/>
      <c r="DW303" s="590"/>
      <c r="DX303" s="590"/>
      <c r="DY303" s="590"/>
      <c r="EF303" s="590"/>
      <c r="EG303" s="590"/>
      <c r="EH303" s="590"/>
      <c r="EI303" s="590"/>
      <c r="EJ303" s="651"/>
      <c r="EK303" s="651"/>
    </row>
    <row r="304" spans="1:141" ht="12.75" customHeight="1" x14ac:dyDescent="0.15">
      <c r="A304" s="588"/>
      <c r="B304" s="852"/>
      <c r="C304" s="853"/>
      <c r="D304" s="1311" t="s">
        <v>176</v>
      </c>
      <c r="E304" s="1311"/>
      <c r="F304" s="1311"/>
      <c r="G304" s="1311"/>
      <c r="H304" s="1311"/>
      <c r="I304" s="1311"/>
      <c r="J304" s="1311"/>
      <c r="K304" s="1313" t="e">
        <f>IF(devizanem="HUF",Bubor,EurRefrata) + refkamatFelar</f>
        <v>#VALUE!</v>
      </c>
      <c r="L304" s="1313"/>
      <c r="M304" s="1313"/>
      <c r="N304" s="1313"/>
      <c r="O304" s="883"/>
      <c r="P304" s="883"/>
      <c r="Q304" s="883"/>
      <c r="R304" s="884"/>
      <c r="S304" s="1314"/>
      <c r="T304" s="1314"/>
      <c r="U304" s="1314"/>
      <c r="V304" s="1314"/>
      <c r="W304" s="885"/>
      <c r="X304" s="886"/>
      <c r="Y304" s="886"/>
      <c r="Z304" s="886"/>
      <c r="AA304" s="886"/>
      <c r="AB304" s="886"/>
      <c r="AC304" s="886"/>
      <c r="AD304" s="886"/>
      <c r="AE304" s="886"/>
      <c r="AF304" s="886"/>
      <c r="AG304" s="886"/>
      <c r="AH304" s="886"/>
      <c r="AI304" s="883"/>
      <c r="AJ304" s="883"/>
      <c r="AK304" s="883"/>
      <c r="AL304" s="883"/>
      <c r="AM304" s="883"/>
      <c r="AN304" s="883"/>
      <c r="AO304" s="883"/>
      <c r="AP304" s="881"/>
      <c r="AQ304" s="881"/>
      <c r="AR304" s="881"/>
      <c r="AS304" s="881"/>
      <c r="AT304" s="881"/>
      <c r="AU304" s="881"/>
      <c r="AV304" s="881"/>
      <c r="AW304" s="881"/>
      <c r="AX304" s="881"/>
      <c r="AY304" s="881"/>
      <c r="AZ304" s="881"/>
      <c r="BA304" s="881"/>
      <c r="BB304" s="881"/>
      <c r="BC304" s="881"/>
      <c r="BD304" s="881"/>
      <c r="BE304" s="881"/>
      <c r="BF304" s="853"/>
      <c r="BG304" s="855"/>
      <c r="BH304" s="588"/>
      <c r="BI304" s="588"/>
      <c r="BJ304" s="588"/>
      <c r="BK304" s="588"/>
      <c r="BL304" s="588"/>
      <c r="BM304" s="589"/>
      <c r="BN304" s="590" t="s">
        <v>198</v>
      </c>
      <c r="BO304" s="868"/>
      <c r="BP304" s="868"/>
      <c r="BQ304" s="868"/>
      <c r="BR304" s="868"/>
      <c r="BS304" s="868"/>
      <c r="BT304" s="868"/>
      <c r="BU304" s="868"/>
      <c r="BV304" s="868"/>
      <c r="BW304" s="869"/>
      <c r="BX304" s="869"/>
      <c r="BY304" s="869"/>
      <c r="BZ304" s="882" t="s">
        <v>186</v>
      </c>
      <c r="CA304" s="882"/>
      <c r="CB304" s="869">
        <v>400</v>
      </c>
      <c r="CC304" s="869">
        <v>650</v>
      </c>
      <c r="CD304" s="869">
        <v>1000</v>
      </c>
      <c r="CE304" s="869"/>
      <c r="CF304" s="869"/>
      <c r="CG304" s="869"/>
      <c r="CH304" s="869"/>
      <c r="CI304" s="869"/>
      <c r="CJ304" s="869"/>
      <c r="CK304" s="869"/>
      <c r="CL304" s="869"/>
      <c r="CM304" s="869"/>
      <c r="CN304" s="869"/>
      <c r="CO304" s="868"/>
      <c r="CP304" s="868"/>
      <c r="CQ304" s="868"/>
      <c r="CR304" s="868"/>
      <c r="CS304" s="868"/>
      <c r="CT304" s="868"/>
      <c r="CU304" s="868"/>
      <c r="CV304" s="868"/>
      <c r="CW304" s="870"/>
      <c r="CX304" s="868"/>
      <c r="CY304" s="868"/>
      <c r="CZ304" s="868"/>
      <c r="DA304" s="868"/>
      <c r="DB304" s="868"/>
      <c r="DC304" s="590"/>
      <c r="DD304" s="590"/>
      <c r="DE304" s="590"/>
      <c r="DF304" s="590"/>
      <c r="DG304" s="590"/>
      <c r="DH304" s="590"/>
      <c r="DI304" s="590"/>
      <c r="DJ304" s="590"/>
      <c r="DK304" s="590"/>
      <c r="DL304" s="590"/>
      <c r="DM304" s="590"/>
      <c r="DN304" s="590"/>
      <c r="DO304" s="590"/>
      <c r="DP304" s="590"/>
      <c r="DQ304" s="590"/>
      <c r="DR304" s="590"/>
      <c r="DS304" s="590"/>
      <c r="DT304" s="590"/>
      <c r="DU304" s="590"/>
      <c r="DV304" s="590"/>
      <c r="DW304" s="590"/>
      <c r="DX304" s="590"/>
      <c r="DY304" s="590"/>
      <c r="EF304" s="590"/>
      <c r="EG304" s="590"/>
      <c r="EH304" s="590"/>
      <c r="EI304" s="590"/>
      <c r="EJ304" s="651"/>
      <c r="EK304" s="651"/>
    </row>
    <row r="305" spans="1:143" ht="15" x14ac:dyDescent="0.2">
      <c r="A305" s="588"/>
      <c r="B305" s="852"/>
      <c r="C305" s="853"/>
      <c r="D305" s="887"/>
      <c r="E305" s="886"/>
      <c r="F305" s="886"/>
      <c r="G305" s="886"/>
      <c r="H305" s="886"/>
      <c r="I305" s="886"/>
      <c r="J305" s="886"/>
      <c r="K305" s="886"/>
      <c r="L305" s="886"/>
      <c r="M305" s="886"/>
      <c r="N305" s="886"/>
      <c r="O305" s="886"/>
      <c r="P305" s="883"/>
      <c r="Q305" s="883"/>
      <c r="R305" s="884"/>
      <c r="S305" s="885"/>
      <c r="T305" s="885"/>
      <c r="U305" s="885"/>
      <c r="V305" s="885"/>
      <c r="W305" s="885"/>
      <c r="X305" s="886"/>
      <c r="Y305" s="886"/>
      <c r="Z305" s="886"/>
      <c r="AA305" s="886"/>
      <c r="AB305" s="886"/>
      <c r="AC305" s="886"/>
      <c r="AD305" s="886"/>
      <c r="AE305" s="886"/>
      <c r="AF305" s="886"/>
      <c r="AG305" s="886"/>
      <c r="AH305" s="886"/>
      <c r="AI305" s="883"/>
      <c r="AJ305" s="883"/>
      <c r="AK305" s="883"/>
      <c r="AL305" s="883"/>
      <c r="AM305" s="883"/>
      <c r="AN305" s="883"/>
      <c r="AO305" s="883"/>
      <c r="AP305" s="881"/>
      <c r="AQ305" s="881"/>
      <c r="AR305" s="881"/>
      <c r="AS305" s="881"/>
      <c r="AT305" s="881"/>
      <c r="AU305" s="881"/>
      <c r="AV305" s="881"/>
      <c r="AW305" s="881"/>
      <c r="AX305" s="881"/>
      <c r="AY305" s="881"/>
      <c r="AZ305" s="881"/>
      <c r="BA305" s="881"/>
      <c r="BB305" s="881"/>
      <c r="BC305" s="881"/>
      <c r="BD305" s="881"/>
      <c r="BE305" s="881"/>
      <c r="BF305" s="853"/>
      <c r="BG305" s="855"/>
      <c r="BH305" s="588"/>
      <c r="BI305" s="588"/>
      <c r="BJ305" s="588"/>
      <c r="BK305" s="588"/>
      <c r="BL305" s="588"/>
      <c r="BM305" s="589"/>
      <c r="BN305" s="590"/>
      <c r="BO305" s="868"/>
      <c r="BP305" s="868"/>
      <c r="BQ305" s="868"/>
      <c r="BR305" s="868"/>
      <c r="BS305" s="868"/>
      <c r="BT305" s="868"/>
      <c r="BU305" s="868"/>
      <c r="BV305" s="868"/>
      <c r="BW305" s="869"/>
      <c r="BX305" s="869"/>
      <c r="BY305" s="869"/>
      <c r="BZ305" s="882"/>
      <c r="CA305" s="882"/>
      <c r="CB305" s="869"/>
      <c r="CC305" s="869"/>
      <c r="CD305" s="869"/>
      <c r="CE305" s="869"/>
      <c r="CF305" s="869"/>
      <c r="CG305" s="869"/>
      <c r="CH305" s="869"/>
      <c r="CI305" s="869"/>
      <c r="CJ305" s="869"/>
      <c r="CK305" s="869"/>
      <c r="CL305" s="869"/>
      <c r="CM305" s="869"/>
      <c r="CN305" s="869"/>
      <c r="CO305" s="868"/>
      <c r="CP305" s="868"/>
      <c r="CQ305" s="868"/>
      <c r="CR305" s="868"/>
      <c r="CS305" s="868"/>
      <c r="CT305" s="868"/>
      <c r="CU305" s="868"/>
      <c r="CV305" s="868"/>
      <c r="CW305" s="870"/>
      <c r="CX305" s="868"/>
      <c r="CY305" s="868"/>
      <c r="CZ305" s="868"/>
      <c r="DA305" s="868"/>
      <c r="DB305" s="868"/>
      <c r="DC305" s="590"/>
      <c r="DD305" s="590"/>
      <c r="DE305" s="590"/>
      <c r="DF305" s="590"/>
      <c r="DG305" s="590"/>
      <c r="DH305" s="590"/>
      <c r="DI305" s="590"/>
      <c r="DJ305" s="590"/>
      <c r="DK305" s="590"/>
      <c r="DL305" s="590"/>
      <c r="DM305" s="590"/>
      <c r="DN305" s="590"/>
      <c r="DO305" s="590"/>
      <c r="DP305" s="590"/>
      <c r="DQ305" s="590"/>
      <c r="DR305" s="590"/>
      <c r="DS305" s="590"/>
      <c r="DT305" s="590"/>
      <c r="DU305" s="590"/>
      <c r="DV305" s="590"/>
      <c r="DW305" s="590"/>
      <c r="DX305" s="590"/>
      <c r="DY305" s="899"/>
      <c r="EF305" s="590"/>
      <c r="EG305" s="590"/>
      <c r="EH305" s="590"/>
      <c r="EI305" s="590"/>
      <c r="EJ305" s="651"/>
      <c r="EK305" s="651"/>
    </row>
    <row r="306" spans="1:143" ht="16" x14ac:dyDescent="0.2">
      <c r="A306" s="588"/>
      <c r="B306" s="619"/>
      <c r="C306" s="588"/>
      <c r="D306" s="1316" t="str">
        <f>IF(BN294=0,"TT számításhoz használt árfolyam (előző hónap utolsó napján érvényes MNB EUR devizaközép árfolyam)","TT számításhoz használt árfolyam (előző hónap utolsó napján érvényes EKB EUR devizaközép árfolyam)")</f>
        <v>TT számításhoz használt árfolyam (előző hónap utolsó napján érvényes MNB EUR devizaközép árfolyam)</v>
      </c>
      <c r="E306" s="1316"/>
      <c r="F306" s="1316"/>
      <c r="G306" s="1316"/>
      <c r="H306" s="1316"/>
      <c r="I306" s="1316"/>
      <c r="J306" s="1316"/>
      <c r="K306" s="1316"/>
      <c r="L306" s="1316"/>
      <c r="M306" s="1316"/>
      <c r="N306" s="1316"/>
      <c r="O306" s="1316"/>
      <c r="P306" s="1316"/>
      <c r="Q306" s="1316"/>
      <c r="R306" s="1316"/>
      <c r="S306" s="1316"/>
      <c r="T306" s="1316"/>
      <c r="U306" s="1316"/>
      <c r="V306" s="1316"/>
      <c r="W306" s="1316"/>
      <c r="X306" s="1316"/>
      <c r="Y306" s="1316"/>
      <c r="Z306" s="1316"/>
      <c r="AA306" s="1316"/>
      <c r="AB306" s="1316"/>
      <c r="AC306" s="1316"/>
      <c r="AD306" s="1316"/>
      <c r="AE306" s="1316"/>
      <c r="AF306" s="888"/>
      <c r="AG306" s="888"/>
      <c r="AH306" s="888"/>
      <c r="AI306" s="889"/>
      <c r="AJ306" s="889"/>
      <c r="AK306" s="889"/>
      <c r="AL306" s="889"/>
      <c r="AM306" s="889"/>
      <c r="AN306" s="889"/>
      <c r="AO306" s="1317">
        <v>364.65</v>
      </c>
      <c r="AP306" s="1317"/>
      <c r="AQ306" s="1317"/>
      <c r="AR306" s="1317"/>
      <c r="AS306" s="1317"/>
      <c r="AT306" s="1317"/>
      <c r="AU306" s="1317"/>
      <c r="AV306" s="1317"/>
      <c r="AW306" s="1317"/>
      <c r="AX306" s="1317"/>
      <c r="AY306" s="658"/>
      <c r="AZ306" s="890"/>
      <c r="BA306" s="1003" t="s">
        <v>1090</v>
      </c>
      <c r="BB306" s="1001" t="s">
        <v>111</v>
      </c>
      <c r="BC306" s="891"/>
      <c r="BD306" s="892"/>
      <c r="BE306" s="893"/>
      <c r="BF306" s="588"/>
      <c r="BG306" s="621"/>
      <c r="BH306" s="588"/>
      <c r="BI306" s="588"/>
      <c r="BJ306" s="588"/>
      <c r="BK306" s="588"/>
      <c r="BL306" s="588"/>
      <c r="BM306" s="589"/>
      <c r="BN306" s="590"/>
      <c r="BO306" s="868"/>
      <c r="BP306" s="868"/>
      <c r="BQ306" s="868"/>
      <c r="BR306" s="868"/>
      <c r="BS306" s="868"/>
      <c r="BT306" s="868"/>
      <c r="BU306" s="868"/>
      <c r="BV306" s="868"/>
      <c r="BW306" s="869"/>
      <c r="BX306" s="869"/>
      <c r="BY306" s="869"/>
      <c r="BZ306" s="869"/>
      <c r="CA306" s="869"/>
      <c r="CB306" s="869" t="s">
        <v>187</v>
      </c>
      <c r="CC306" s="869" t="s">
        <v>188</v>
      </c>
      <c r="CD306" s="869" t="s">
        <v>189</v>
      </c>
      <c r="CE306" s="869"/>
      <c r="CF306" s="869"/>
      <c r="CG306" s="869"/>
      <c r="CH306" s="869"/>
      <c r="CI306" s="869"/>
      <c r="CJ306" s="869"/>
      <c r="CK306" s="869"/>
      <c r="CL306" s="869"/>
      <c r="CM306" s="869"/>
      <c r="CN306" s="869"/>
      <c r="CO306" s="868"/>
      <c r="CP306" s="868"/>
      <c r="CQ306" s="868"/>
      <c r="CR306" s="868"/>
      <c r="CS306" s="868"/>
      <c r="CT306" s="868"/>
      <c r="CU306" s="868"/>
      <c r="CV306" s="868"/>
      <c r="CW306" s="870"/>
      <c r="CX306" s="868"/>
      <c r="CY306" s="868"/>
      <c r="CZ306" s="868"/>
      <c r="DA306" s="868"/>
      <c r="DB306" s="868"/>
      <c r="DC306" s="590"/>
      <c r="DD306" s="590"/>
      <c r="DE306" s="590"/>
      <c r="DF306" s="590"/>
      <c r="DG306" s="590"/>
      <c r="DH306" s="590"/>
      <c r="DI306" s="590"/>
      <c r="DJ306" s="590"/>
      <c r="DK306" s="590"/>
      <c r="DL306" s="590"/>
      <c r="DM306" s="590"/>
      <c r="DN306" s="590"/>
      <c r="DO306" s="590"/>
      <c r="DP306" s="590"/>
      <c r="DQ306" s="590"/>
      <c r="DR306" s="590"/>
      <c r="DS306" s="590"/>
      <c r="DT306" s="590"/>
      <c r="DU306" s="590"/>
      <c r="DV306" s="590"/>
      <c r="DW306" s="590"/>
      <c r="DX306" s="590"/>
      <c r="DY306" s="590"/>
      <c r="EF306" s="590"/>
      <c r="EG306" s="590"/>
      <c r="EH306" s="590"/>
      <c r="EI306" s="590"/>
      <c r="EJ306" s="651"/>
      <c r="EK306" s="651"/>
    </row>
    <row r="307" spans="1:143" ht="12" customHeight="1" x14ac:dyDescent="0.2">
      <c r="A307" s="588"/>
      <c r="B307" s="894"/>
      <c r="C307" s="651"/>
      <c r="D307" s="649"/>
      <c r="E307" s="649"/>
      <c r="F307" s="649"/>
      <c r="G307" s="649"/>
      <c r="H307" s="649"/>
      <c r="I307" s="649"/>
      <c r="J307" s="649"/>
      <c r="K307" s="649"/>
      <c r="L307" s="649"/>
      <c r="M307" s="649"/>
      <c r="N307" s="649"/>
      <c r="O307" s="649"/>
      <c r="P307" s="649"/>
      <c r="Q307" s="649"/>
      <c r="R307" s="649"/>
      <c r="S307" s="649"/>
      <c r="T307" s="649"/>
      <c r="U307" s="649"/>
      <c r="V307" s="649"/>
      <c r="W307" s="649"/>
      <c r="X307" s="649"/>
      <c r="Y307" s="649"/>
      <c r="Z307" s="649"/>
      <c r="AA307" s="649"/>
      <c r="AB307" s="649"/>
      <c r="AC307" s="888"/>
      <c r="AD307" s="888"/>
      <c r="AE307" s="888"/>
      <c r="AF307" s="888"/>
      <c r="AG307" s="888"/>
      <c r="AH307" s="888"/>
      <c r="AI307" s="889"/>
      <c r="AJ307" s="889"/>
      <c r="AK307" s="889"/>
      <c r="AL307" s="889"/>
      <c r="AM307" s="889"/>
      <c r="AN307" s="889"/>
      <c r="AO307" s="895"/>
      <c r="AP307" s="895"/>
      <c r="AQ307" s="895"/>
      <c r="AR307" s="895"/>
      <c r="AS307" s="895"/>
      <c r="AT307" s="895"/>
      <c r="AU307" s="895"/>
      <c r="AV307" s="895"/>
      <c r="AW307" s="895"/>
      <c r="AX307" s="895"/>
      <c r="AY307" s="896"/>
      <c r="AZ307" s="890"/>
      <c r="BA307" s="1004" t="s">
        <v>1091</v>
      </c>
      <c r="BB307" s="1002" t="s">
        <v>111</v>
      </c>
      <c r="BC307" s="890"/>
      <c r="BD307" s="897"/>
      <c r="BE307" s="893"/>
      <c r="BF307" s="588"/>
      <c r="BG307" s="621"/>
      <c r="BH307" s="588"/>
      <c r="BI307" s="588"/>
      <c r="BJ307" s="588"/>
      <c r="BK307" s="588"/>
      <c r="BL307" s="588"/>
      <c r="BM307" s="589"/>
      <c r="BN307" s="590"/>
      <c r="BO307" s="868"/>
      <c r="BP307" s="868"/>
      <c r="BQ307" s="868"/>
      <c r="BR307" s="868"/>
      <c r="BS307" s="868"/>
      <c r="BT307" s="868"/>
      <c r="BU307" s="868"/>
      <c r="BV307" s="868"/>
      <c r="BW307" s="869"/>
      <c r="BX307" s="869"/>
      <c r="BY307" s="869"/>
      <c r="BZ307" s="882" t="s">
        <v>190</v>
      </c>
      <c r="CA307" s="882"/>
      <c r="CB307" s="869" t="b">
        <f>AND($CE$309=1,$CE$310=1)</f>
        <v>0</v>
      </c>
      <c r="CC307" s="869" t="b">
        <f>AND($CE$309=1,$CE$310=2)</f>
        <v>0</v>
      </c>
      <c r="CD307" s="869" t="b">
        <f>AND($CE$309=1,$CE$310=3)</f>
        <v>0</v>
      </c>
      <c r="CE307" s="869"/>
      <c r="CF307" s="869"/>
      <c r="CG307" s="869"/>
      <c r="CH307" s="869"/>
      <c r="CI307" s="869"/>
      <c r="CJ307" s="869"/>
      <c r="CK307" s="869"/>
      <c r="CL307" s="869"/>
      <c r="CM307" s="869"/>
      <c r="CN307" s="869"/>
      <c r="CO307" s="868"/>
      <c r="CP307" s="868"/>
      <c r="CQ307" s="868"/>
      <c r="CR307" s="868"/>
      <c r="CS307" s="868"/>
      <c r="CT307" s="868"/>
      <c r="CU307" s="868"/>
      <c r="CV307" s="868"/>
      <c r="CW307" s="870"/>
      <c r="CX307" s="868"/>
      <c r="CY307" s="868"/>
      <c r="CZ307" s="868"/>
      <c r="DA307" s="868"/>
      <c r="DB307" s="868"/>
      <c r="DC307" s="590"/>
      <c r="DD307" s="590"/>
      <c r="DE307" s="590"/>
      <c r="DF307" s="590"/>
      <c r="DG307" s="590"/>
      <c r="DH307" s="590"/>
      <c r="DI307" s="590"/>
      <c r="DJ307" s="590"/>
      <c r="DK307" s="590"/>
      <c r="DL307" s="590"/>
      <c r="DM307" s="590"/>
      <c r="DN307" s="590"/>
      <c r="DO307" s="590"/>
      <c r="DP307" s="590"/>
      <c r="DQ307" s="590"/>
      <c r="DR307" s="590"/>
      <c r="DS307" s="590"/>
      <c r="DT307" s="590"/>
      <c r="DU307" s="590"/>
      <c r="DV307" s="590"/>
      <c r="DW307" s="590"/>
      <c r="DX307" s="590"/>
      <c r="DY307" s="590"/>
      <c r="EF307" s="590"/>
      <c r="EG307" s="590"/>
      <c r="EH307" s="590"/>
      <c r="EI307" s="590"/>
      <c r="EJ307" s="651"/>
      <c r="EK307" s="651"/>
    </row>
    <row r="308" spans="1:143" s="593" customFormat="1" ht="14" x14ac:dyDescent="0.15">
      <c r="A308" s="651"/>
      <c r="B308" s="619"/>
      <c r="C308" s="588"/>
      <c r="D308" s="1324" t="s">
        <v>466</v>
      </c>
      <c r="E308" s="1324"/>
      <c r="F308" s="1324"/>
      <c r="G308" s="1324"/>
      <c r="H308" s="1324"/>
      <c r="I308" s="1324"/>
      <c r="J308" s="1324"/>
      <c r="K308" s="1324"/>
      <c r="L308" s="1324"/>
      <c r="M308" s="1324"/>
      <c r="N308" s="1324"/>
      <c r="O308" s="1324"/>
      <c r="P308" s="1324"/>
      <c r="Q308" s="1324"/>
      <c r="R308" s="1324"/>
      <c r="S308" s="1324"/>
      <c r="T308" s="1324"/>
      <c r="U308" s="1324"/>
      <c r="V308" s="1324"/>
      <c r="W308" s="1324"/>
      <c r="X308" s="1324"/>
      <c r="Y308" s="1324"/>
      <c r="Z308" s="1324"/>
      <c r="AA308" s="1324"/>
      <c r="AB308" s="1324"/>
      <c r="AC308" s="1324"/>
      <c r="AD308" s="1324"/>
      <c r="AE308" s="1324"/>
      <c r="AF308" s="1110"/>
      <c r="AG308" s="1110"/>
      <c r="AH308" s="1110"/>
      <c r="AI308" s="1111"/>
      <c r="AJ308" s="1111"/>
      <c r="AK308" s="1111"/>
      <c r="AL308" s="1111"/>
      <c r="AM308" s="1111"/>
      <c r="AN308" s="1111"/>
      <c r="AO308" s="1111"/>
      <c r="AP308" s="1112"/>
      <c r="AQ308" s="1113">
        <v>323.77999999999997</v>
      </c>
      <c r="AR308" s="1112"/>
      <c r="AS308" s="898"/>
      <c r="AT308" s="898"/>
      <c r="AU308" s="898"/>
      <c r="AV308" s="898"/>
      <c r="AW308" s="898"/>
      <c r="AX308" s="898"/>
      <c r="AY308" s="898"/>
      <c r="AZ308" s="898"/>
      <c r="BA308" s="896"/>
      <c r="BB308" s="898"/>
      <c r="BC308" s="898"/>
      <c r="BD308" s="898"/>
      <c r="BE308" s="898"/>
      <c r="BF308" s="588"/>
      <c r="BG308" s="621"/>
      <c r="BH308" s="588"/>
      <c r="BI308" s="651"/>
      <c r="BJ308" s="651"/>
      <c r="BK308" s="651"/>
      <c r="BL308" s="651"/>
      <c r="BM308" s="901"/>
      <c r="BN308" s="743" t="s">
        <v>163</v>
      </c>
      <c r="BO308" s="869"/>
      <c r="BP308" s="850"/>
      <c r="BQ308" s="850"/>
      <c r="BR308" s="850"/>
      <c r="BS308" s="850"/>
      <c r="BT308" s="850"/>
      <c r="BU308" s="869"/>
      <c r="BV308" s="850"/>
      <c r="BW308" s="869"/>
      <c r="BX308" s="869"/>
      <c r="BY308" s="869"/>
      <c r="BZ308" s="882" t="s">
        <v>191</v>
      </c>
      <c r="CA308" s="882"/>
      <c r="CB308" s="869" t="b">
        <f>AND($CE$309=2,$CE$310=1)</f>
        <v>0</v>
      </c>
      <c r="CC308" s="869" t="b">
        <f>AND($CE$309=2,$CE$310=2)</f>
        <v>0</v>
      </c>
      <c r="CD308" s="869" t="b">
        <f>AND($CE$309=2,$CE$310=3)</f>
        <v>0</v>
      </c>
      <c r="CE308" s="869"/>
      <c r="CF308" s="869"/>
      <c r="CG308" s="869"/>
      <c r="CH308" s="869"/>
      <c r="CI308" s="869"/>
      <c r="CJ308" s="869"/>
      <c r="CK308" s="869"/>
      <c r="CL308" s="869"/>
      <c r="CM308" s="869"/>
      <c r="CN308" s="869"/>
      <c r="CO308" s="850"/>
      <c r="CP308" s="850"/>
      <c r="CQ308" s="850"/>
      <c r="CR308" s="850"/>
      <c r="CS308" s="850"/>
      <c r="CT308" s="850"/>
      <c r="CU308" s="850"/>
      <c r="CV308" s="850"/>
      <c r="CW308" s="902"/>
      <c r="CX308" s="850"/>
      <c r="CY308" s="850"/>
      <c r="CZ308" s="850"/>
      <c r="DA308" s="850"/>
      <c r="DB308" s="850"/>
      <c r="DC308" s="651"/>
      <c r="DD308" s="651"/>
      <c r="DE308" s="651"/>
      <c r="DF308" s="651"/>
      <c r="DG308" s="651"/>
      <c r="DH308" s="651"/>
      <c r="DI308" s="651"/>
      <c r="DJ308" s="651"/>
      <c r="DK308" s="651"/>
      <c r="DL308" s="651"/>
      <c r="DM308" s="651"/>
      <c r="DN308" s="651"/>
      <c r="DO308" s="651"/>
      <c r="DP308" s="651"/>
      <c r="DQ308" s="651"/>
      <c r="DR308" s="651"/>
      <c r="DS308" s="651"/>
      <c r="DT308" s="651"/>
      <c r="DU308" s="651"/>
      <c r="DV308" s="651"/>
      <c r="DW308" s="651"/>
      <c r="DX308" s="651"/>
      <c r="DY308" s="651"/>
      <c r="EF308" s="651"/>
      <c r="EG308" s="651"/>
      <c r="EH308" s="651"/>
      <c r="EI308" s="651"/>
      <c r="EJ308" s="651"/>
      <c r="EK308" s="651"/>
    </row>
    <row r="309" spans="1:143" s="593" customFormat="1" ht="14" x14ac:dyDescent="0.15">
      <c r="A309" s="651"/>
      <c r="B309" s="619"/>
      <c r="C309" s="588"/>
      <c r="D309" s="898"/>
      <c r="E309" s="898"/>
      <c r="F309" s="898"/>
      <c r="G309" s="898"/>
      <c r="H309" s="898"/>
      <c r="I309" s="898"/>
      <c r="J309" s="898"/>
      <c r="K309" s="898"/>
      <c r="L309" s="898"/>
      <c r="M309" s="898"/>
      <c r="N309" s="898"/>
      <c r="O309" s="898"/>
      <c r="P309" s="898"/>
      <c r="Q309" s="898"/>
      <c r="R309" s="898"/>
      <c r="S309" s="898"/>
      <c r="T309" s="898"/>
      <c r="U309" s="898"/>
      <c r="V309" s="898"/>
      <c r="W309" s="898"/>
      <c r="X309" s="898"/>
      <c r="Y309" s="898"/>
      <c r="Z309" s="898"/>
      <c r="AA309" s="898"/>
      <c r="AB309" s="898"/>
      <c r="AC309" s="898"/>
      <c r="AD309" s="898"/>
      <c r="AE309" s="898"/>
      <c r="AF309" s="898"/>
      <c r="AG309" s="898"/>
      <c r="AH309" s="898"/>
      <c r="AI309" s="898"/>
      <c r="AJ309" s="898"/>
      <c r="AK309" s="898"/>
      <c r="AL309" s="898"/>
      <c r="AM309" s="898"/>
      <c r="AN309" s="898"/>
      <c r="AO309" s="898"/>
      <c r="AP309" s="898"/>
      <c r="AQ309" s="898"/>
      <c r="AR309" s="898"/>
      <c r="AS309" s="898"/>
      <c r="AT309" s="898"/>
      <c r="AU309" s="898"/>
      <c r="AV309" s="898"/>
      <c r="AW309" s="898"/>
      <c r="AX309" s="898"/>
      <c r="AY309" s="898"/>
      <c r="AZ309" s="898"/>
      <c r="BA309" s="898"/>
      <c r="BB309" s="898"/>
      <c r="BC309" s="898"/>
      <c r="BD309" s="898"/>
      <c r="BE309" s="898"/>
      <c r="BF309" s="588"/>
      <c r="BG309" s="621"/>
      <c r="BH309" s="588"/>
      <c r="BI309" s="651"/>
      <c r="BJ309" s="651"/>
      <c r="BK309" s="651"/>
      <c r="BL309" s="651"/>
      <c r="BM309" s="901"/>
      <c r="BN309" s="743" t="s">
        <v>179</v>
      </c>
      <c r="BO309" s="869"/>
      <c r="BP309" s="850"/>
      <c r="BQ309" s="850"/>
      <c r="BR309" s="850"/>
      <c r="BS309" s="850"/>
      <c r="BT309" s="850"/>
      <c r="BU309" s="869"/>
      <c r="BV309" s="850"/>
      <c r="BW309" s="869"/>
      <c r="BX309" s="869"/>
      <c r="BY309" s="869"/>
      <c r="BZ309" s="882" t="s">
        <v>192</v>
      </c>
      <c r="CA309" s="882"/>
      <c r="CB309" s="869" t="b">
        <f>AND($CE$309=3,$CE$310=1)</f>
        <v>0</v>
      </c>
      <c r="CC309" s="869" t="b">
        <f>AND($CE$309=3,$CE$310=2)</f>
        <v>0</v>
      </c>
      <c r="CD309" s="869" t="b">
        <f>AND($CE$309=3,$CE$310=3)</f>
        <v>0</v>
      </c>
      <c r="CE309" s="869">
        <f>IF(BV291=TRUE,5,IF(S295=BN299,5,IF(S295=BN300,1,IF(S295=BN301,2,IF(S295=BN302,3,IF(S295=BN303,4,IF(S295=BN304,5,"")))))))</f>
        <v>5</v>
      </c>
      <c r="CF309" s="869" t="s">
        <v>276</v>
      </c>
      <c r="CG309" s="869"/>
      <c r="CH309" s="869"/>
      <c r="CI309" s="869"/>
      <c r="CJ309" s="869"/>
      <c r="CK309" s="869"/>
      <c r="CL309" s="869"/>
      <c r="CM309" s="869"/>
      <c r="CN309" s="869"/>
      <c r="CO309" s="850"/>
      <c r="CP309" s="850"/>
      <c r="CQ309" s="850"/>
      <c r="CR309" s="850"/>
      <c r="CS309" s="850"/>
      <c r="CT309" s="850"/>
      <c r="CU309" s="850"/>
      <c r="CV309" s="850"/>
      <c r="CW309" s="902"/>
      <c r="CX309" s="850"/>
      <c r="CY309" s="850"/>
      <c r="CZ309" s="850"/>
      <c r="DA309" s="850"/>
      <c r="DB309" s="850"/>
      <c r="DC309" s="651"/>
      <c r="DD309" s="651"/>
      <c r="DE309" s="651"/>
      <c r="DF309" s="651"/>
      <c r="DG309" s="651"/>
      <c r="DH309" s="651"/>
      <c r="DI309" s="651"/>
      <c r="DJ309" s="651"/>
      <c r="DK309" s="651"/>
      <c r="DL309" s="651"/>
      <c r="DM309" s="651"/>
      <c r="DN309" s="651"/>
      <c r="DO309" s="651"/>
      <c r="DP309" s="651"/>
      <c r="DQ309" s="651"/>
      <c r="DR309" s="651"/>
      <c r="DS309" s="651"/>
      <c r="DT309" s="651"/>
      <c r="DU309" s="651"/>
      <c r="DV309" s="651"/>
      <c r="DW309" s="651"/>
      <c r="DX309" s="651"/>
      <c r="DY309" s="651"/>
      <c r="EF309" s="651"/>
      <c r="EG309" s="651"/>
      <c r="EH309" s="651"/>
      <c r="EI309" s="651"/>
      <c r="EJ309" s="651"/>
      <c r="EK309" s="651"/>
    </row>
    <row r="310" spans="1:143" s="593" customFormat="1" ht="15" thickBot="1" x14ac:dyDescent="0.2">
      <c r="A310" s="651"/>
      <c r="B310" s="699"/>
      <c r="C310" s="700"/>
      <c r="D310" s="900"/>
      <c r="E310" s="900"/>
      <c r="F310" s="900"/>
      <c r="G310" s="900"/>
      <c r="H310" s="900"/>
      <c r="I310" s="900"/>
      <c r="J310" s="900"/>
      <c r="K310" s="900"/>
      <c r="L310" s="900"/>
      <c r="M310" s="900"/>
      <c r="N310" s="900"/>
      <c r="O310" s="900"/>
      <c r="P310" s="900"/>
      <c r="Q310" s="900"/>
      <c r="R310" s="900"/>
      <c r="S310" s="900"/>
      <c r="T310" s="900"/>
      <c r="U310" s="900"/>
      <c r="V310" s="900"/>
      <c r="W310" s="900"/>
      <c r="X310" s="900"/>
      <c r="Y310" s="900"/>
      <c r="Z310" s="900"/>
      <c r="AA310" s="900"/>
      <c r="AB310" s="900"/>
      <c r="AC310" s="900"/>
      <c r="AD310" s="900"/>
      <c r="AE310" s="900"/>
      <c r="AF310" s="900"/>
      <c r="AG310" s="900"/>
      <c r="AH310" s="900"/>
      <c r="AI310" s="900"/>
      <c r="AJ310" s="900"/>
      <c r="AK310" s="900"/>
      <c r="AL310" s="900"/>
      <c r="AM310" s="900"/>
      <c r="AN310" s="900"/>
      <c r="AO310" s="900"/>
      <c r="AP310" s="900"/>
      <c r="AQ310" s="900"/>
      <c r="AR310" s="900"/>
      <c r="AS310" s="900"/>
      <c r="AT310" s="900"/>
      <c r="AU310" s="900"/>
      <c r="AV310" s="900"/>
      <c r="AW310" s="900"/>
      <c r="AX310" s="900"/>
      <c r="AY310" s="900"/>
      <c r="AZ310" s="900"/>
      <c r="BA310" s="900"/>
      <c r="BB310" s="900"/>
      <c r="BC310" s="900"/>
      <c r="BD310" s="900"/>
      <c r="BE310" s="900"/>
      <c r="BF310" s="700"/>
      <c r="BG310" s="701"/>
      <c r="BH310" s="651"/>
      <c r="BI310" s="651"/>
      <c r="BJ310" s="651"/>
      <c r="BK310" s="651"/>
      <c r="BL310" s="651"/>
      <c r="BM310" s="901"/>
      <c r="BN310" s="743" t="s">
        <v>180</v>
      </c>
      <c r="BO310" s="869"/>
      <c r="BP310" s="850"/>
      <c r="BQ310" s="850"/>
      <c r="BR310" s="850"/>
      <c r="BS310" s="850"/>
      <c r="BT310" s="850"/>
      <c r="BU310" s="903">
        <v>0.7</v>
      </c>
      <c r="BV310" s="850"/>
      <c r="BW310" s="869"/>
      <c r="BX310" s="869"/>
      <c r="BY310" s="869"/>
      <c r="BZ310" s="882" t="s">
        <v>193</v>
      </c>
      <c r="CA310" s="882"/>
      <c r="CB310" s="869" t="b">
        <f>AND($CE$309=4,$CE$310=1)</f>
        <v>0</v>
      </c>
      <c r="CC310" s="869" t="b">
        <f>AND($CE$309=4,$CE$310=2)</f>
        <v>0</v>
      </c>
      <c r="CD310" s="869" t="b">
        <f>AND($CE$309=4,$CE$310=3)</f>
        <v>0</v>
      </c>
      <c r="CE310" s="904" t="str">
        <f>IF(S299=BN308,"",IF(S299=BN309,1,IF(S299=BN310,2,IF(S299=BN311,3,""))))</f>
        <v/>
      </c>
      <c r="CF310" s="869"/>
      <c r="CG310" s="869"/>
      <c r="CH310" s="869"/>
      <c r="CI310" s="869"/>
      <c r="CJ310" s="869"/>
      <c r="CK310" s="869"/>
      <c r="CL310" s="869"/>
      <c r="CM310" s="869"/>
      <c r="CN310" s="869"/>
      <c r="CO310" s="850"/>
      <c r="CP310" s="850"/>
      <c r="CQ310" s="850"/>
      <c r="CR310" s="850"/>
      <c r="CS310" s="850"/>
      <c r="CT310" s="850"/>
      <c r="CU310" s="850"/>
      <c r="CV310" s="850"/>
      <c r="CW310" s="902"/>
      <c r="CX310" s="850"/>
      <c r="CY310" s="850"/>
      <c r="CZ310" s="850"/>
      <c r="DA310" s="850"/>
      <c r="DB310" s="850"/>
      <c r="DC310" s="651"/>
      <c r="DD310" s="651"/>
      <c r="DE310" s="651"/>
      <c r="DF310" s="651"/>
      <c r="DG310" s="651"/>
      <c r="DH310" s="651"/>
      <c r="DI310" s="651"/>
      <c r="DJ310" s="651"/>
      <c r="DK310" s="651"/>
      <c r="DL310" s="651"/>
      <c r="DM310" s="651"/>
      <c r="DN310" s="651"/>
      <c r="DO310" s="651"/>
      <c r="DP310" s="651"/>
      <c r="DQ310" s="651"/>
      <c r="DR310" s="651"/>
      <c r="DS310" s="651"/>
      <c r="DT310" s="651"/>
      <c r="DU310" s="651"/>
      <c r="DV310" s="651"/>
      <c r="DW310" s="651"/>
      <c r="DX310" s="651"/>
      <c r="DY310" s="651"/>
      <c r="DZ310" s="896"/>
      <c r="EA310" s="651"/>
      <c r="EB310" s="651"/>
      <c r="EC310" s="651"/>
      <c r="ED310" s="651"/>
      <c r="EE310" s="651"/>
      <c r="EF310" s="651"/>
      <c r="EG310" s="651"/>
      <c r="EH310" s="651"/>
      <c r="EI310" s="651"/>
      <c r="EJ310" s="651"/>
      <c r="EK310" s="651"/>
    </row>
    <row r="311" spans="1:143" s="593" customFormat="1" ht="14" x14ac:dyDescent="0.15">
      <c r="A311" s="651"/>
      <c r="B311" s="1171" t="s">
        <v>866</v>
      </c>
      <c r="C311" s="1172"/>
      <c r="D311" s="1172"/>
      <c r="E311" s="1172"/>
      <c r="F311" s="1172"/>
      <c r="G311" s="1172"/>
      <c r="H311" s="1172"/>
      <c r="I311" s="1172"/>
      <c r="J311" s="1172"/>
      <c r="K311" s="1172"/>
      <c r="L311" s="1172"/>
      <c r="M311" s="1172"/>
      <c r="N311" s="1172"/>
      <c r="O311" s="1172"/>
      <c r="P311" s="1172"/>
      <c r="Q311" s="1172"/>
      <c r="R311" s="1172"/>
      <c r="S311" s="1172"/>
      <c r="T311" s="1172"/>
      <c r="U311" s="1172"/>
      <c r="V311" s="1172"/>
      <c r="W311" s="1172"/>
      <c r="X311" s="1172"/>
      <c r="Y311" s="1172"/>
      <c r="Z311" s="1172"/>
      <c r="AA311" s="1172"/>
      <c r="AB311" s="1172"/>
      <c r="AC311" s="1172"/>
      <c r="AD311" s="1172"/>
      <c r="AE311" s="1172"/>
      <c r="AF311" s="1172"/>
      <c r="AG311" s="1172"/>
      <c r="AH311" s="1172"/>
      <c r="AI311" s="1172"/>
      <c r="AJ311" s="1172"/>
      <c r="AK311" s="1172"/>
      <c r="AL311" s="1172"/>
      <c r="AM311" s="1172"/>
      <c r="AN311" s="1172"/>
      <c r="AO311" s="1172"/>
      <c r="AP311" s="1172"/>
      <c r="AQ311" s="1172"/>
      <c r="AR311" s="1172"/>
      <c r="AS311" s="1172"/>
      <c r="AT311" s="1172"/>
      <c r="AU311" s="1172"/>
      <c r="AV311" s="1172"/>
      <c r="AW311" s="1172"/>
      <c r="AX311" s="1172"/>
      <c r="AY311" s="1172"/>
      <c r="AZ311" s="1172"/>
      <c r="BA311" s="1172"/>
      <c r="BB311" s="1172"/>
      <c r="BC311" s="1172"/>
      <c r="BD311" s="1172"/>
      <c r="BE311" s="1172"/>
      <c r="BF311" s="1172"/>
      <c r="BG311" s="1173"/>
      <c r="BH311" s="651"/>
      <c r="BI311" s="651"/>
      <c r="BJ311" s="651"/>
      <c r="BK311" s="651"/>
      <c r="BL311" s="651"/>
      <c r="BM311" s="901"/>
      <c r="BN311" s="743" t="s">
        <v>181</v>
      </c>
      <c r="BO311" s="869"/>
      <c r="BP311" s="850"/>
      <c r="BQ311" s="850"/>
      <c r="BR311" s="850"/>
      <c r="BS311" s="850"/>
      <c r="BT311" s="850"/>
      <c r="BU311" s="905">
        <v>0.4</v>
      </c>
      <c r="BV311" s="850"/>
      <c r="BW311" s="869"/>
      <c r="BX311" s="869"/>
      <c r="BY311" s="869"/>
      <c r="BZ311" s="882" t="s">
        <v>194</v>
      </c>
      <c r="CA311" s="882"/>
      <c r="CB311" s="869" t="b">
        <f>AND($CE$309=5,$CE$310=1)</f>
        <v>0</v>
      </c>
      <c r="CC311" s="869" t="b">
        <f>AND($CE$309=5,$CE$310=2)</f>
        <v>0</v>
      </c>
      <c r="CD311" s="869" t="b">
        <f>AND($CE$309=5,$CE$310=3)</f>
        <v>0</v>
      </c>
      <c r="CE311" s="869"/>
      <c r="CF311" s="869"/>
      <c r="CG311" s="869"/>
      <c r="CH311" s="869"/>
      <c r="CI311" s="869"/>
      <c r="CJ311" s="869"/>
      <c r="CK311" s="869"/>
      <c r="CL311" s="869"/>
      <c r="CM311" s="869"/>
      <c r="CN311" s="869"/>
      <c r="CO311" s="850"/>
      <c r="CP311" s="850"/>
      <c r="CQ311" s="850"/>
      <c r="CR311" s="850"/>
      <c r="CS311" s="850"/>
      <c r="CT311" s="850"/>
      <c r="CU311" s="850"/>
      <c r="CV311" s="850"/>
      <c r="CW311" s="902"/>
      <c r="CX311" s="850"/>
      <c r="CY311" s="850"/>
      <c r="CZ311" s="850"/>
      <c r="DA311" s="850"/>
      <c r="DB311" s="850"/>
      <c r="DC311" s="651"/>
      <c r="DD311" s="651"/>
      <c r="DE311" s="651"/>
      <c r="DF311" s="651"/>
      <c r="DG311" s="651"/>
      <c r="DH311" s="651"/>
      <c r="DI311" s="651"/>
      <c r="DJ311" s="651"/>
      <c r="DK311" s="651"/>
      <c r="DL311" s="651"/>
      <c r="DM311" s="651"/>
      <c r="DN311" s="651"/>
      <c r="DO311" s="651"/>
      <c r="DP311" s="651"/>
      <c r="DQ311" s="651"/>
      <c r="DR311" s="651"/>
      <c r="DS311" s="651"/>
      <c r="DT311" s="651"/>
      <c r="DU311" s="651"/>
      <c r="DV311" s="651"/>
      <c r="DW311" s="651"/>
      <c r="DX311" s="651"/>
      <c r="DY311" s="651"/>
      <c r="DZ311" s="651"/>
      <c r="EA311" s="651"/>
      <c r="EB311" s="651"/>
      <c r="EC311" s="651"/>
      <c r="ED311" s="651"/>
      <c r="EE311" s="651"/>
      <c r="EF311" s="651"/>
      <c r="EG311" s="651"/>
      <c r="EH311" s="651"/>
      <c r="EI311" s="651"/>
      <c r="EJ311" s="651"/>
      <c r="EK311" s="651"/>
    </row>
    <row r="312" spans="1:143" s="593" customFormat="1" ht="14" x14ac:dyDescent="0.15">
      <c r="A312" s="651"/>
      <c r="B312" s="1321" t="s">
        <v>177</v>
      </c>
      <c r="C312" s="1322"/>
      <c r="D312" s="1322"/>
      <c r="E312" s="1322"/>
      <c r="F312" s="1322"/>
      <c r="G312" s="1322"/>
      <c r="H312" s="1322"/>
      <c r="I312" s="1322"/>
      <c r="J312" s="1322"/>
      <c r="K312" s="1322"/>
      <c r="L312" s="1322"/>
      <c r="M312" s="1322"/>
      <c r="N312" s="1322"/>
      <c r="O312" s="1322"/>
      <c r="P312" s="1322"/>
      <c r="Q312" s="1322"/>
      <c r="R312" s="1322"/>
      <c r="S312" s="1322"/>
      <c r="T312" s="1322"/>
      <c r="U312" s="1322"/>
      <c r="V312" s="1322"/>
      <c r="W312" s="1322"/>
      <c r="X312" s="1322"/>
      <c r="Y312" s="1322"/>
      <c r="Z312" s="1322"/>
      <c r="AA312" s="1322"/>
      <c r="AB312" s="1322"/>
      <c r="AC312" s="1322"/>
      <c r="AD312" s="1322"/>
      <c r="AE312" s="1322"/>
      <c r="AF312" s="1322"/>
      <c r="AG312" s="1322"/>
      <c r="AH312" s="1322"/>
      <c r="AI312" s="1322"/>
      <c r="AJ312" s="1322"/>
      <c r="AK312" s="1322"/>
      <c r="AL312" s="1322"/>
      <c r="AM312" s="1322"/>
      <c r="AN312" s="1322"/>
      <c r="AO312" s="1322"/>
      <c r="AP312" s="1322"/>
      <c r="AQ312" s="1322"/>
      <c r="AR312" s="1322"/>
      <c r="AS312" s="1322"/>
      <c r="AT312" s="1322"/>
      <c r="AU312" s="1322"/>
      <c r="AV312" s="1322"/>
      <c r="AW312" s="1322"/>
      <c r="AX312" s="1322"/>
      <c r="AY312" s="1322"/>
      <c r="AZ312" s="1322"/>
      <c r="BA312" s="1322"/>
      <c r="BB312" s="1322"/>
      <c r="BC312" s="1322"/>
      <c r="BD312" s="1322"/>
      <c r="BE312" s="1322"/>
      <c r="BF312" s="1322"/>
      <c r="BG312" s="1323"/>
      <c r="BH312" s="651"/>
      <c r="BI312" s="651"/>
      <c r="BJ312" s="651"/>
      <c r="BK312" s="651"/>
      <c r="BL312" s="651"/>
      <c r="BM312" s="901"/>
      <c r="BN312" s="651"/>
      <c r="BO312" s="850"/>
      <c r="BP312" s="850"/>
      <c r="BQ312" s="850"/>
      <c r="BR312" s="850"/>
      <c r="BS312" s="850"/>
      <c r="BT312" s="850"/>
      <c r="BU312" s="850"/>
      <c r="BV312" s="850"/>
      <c r="BW312" s="869"/>
      <c r="BX312" s="869"/>
      <c r="BY312" s="869"/>
      <c r="BZ312" s="869"/>
      <c r="CA312" s="869"/>
      <c r="CB312" s="869"/>
      <c r="CC312" s="869"/>
      <c r="CD312" s="869"/>
      <c r="CE312" s="869"/>
      <c r="CF312" s="869"/>
      <c r="CG312" s="869"/>
      <c r="CH312" s="869"/>
      <c r="CI312" s="869"/>
      <c r="CJ312" s="869"/>
      <c r="CK312" s="869"/>
      <c r="CL312" s="869"/>
      <c r="CM312" s="869"/>
      <c r="CN312" s="869"/>
      <c r="CO312" s="850"/>
      <c r="CP312" s="850"/>
      <c r="CQ312" s="850"/>
      <c r="CR312" s="850"/>
      <c r="CS312" s="850"/>
      <c r="CT312" s="850"/>
      <c r="CU312" s="850"/>
      <c r="CV312" s="850"/>
      <c r="CW312" s="902"/>
      <c r="CX312" s="850"/>
      <c r="CY312" s="850"/>
      <c r="CZ312" s="850"/>
      <c r="DA312" s="850"/>
      <c r="DB312" s="850"/>
      <c r="DC312" s="651"/>
      <c r="DD312" s="651"/>
      <c r="DE312" s="651"/>
      <c r="DF312" s="651"/>
      <c r="DG312" s="651"/>
      <c r="DH312" s="651"/>
      <c r="DI312" s="651"/>
      <c r="DJ312" s="651"/>
      <c r="DK312" s="651"/>
      <c r="DL312" s="651"/>
      <c r="DM312" s="651"/>
      <c r="DN312" s="651"/>
      <c r="DO312" s="651"/>
      <c r="DP312" s="651"/>
      <c r="DQ312" s="651"/>
      <c r="DR312" s="651"/>
      <c r="DS312" s="651"/>
      <c r="DT312" s="651"/>
      <c r="DU312" s="651"/>
      <c r="DV312" s="651"/>
      <c r="DW312" s="651"/>
      <c r="DX312" s="651"/>
      <c r="DY312" s="651"/>
      <c r="DZ312" s="651"/>
      <c r="EA312" s="651"/>
      <c r="EB312" s="651"/>
      <c r="EC312" s="651"/>
      <c r="ED312" s="651"/>
      <c r="EE312" s="651"/>
      <c r="EF312" s="651"/>
      <c r="EG312" s="651"/>
      <c r="EH312" s="651"/>
      <c r="EI312" s="651"/>
      <c r="EJ312" s="651"/>
      <c r="EK312" s="651"/>
    </row>
    <row r="313" spans="1:143" s="593" customFormat="1" ht="15" x14ac:dyDescent="0.2">
      <c r="A313" s="651"/>
      <c r="B313" s="1318" t="s">
        <v>854</v>
      </c>
      <c r="C313" s="1319"/>
      <c r="D313" s="1319"/>
      <c r="E313" s="1319"/>
      <c r="F313" s="1319"/>
      <c r="G313" s="1319"/>
      <c r="H313" s="1319"/>
      <c r="I313" s="1319"/>
      <c r="J313" s="1319"/>
      <c r="K313" s="1319"/>
      <c r="L313" s="1319"/>
      <c r="M313" s="1319"/>
      <c r="N313" s="1319"/>
      <c r="O313" s="1319"/>
      <c r="P313" s="1319"/>
      <c r="Q313" s="1319"/>
      <c r="R313" s="1319"/>
      <c r="S313" s="1319"/>
      <c r="T313" s="1319"/>
      <c r="U313" s="1319"/>
      <c r="V313" s="1319"/>
      <c r="W313" s="1319"/>
      <c r="X313" s="1319"/>
      <c r="Y313" s="1319"/>
      <c r="Z313" s="1319"/>
      <c r="AA313" s="1319"/>
      <c r="AB313" s="1319"/>
      <c r="AC313" s="1319"/>
      <c r="AD313" s="1319"/>
      <c r="AE313" s="1319"/>
      <c r="AF313" s="1319"/>
      <c r="AG313" s="1319"/>
      <c r="AH313" s="1319"/>
      <c r="AI313" s="1319"/>
      <c r="AJ313" s="1319"/>
      <c r="AK313" s="1319"/>
      <c r="AL313" s="1319"/>
      <c r="AM313" s="1319"/>
      <c r="AN313" s="1319"/>
      <c r="AO313" s="1319"/>
      <c r="AP313" s="1319"/>
      <c r="AQ313" s="1319"/>
      <c r="AR313" s="1319"/>
      <c r="AS313" s="1319"/>
      <c r="AT313" s="1319"/>
      <c r="AU313" s="1319"/>
      <c r="AV313" s="1319"/>
      <c r="AW313" s="1319"/>
      <c r="AX313" s="1319"/>
      <c r="AY313" s="1319"/>
      <c r="AZ313" s="1319"/>
      <c r="BA313" s="1319"/>
      <c r="BB313" s="1319"/>
      <c r="BC313" s="1319"/>
      <c r="BD313" s="1319"/>
      <c r="BE313" s="1319"/>
      <c r="BF313" s="1319"/>
      <c r="BG313" s="1320"/>
      <c r="BH313" s="651"/>
      <c r="BI313" s="651"/>
      <c r="BJ313" s="651"/>
      <c r="BK313" s="651"/>
      <c r="BL313" s="651"/>
      <c r="BM313" s="901"/>
      <c r="BN313" s="651"/>
      <c r="BO313" s="906" t="s">
        <v>111</v>
      </c>
      <c r="BP313" s="743" t="s">
        <v>470</v>
      </c>
      <c r="BQ313" s="743"/>
      <c r="BR313" s="743"/>
      <c r="BS313" s="743"/>
      <c r="BT313" s="743"/>
      <c r="BU313" s="869"/>
      <c r="BV313" s="850"/>
      <c r="BW313" s="869"/>
      <c r="BX313" s="869"/>
      <c r="BY313" s="869"/>
      <c r="BZ313" s="869"/>
      <c r="CA313" s="869"/>
      <c r="CB313" s="799"/>
      <c r="CC313" s="799"/>
      <c r="CD313" s="799"/>
      <c r="CE313" s="799"/>
      <c r="CF313" s="869"/>
      <c r="CG313" s="869"/>
      <c r="CH313" s="869"/>
      <c r="CI313" s="869"/>
      <c r="CJ313" s="869"/>
      <c r="CK313" s="869"/>
      <c r="CL313" s="869"/>
      <c r="CM313" s="869"/>
      <c r="CN313" s="869"/>
      <c r="CO313" s="850"/>
      <c r="CP313" s="850"/>
      <c r="CQ313" s="850"/>
      <c r="CR313" s="850"/>
      <c r="CS313" s="850"/>
      <c r="CT313" s="850"/>
      <c r="CU313" s="850"/>
      <c r="CV313" s="850"/>
      <c r="CW313" s="902"/>
      <c r="CX313" s="850"/>
      <c r="CY313" s="850"/>
      <c r="CZ313" s="850"/>
      <c r="DA313" s="850"/>
      <c r="DB313" s="850"/>
      <c r="DC313" s="651"/>
      <c r="DD313" s="651"/>
      <c r="DE313" s="651"/>
      <c r="DF313" s="651"/>
      <c r="DG313" s="651"/>
      <c r="DH313" s="651"/>
      <c r="DI313" s="651"/>
      <c r="DJ313" s="651"/>
      <c r="DK313" s="651"/>
      <c r="DL313" s="651"/>
      <c r="DM313" s="651"/>
      <c r="DN313" s="651"/>
      <c r="DO313" s="651"/>
      <c r="DP313" s="651"/>
      <c r="DQ313" s="651"/>
      <c r="DR313" s="651"/>
      <c r="DS313" s="651"/>
      <c r="DT313" s="651"/>
      <c r="DU313" s="651"/>
      <c r="DV313" s="651"/>
      <c r="DW313" s="651"/>
      <c r="DX313" s="651"/>
      <c r="DY313" s="651"/>
      <c r="DZ313" s="651"/>
      <c r="EA313" s="651"/>
      <c r="EB313" s="651"/>
      <c r="EC313" s="651"/>
      <c r="ED313" s="651"/>
      <c r="EE313" s="651"/>
      <c r="EF313" s="651"/>
      <c r="EG313" s="651"/>
      <c r="EH313" s="651"/>
      <c r="EI313" s="651"/>
      <c r="EJ313" s="651"/>
      <c r="EK313" s="651"/>
    </row>
    <row r="314" spans="1:143" s="593" customFormat="1" ht="15" x14ac:dyDescent="0.2">
      <c r="A314" s="651"/>
      <c r="B314" s="1318" t="s">
        <v>1089</v>
      </c>
      <c r="C314" s="1319"/>
      <c r="D314" s="1319"/>
      <c r="E314" s="1319"/>
      <c r="F314" s="1319"/>
      <c r="G314" s="1319"/>
      <c r="H314" s="1319"/>
      <c r="I314" s="1319"/>
      <c r="J314" s="1319"/>
      <c r="K314" s="1319"/>
      <c r="L314" s="1319"/>
      <c r="M314" s="1319"/>
      <c r="N314" s="1319"/>
      <c r="O314" s="1319"/>
      <c r="P314" s="1319"/>
      <c r="Q314" s="1319"/>
      <c r="R314" s="1319"/>
      <c r="S314" s="1319"/>
      <c r="T314" s="1319"/>
      <c r="U314" s="1319"/>
      <c r="V314" s="1319"/>
      <c r="W314" s="1319"/>
      <c r="X314" s="1319"/>
      <c r="Y314" s="1319"/>
      <c r="Z314" s="1319"/>
      <c r="AA314" s="1319"/>
      <c r="AB314" s="1319"/>
      <c r="AC314" s="1319"/>
      <c r="AD314" s="1319"/>
      <c r="AE314" s="1319"/>
      <c r="AF314" s="1319"/>
      <c r="AG314" s="1319"/>
      <c r="AH314" s="1319"/>
      <c r="AI314" s="1319"/>
      <c r="AJ314" s="1319"/>
      <c r="AK314" s="1319"/>
      <c r="AL314" s="1319"/>
      <c r="AM314" s="1319"/>
      <c r="AN314" s="1319"/>
      <c r="AO314" s="1319"/>
      <c r="AP314" s="1319"/>
      <c r="AQ314" s="1319"/>
      <c r="AR314" s="1319"/>
      <c r="AS314" s="1319"/>
      <c r="AT314" s="1319"/>
      <c r="AU314" s="1319"/>
      <c r="AV314" s="1319"/>
      <c r="AW314" s="1319"/>
      <c r="AX314" s="1319"/>
      <c r="AY314" s="1319"/>
      <c r="AZ314" s="1319"/>
      <c r="BA314" s="1319"/>
      <c r="BB314" s="1319"/>
      <c r="BC314" s="1319"/>
      <c r="BD314" s="1319"/>
      <c r="BE314" s="1319"/>
      <c r="BF314" s="1319"/>
      <c r="BG314" s="1320"/>
      <c r="BH314" s="651"/>
      <c r="BI314" s="651"/>
      <c r="BJ314" s="651"/>
      <c r="BK314" s="651"/>
      <c r="BL314" s="651"/>
      <c r="BM314" s="901"/>
      <c r="BN314" s="651"/>
      <c r="BO314" s="907" t="s">
        <v>111</v>
      </c>
      <c r="BP314" s="743" t="s">
        <v>471</v>
      </c>
      <c r="BQ314" s="743"/>
      <c r="BR314" s="743"/>
      <c r="BS314" s="743"/>
      <c r="BT314" s="743"/>
      <c r="BU314" s="869"/>
      <c r="BV314" s="850"/>
      <c r="BW314" s="869"/>
      <c r="BX314" s="869"/>
      <c r="BY314" s="869"/>
      <c r="BZ314" s="869"/>
      <c r="CA314" s="869"/>
      <c r="CB314" s="869"/>
      <c r="CC314" s="869"/>
      <c r="CD314" s="869"/>
      <c r="CE314" s="882"/>
      <c r="CF314" s="869"/>
      <c r="CG314" s="869"/>
      <c r="CH314" s="869"/>
      <c r="CI314" s="869"/>
      <c r="CJ314" s="869"/>
      <c r="CK314" s="869"/>
      <c r="CL314" s="869"/>
      <c r="CM314" s="869"/>
      <c r="CN314" s="869"/>
      <c r="CO314" s="850"/>
      <c r="CP314" s="850"/>
      <c r="CQ314" s="850"/>
      <c r="CR314" s="850"/>
      <c r="CS314" s="850"/>
      <c r="CT314" s="850"/>
      <c r="CU314" s="850"/>
      <c r="CV314" s="850"/>
      <c r="CW314" s="902"/>
      <c r="CX314" s="850"/>
      <c r="CY314" s="850"/>
      <c r="CZ314" s="850"/>
      <c r="DA314" s="850"/>
      <c r="DB314" s="850"/>
      <c r="DC314" s="651"/>
      <c r="DD314" s="651"/>
      <c r="DE314" s="651"/>
      <c r="DF314" s="651"/>
      <c r="DG314" s="651"/>
      <c r="DH314" s="651"/>
      <c r="DI314" s="651"/>
      <c r="DJ314" s="651"/>
      <c r="DK314" s="651"/>
      <c r="DL314" s="651"/>
      <c r="DM314" s="651"/>
      <c r="DN314" s="651"/>
      <c r="DO314" s="651"/>
      <c r="DP314" s="651"/>
      <c r="DQ314" s="651"/>
      <c r="DR314" s="651"/>
      <c r="DS314" s="651"/>
      <c r="DT314" s="651"/>
      <c r="DU314" s="651"/>
      <c r="DV314" s="651"/>
      <c r="DW314" s="651"/>
      <c r="DX314" s="651"/>
      <c r="DY314" s="651"/>
      <c r="DZ314" s="651"/>
      <c r="EA314" s="651"/>
      <c r="EB314" s="651"/>
      <c r="EC314" s="651"/>
      <c r="ED314" s="651"/>
      <c r="EE314" s="651"/>
      <c r="EF314" s="651"/>
      <c r="EG314" s="651"/>
      <c r="EH314" s="651"/>
      <c r="EI314" s="651"/>
      <c r="EJ314" s="651"/>
      <c r="EK314" s="651"/>
    </row>
    <row r="315" spans="1:143" s="593" customFormat="1" ht="14" x14ac:dyDescent="0.15">
      <c r="A315" s="651"/>
      <c r="B315" s="1318" t="s">
        <v>851</v>
      </c>
      <c r="C315" s="1319"/>
      <c r="D315" s="1319"/>
      <c r="E315" s="1319"/>
      <c r="F315" s="1319"/>
      <c r="G315" s="1319"/>
      <c r="H315" s="1319"/>
      <c r="I315" s="1319"/>
      <c r="J315" s="1319"/>
      <c r="K315" s="1319"/>
      <c r="L315" s="1319"/>
      <c r="M315" s="1319"/>
      <c r="N315" s="1319"/>
      <c r="O315" s="1319"/>
      <c r="P315" s="1319"/>
      <c r="Q315" s="1319"/>
      <c r="R315" s="1319"/>
      <c r="S315" s="1319"/>
      <c r="T315" s="1319"/>
      <c r="U315" s="1319"/>
      <c r="V315" s="1319"/>
      <c r="W315" s="1319"/>
      <c r="X315" s="1319"/>
      <c r="Y315" s="1319"/>
      <c r="Z315" s="1319"/>
      <c r="AA315" s="1319"/>
      <c r="AB315" s="1319"/>
      <c r="AC315" s="1319"/>
      <c r="AD315" s="1319"/>
      <c r="AE315" s="1319"/>
      <c r="AF315" s="1319"/>
      <c r="AG315" s="1319"/>
      <c r="AH315" s="1319"/>
      <c r="AI315" s="1319"/>
      <c r="AJ315" s="1319"/>
      <c r="AK315" s="1319"/>
      <c r="AL315" s="1319"/>
      <c r="AM315" s="1319"/>
      <c r="AN315" s="1319"/>
      <c r="AO315" s="1319"/>
      <c r="AP315" s="1319"/>
      <c r="AQ315" s="1319"/>
      <c r="AR315" s="1319"/>
      <c r="AS315" s="1319"/>
      <c r="AT315" s="1319"/>
      <c r="AU315" s="1319"/>
      <c r="AV315" s="1319"/>
      <c r="AW315" s="1319"/>
      <c r="AX315" s="1319"/>
      <c r="AY315" s="1319"/>
      <c r="AZ315" s="1319"/>
      <c r="BA315" s="1319"/>
      <c r="BB315" s="1319"/>
      <c r="BC315" s="1319"/>
      <c r="BD315" s="1319"/>
      <c r="BE315" s="1319"/>
      <c r="BF315" s="1319"/>
      <c r="BG315" s="1320"/>
      <c r="BH315" s="651"/>
      <c r="BI315" s="651"/>
      <c r="BJ315" s="651"/>
      <c r="BK315" s="651"/>
      <c r="BL315" s="651"/>
      <c r="BM315" s="901"/>
      <c r="BN315" s="651"/>
      <c r="BO315" s="743"/>
      <c r="BP315" s="743"/>
      <c r="BQ315" s="743"/>
      <c r="BR315" s="743"/>
      <c r="BS315" s="743"/>
      <c r="BT315" s="743"/>
      <c r="BU315" s="869"/>
      <c r="BV315" s="850"/>
      <c r="BW315" s="869"/>
      <c r="BX315" s="869"/>
      <c r="BY315" s="869"/>
      <c r="BZ315" s="869"/>
      <c r="CA315" s="869"/>
      <c r="CB315" s="869" t="s">
        <v>179</v>
      </c>
      <c r="CC315" s="869" t="s">
        <v>180</v>
      </c>
      <c r="CD315" s="869" t="s">
        <v>181</v>
      </c>
      <c r="CE315" s="882" t="s">
        <v>195</v>
      </c>
      <c r="CF315" s="869"/>
      <c r="CG315" s="869"/>
      <c r="CH315" s="869"/>
      <c r="CI315" s="869"/>
      <c r="CJ315" s="869"/>
      <c r="CK315" s="869"/>
      <c r="CL315" s="869"/>
      <c r="CM315" s="869"/>
      <c r="CN315" s="869"/>
      <c r="CO315" s="850"/>
      <c r="CP315" s="850"/>
      <c r="CQ315" s="850"/>
      <c r="CR315" s="850"/>
      <c r="CS315" s="850"/>
      <c r="CT315" s="850"/>
      <c r="CU315" s="850"/>
      <c r="CV315" s="850"/>
      <c r="CW315" s="902"/>
      <c r="CX315" s="850"/>
      <c r="CY315" s="850"/>
      <c r="CZ315" s="850"/>
      <c r="DA315" s="850"/>
      <c r="DB315" s="850"/>
      <c r="DC315" s="651"/>
      <c r="DD315" s="651"/>
      <c r="DE315" s="651"/>
      <c r="DF315" s="651"/>
      <c r="DG315" s="651"/>
      <c r="DH315" s="651"/>
      <c r="DI315" s="651"/>
      <c r="DJ315" s="651"/>
      <c r="DK315" s="651"/>
      <c r="DL315" s="651"/>
      <c r="DM315" s="651"/>
      <c r="DN315" s="651"/>
      <c r="DO315" s="651"/>
      <c r="DP315" s="651"/>
      <c r="DQ315" s="651"/>
      <c r="DR315" s="651"/>
      <c r="DS315" s="651"/>
      <c r="DT315" s="651"/>
      <c r="DU315" s="651"/>
      <c r="DV315" s="651"/>
      <c r="DW315" s="651"/>
      <c r="DX315" s="651"/>
      <c r="DY315" s="651"/>
      <c r="DZ315" s="651"/>
      <c r="EA315" s="651"/>
      <c r="EB315" s="651"/>
      <c r="EC315" s="651"/>
      <c r="ED315" s="651"/>
      <c r="EE315" s="651"/>
      <c r="EF315" s="651"/>
      <c r="EG315" s="651"/>
      <c r="EH315" s="651"/>
      <c r="EI315" s="651"/>
      <c r="EJ315" s="651"/>
      <c r="EK315" s="651"/>
    </row>
    <row r="316" spans="1:143" s="593" customFormat="1" ht="14" x14ac:dyDescent="0.15">
      <c r="A316" s="651"/>
      <c r="B316" s="1318" t="str">
        <f>+IF(Programneve&lt;&gt;"MFB NHP Fix Lízing Refinanszírozási Program","– az ügyfél által közölt adatok alapján kiszámolt támogatástartalom és támogatási intenzitás a konstrukció feltételeinek megfelel.","– az ügyfél és az ügylet megfelel az MNB NHP Fix Terméktájékoztatójának 1.4 és 1.5 pontjában foglalt feltéteknek")</f>
        <v>– az ügyfél által közölt adatok alapján kiszámolt támogatástartalom és támogatási intenzitás a konstrukció feltételeinek megfelel.</v>
      </c>
      <c r="C316" s="1319"/>
      <c r="D316" s="1319"/>
      <c r="E316" s="1319"/>
      <c r="F316" s="1319"/>
      <c r="G316" s="1319"/>
      <c r="H316" s="1319"/>
      <c r="I316" s="1319"/>
      <c r="J316" s="1319"/>
      <c r="K316" s="1319"/>
      <c r="L316" s="1319"/>
      <c r="M316" s="1319"/>
      <c r="N316" s="1319"/>
      <c r="O316" s="1319"/>
      <c r="P316" s="1319"/>
      <c r="Q316" s="1319"/>
      <c r="R316" s="1319"/>
      <c r="S316" s="1319"/>
      <c r="T316" s="1319"/>
      <c r="U316" s="1319"/>
      <c r="V316" s="1319"/>
      <c r="W316" s="1319"/>
      <c r="X316" s="1319"/>
      <c r="Y316" s="1319"/>
      <c r="Z316" s="1319"/>
      <c r="AA316" s="1319"/>
      <c r="AB316" s="1319"/>
      <c r="AC316" s="1319"/>
      <c r="AD316" s="1319"/>
      <c r="AE316" s="1319"/>
      <c r="AF316" s="1319"/>
      <c r="AG316" s="1319"/>
      <c r="AH316" s="1319"/>
      <c r="AI316" s="1319"/>
      <c r="AJ316" s="1319"/>
      <c r="AK316" s="1319"/>
      <c r="AL316" s="1319"/>
      <c r="AM316" s="1319"/>
      <c r="AN316" s="1319"/>
      <c r="AO316" s="1319"/>
      <c r="AP316" s="1319"/>
      <c r="AQ316" s="1319"/>
      <c r="AR316" s="1319"/>
      <c r="AS316" s="1319"/>
      <c r="AT316" s="1319"/>
      <c r="AU316" s="1319"/>
      <c r="AV316" s="1319"/>
      <c r="AW316" s="1319"/>
      <c r="AX316" s="1319"/>
      <c r="AY316" s="1319"/>
      <c r="AZ316" s="1319"/>
      <c r="BA316" s="1319"/>
      <c r="BB316" s="1319"/>
      <c r="BC316" s="1319"/>
      <c r="BD316" s="1319"/>
      <c r="BE316" s="1319"/>
      <c r="BF316" s="1319"/>
      <c r="BG316" s="1320"/>
      <c r="BH316" s="651"/>
      <c r="BI316" s="651"/>
      <c r="BJ316" s="651"/>
      <c r="BK316" s="651"/>
      <c r="BL316" s="651"/>
      <c r="BM316" s="901"/>
      <c r="BN316" s="651"/>
      <c r="BO316" s="590"/>
      <c r="BP316" s="590"/>
      <c r="BQ316" s="590"/>
      <c r="BR316" s="590"/>
      <c r="BS316" s="590"/>
      <c r="BT316" s="590"/>
      <c r="BU316" s="850"/>
      <c r="BV316" s="850"/>
      <c r="BW316" s="869"/>
      <c r="BX316" s="869"/>
      <c r="BY316" s="869"/>
      <c r="BZ316" s="882" t="s">
        <v>182</v>
      </c>
      <c r="CA316" s="882"/>
      <c r="CB316" s="869">
        <f t="shared" ref="CB316:CD320" si="9">IF(CB307=FALSE,0,CB300)</f>
        <v>0</v>
      </c>
      <c r="CC316" s="869">
        <f t="shared" si="9"/>
        <v>0</v>
      </c>
      <c r="CD316" s="869">
        <f t="shared" si="9"/>
        <v>0</v>
      </c>
      <c r="CE316" s="882">
        <f>SUM(CB316:CD316)</f>
        <v>0</v>
      </c>
      <c r="CF316" s="869"/>
      <c r="CG316" s="869"/>
      <c r="CH316" s="869"/>
      <c r="CI316" s="869"/>
      <c r="CJ316" s="869"/>
      <c r="CK316" s="869"/>
      <c r="CL316" s="869"/>
      <c r="CM316" s="869"/>
      <c r="CN316" s="869"/>
      <c r="CO316" s="850"/>
      <c r="CP316" s="850"/>
      <c r="CQ316" s="850"/>
      <c r="CR316" s="850"/>
      <c r="CS316" s="850"/>
      <c r="CT316" s="850"/>
      <c r="CU316" s="850"/>
      <c r="CV316" s="850"/>
      <c r="CW316" s="902"/>
      <c r="CX316" s="850"/>
      <c r="CY316" s="850"/>
      <c r="CZ316" s="850"/>
      <c r="DA316" s="850"/>
      <c r="DB316" s="850"/>
      <c r="DC316" s="651"/>
      <c r="DD316" s="651"/>
      <c r="DE316" s="651"/>
      <c r="DF316" s="651"/>
      <c r="DG316" s="651"/>
      <c r="DH316" s="651"/>
      <c r="DI316" s="651"/>
      <c r="DJ316" s="651"/>
      <c r="DK316" s="651"/>
      <c r="DL316" s="651"/>
      <c r="DM316" s="651"/>
      <c r="DN316" s="651"/>
      <c r="DO316" s="651"/>
      <c r="DP316" s="651"/>
      <c r="DQ316" s="651"/>
      <c r="DR316" s="651"/>
      <c r="DS316" s="651"/>
      <c r="DT316" s="651"/>
      <c r="DU316" s="651"/>
      <c r="DV316" s="651"/>
      <c r="DW316" s="651"/>
      <c r="DX316" s="651"/>
      <c r="DY316" s="651"/>
      <c r="DZ316" s="651"/>
      <c r="EA316" s="651"/>
      <c r="EB316" s="651"/>
      <c r="EC316" s="651"/>
      <c r="ED316" s="651"/>
      <c r="EE316" s="651"/>
      <c r="EF316" s="651"/>
      <c r="EG316" s="651"/>
      <c r="EH316" s="651"/>
      <c r="EI316" s="651"/>
      <c r="EJ316" s="651"/>
      <c r="EK316" s="651"/>
    </row>
    <row r="317" spans="1:143" ht="14" x14ac:dyDescent="0.15">
      <c r="A317" s="588"/>
      <c r="B317" s="1318" t="s">
        <v>852</v>
      </c>
      <c r="C317" s="1319"/>
      <c r="D317" s="1319"/>
      <c r="E317" s="1319"/>
      <c r="F317" s="1319"/>
      <c r="G317" s="1319"/>
      <c r="H317" s="1319"/>
      <c r="I317" s="1319"/>
      <c r="J317" s="1319"/>
      <c r="K317" s="1319"/>
      <c r="L317" s="1319"/>
      <c r="M317" s="1319"/>
      <c r="N317" s="1319"/>
      <c r="O317" s="1319"/>
      <c r="P317" s="1319"/>
      <c r="Q317" s="1319"/>
      <c r="R317" s="1319"/>
      <c r="S317" s="1319"/>
      <c r="T317" s="1319"/>
      <c r="U317" s="1319"/>
      <c r="V317" s="1319"/>
      <c r="W317" s="1319"/>
      <c r="X317" s="1319"/>
      <c r="Y317" s="1319"/>
      <c r="Z317" s="1319"/>
      <c r="AA317" s="1319"/>
      <c r="AB317" s="1319"/>
      <c r="AC317" s="1319"/>
      <c r="AD317" s="1319"/>
      <c r="AE317" s="1319"/>
      <c r="AF317" s="1319"/>
      <c r="AG317" s="1319"/>
      <c r="AH317" s="1319"/>
      <c r="AI317" s="1319"/>
      <c r="AJ317" s="1319"/>
      <c r="AK317" s="1319"/>
      <c r="AL317" s="1319"/>
      <c r="AM317" s="1319"/>
      <c r="AN317" s="1319"/>
      <c r="AO317" s="1319"/>
      <c r="AP317" s="1319"/>
      <c r="AQ317" s="1319"/>
      <c r="AR317" s="1319"/>
      <c r="AS317" s="1319"/>
      <c r="AT317" s="1319"/>
      <c r="AU317" s="1319"/>
      <c r="AV317" s="1319"/>
      <c r="AW317" s="1319"/>
      <c r="AX317" s="1319"/>
      <c r="AY317" s="1319"/>
      <c r="AZ317" s="1319"/>
      <c r="BA317" s="1319"/>
      <c r="BB317" s="1319"/>
      <c r="BC317" s="1319"/>
      <c r="BD317" s="1319"/>
      <c r="BE317" s="1319"/>
      <c r="BF317" s="1319"/>
      <c r="BG317" s="1320"/>
      <c r="BH317" s="651"/>
      <c r="BI317" s="588"/>
      <c r="BJ317" s="588"/>
      <c r="BK317" s="588"/>
      <c r="BL317" s="588"/>
      <c r="BM317" s="589"/>
      <c r="BN317" s="590"/>
      <c r="BO317" s="590"/>
      <c r="BP317" s="590"/>
      <c r="BQ317" s="590"/>
      <c r="BR317" s="590"/>
      <c r="BS317" s="590"/>
      <c r="BT317" s="590"/>
      <c r="BU317" s="868"/>
      <c r="BV317" s="868"/>
      <c r="BW317" s="869"/>
      <c r="BX317" s="869"/>
      <c r="BY317" s="869"/>
      <c r="BZ317" s="882" t="s">
        <v>183</v>
      </c>
      <c r="CA317" s="882"/>
      <c r="CB317" s="869">
        <f t="shared" si="9"/>
        <v>0</v>
      </c>
      <c r="CC317" s="869">
        <f t="shared" si="9"/>
        <v>0</v>
      </c>
      <c r="CD317" s="869">
        <f t="shared" si="9"/>
        <v>0</v>
      </c>
      <c r="CE317" s="910">
        <f>SUM(CB317:CD317)</f>
        <v>0</v>
      </c>
      <c r="CF317" s="869"/>
      <c r="CG317" s="869"/>
      <c r="CH317" s="869"/>
      <c r="CI317" s="869"/>
      <c r="CJ317" s="869"/>
      <c r="CK317" s="869"/>
      <c r="CL317" s="869"/>
      <c r="CM317" s="869"/>
      <c r="CN317" s="869"/>
      <c r="CO317" s="868"/>
      <c r="CP317" s="868"/>
      <c r="CQ317" s="868"/>
      <c r="CR317" s="868"/>
      <c r="CS317" s="868"/>
      <c r="CT317" s="868"/>
      <c r="CU317" s="868"/>
      <c r="CV317" s="868"/>
      <c r="CW317" s="870"/>
      <c r="CX317" s="868"/>
      <c r="CY317" s="868"/>
      <c r="CZ317" s="868"/>
      <c r="DA317" s="868"/>
      <c r="DB317" s="868"/>
      <c r="DC317" s="590"/>
      <c r="DD317" s="590"/>
      <c r="DE317" s="590"/>
      <c r="DF317" s="590"/>
      <c r="DG317" s="590"/>
      <c r="DH317" s="590"/>
      <c r="DI317" s="590"/>
      <c r="DJ317" s="590"/>
      <c r="DK317" s="590"/>
      <c r="DL317" s="590"/>
      <c r="DM317" s="590"/>
      <c r="DN317" s="590"/>
      <c r="DO317" s="590"/>
      <c r="DP317" s="590"/>
      <c r="DQ317" s="590"/>
      <c r="DR317" s="590"/>
      <c r="DS317" s="590"/>
      <c r="DT317" s="590"/>
      <c r="DU317" s="590"/>
      <c r="DV317" s="590"/>
      <c r="DW317" s="590"/>
      <c r="DX317" s="590"/>
      <c r="DY317" s="590"/>
      <c r="DZ317" s="590"/>
      <c r="EA317" s="590"/>
      <c r="EB317" s="590"/>
      <c r="EC317" s="590"/>
      <c r="ED317" s="590"/>
      <c r="EE317" s="590"/>
      <c r="EF317" s="590"/>
      <c r="EG317" s="590"/>
      <c r="EH317" s="590"/>
      <c r="EI317" s="590"/>
      <c r="EJ317" s="651"/>
      <c r="EK317" s="651"/>
    </row>
    <row r="318" spans="1:143" ht="14" x14ac:dyDescent="0.15">
      <c r="A318" s="588"/>
      <c r="B318" s="1318" t="str">
        <f>+IF(R20="MFB NHP Fix Lízing Refinanszírozási Program","– az ügyfél felé kizárólag az MNB NHP Fix Terméktájékoztatójának 1.6 pontjában foglaltaknak megfelelő díjakat számítunk fel.","")</f>
        <v/>
      </c>
      <c r="C318" s="1319"/>
      <c r="D318" s="1319"/>
      <c r="E318" s="1319"/>
      <c r="F318" s="1319"/>
      <c r="G318" s="1319"/>
      <c r="H318" s="1319"/>
      <c r="I318" s="1319"/>
      <c r="J318" s="1319"/>
      <c r="K318" s="1319"/>
      <c r="L318" s="1319"/>
      <c r="M318" s="1319"/>
      <c r="N318" s="1319"/>
      <c r="O318" s="1319"/>
      <c r="P318" s="1319"/>
      <c r="Q318" s="1319"/>
      <c r="R318" s="1319"/>
      <c r="S318" s="1319"/>
      <c r="T318" s="1319"/>
      <c r="U318" s="1319"/>
      <c r="V318" s="1319"/>
      <c r="W318" s="1319"/>
      <c r="X318" s="1319"/>
      <c r="Y318" s="1319"/>
      <c r="Z318" s="1319"/>
      <c r="AA318" s="1319"/>
      <c r="AB318" s="1319"/>
      <c r="AC318" s="1319"/>
      <c r="AD318" s="1319"/>
      <c r="AE318" s="1319"/>
      <c r="AF318" s="1319"/>
      <c r="AG318" s="1319"/>
      <c r="AH318" s="1319"/>
      <c r="AI318" s="1319"/>
      <c r="AJ318" s="1319"/>
      <c r="AK318" s="1319"/>
      <c r="AL318" s="1319"/>
      <c r="AM318" s="1319"/>
      <c r="AN318" s="1319"/>
      <c r="AO318" s="1319"/>
      <c r="AP318" s="1319"/>
      <c r="AQ318" s="1319"/>
      <c r="AR318" s="1319"/>
      <c r="AS318" s="1319"/>
      <c r="AT318" s="1319"/>
      <c r="AU318" s="1319"/>
      <c r="AV318" s="1319"/>
      <c r="AW318" s="1319"/>
      <c r="AX318" s="1319"/>
      <c r="AY318" s="1319"/>
      <c r="AZ318" s="1319"/>
      <c r="BA318" s="1319"/>
      <c r="BB318" s="1319"/>
      <c r="BC318" s="1319"/>
      <c r="BD318" s="1319"/>
      <c r="BE318" s="1319"/>
      <c r="BF318" s="1319"/>
      <c r="BG318" s="1320"/>
      <c r="BH318" s="651"/>
      <c r="BI318" s="588"/>
      <c r="BJ318" s="588"/>
      <c r="BK318" s="588"/>
      <c r="BL318" s="588"/>
      <c r="BM318" s="589"/>
      <c r="BN318" s="590"/>
      <c r="BO318" s="590"/>
      <c r="BP318" s="590"/>
      <c r="BQ318" s="590"/>
      <c r="BR318" s="590"/>
      <c r="BS318" s="590"/>
      <c r="BT318" s="590"/>
      <c r="BU318" s="868"/>
      <c r="BV318" s="868"/>
      <c r="BW318" s="869"/>
      <c r="BX318" s="869"/>
      <c r="BY318" s="869"/>
      <c r="BZ318" s="882" t="s">
        <v>184</v>
      </c>
      <c r="CA318" s="882"/>
      <c r="CB318" s="869">
        <f t="shared" si="9"/>
        <v>0</v>
      </c>
      <c r="CC318" s="869">
        <f t="shared" si="9"/>
        <v>0</v>
      </c>
      <c r="CD318" s="869">
        <f t="shared" si="9"/>
        <v>0</v>
      </c>
      <c r="CE318" s="910">
        <f>SUM(CB318:CD318)</f>
        <v>0</v>
      </c>
      <c r="CF318" s="869"/>
      <c r="CG318" s="869"/>
      <c r="CH318" s="869"/>
      <c r="CI318" s="869"/>
      <c r="CJ318" s="869"/>
      <c r="CK318" s="869"/>
      <c r="CL318" s="869"/>
      <c r="CM318" s="869"/>
      <c r="CN318" s="869"/>
      <c r="CO318" s="868"/>
      <c r="CP318" s="868"/>
      <c r="CQ318" s="868"/>
      <c r="CR318" s="868"/>
      <c r="CS318" s="868"/>
      <c r="CT318" s="868"/>
      <c r="CU318" s="868"/>
      <c r="CV318" s="868"/>
      <c r="CW318" s="870"/>
      <c r="CX318" s="868"/>
      <c r="CY318" s="868"/>
      <c r="CZ318" s="868"/>
      <c r="DA318" s="868"/>
      <c r="DB318" s="868"/>
      <c r="DC318" s="590"/>
      <c r="DD318" s="590"/>
      <c r="DE318" s="590"/>
      <c r="DF318" s="590"/>
      <c r="DG318" s="590"/>
      <c r="DH318" s="590"/>
      <c r="DI318" s="590"/>
      <c r="DJ318" s="590"/>
      <c r="DK318" s="590"/>
      <c r="DL318" s="590"/>
      <c r="DM318" s="590"/>
      <c r="DN318" s="590"/>
      <c r="DO318" s="590"/>
      <c r="DP318" s="590"/>
      <c r="DQ318" s="590"/>
      <c r="DR318" s="590"/>
      <c r="DS318" s="590"/>
      <c r="DT318" s="590"/>
      <c r="DU318" s="590"/>
      <c r="DV318" s="590"/>
      <c r="DW318" s="590"/>
      <c r="DX318" s="590"/>
      <c r="DY318" s="590"/>
      <c r="DZ318" s="590"/>
      <c r="EA318" s="590"/>
      <c r="EB318" s="590"/>
      <c r="EC318" s="590"/>
      <c r="ED318" s="590"/>
      <c r="EE318" s="590"/>
      <c r="EF318" s="590"/>
      <c r="EG318" s="590"/>
      <c r="EH318" s="590"/>
      <c r="EI318" s="590"/>
      <c r="EJ318" s="651"/>
      <c r="EK318" s="651"/>
      <c r="EL318" s="651"/>
      <c r="EM318" s="651"/>
    </row>
    <row r="319" spans="1:143" ht="14" x14ac:dyDescent="0.15">
      <c r="B319" s="1318" t="str">
        <f>+IF(R20="MFB NHP Fix Lízing Refinanszírozási Program","– az ügylet biztosítékai megfelelnek az MNB NHP Fix Terméktájékoztató 1.7 és 1.8 pontjában foglaltaknak","")</f>
        <v/>
      </c>
      <c r="C319" s="1319"/>
      <c r="D319" s="1319"/>
      <c r="E319" s="1319"/>
      <c r="F319" s="1319"/>
      <c r="G319" s="1319"/>
      <c r="H319" s="1319"/>
      <c r="I319" s="1319"/>
      <c r="J319" s="1319"/>
      <c r="K319" s="1319"/>
      <c r="L319" s="1319"/>
      <c r="M319" s="1319"/>
      <c r="N319" s="1319"/>
      <c r="O319" s="1319"/>
      <c r="P319" s="1319"/>
      <c r="Q319" s="1319"/>
      <c r="R319" s="1319"/>
      <c r="S319" s="1319"/>
      <c r="T319" s="1319"/>
      <c r="U319" s="1319"/>
      <c r="V319" s="1319"/>
      <c r="W319" s="1319"/>
      <c r="X319" s="1319"/>
      <c r="Y319" s="1319"/>
      <c r="Z319" s="1319"/>
      <c r="AA319" s="1319"/>
      <c r="AB319" s="1319"/>
      <c r="AC319" s="1319"/>
      <c r="AD319" s="1319"/>
      <c r="AE319" s="1319"/>
      <c r="AF319" s="1319"/>
      <c r="AG319" s="1319"/>
      <c r="AH319" s="1319"/>
      <c r="AI319" s="1319"/>
      <c r="AJ319" s="1319"/>
      <c r="AK319" s="1319"/>
      <c r="AL319" s="1319"/>
      <c r="AM319" s="1319"/>
      <c r="AN319" s="1319"/>
      <c r="AO319" s="1319"/>
      <c r="AP319" s="1319"/>
      <c r="AQ319" s="1319"/>
      <c r="AR319" s="1319"/>
      <c r="AS319" s="1319"/>
      <c r="AT319" s="1319"/>
      <c r="AU319" s="1319"/>
      <c r="AV319" s="1319"/>
      <c r="AW319" s="1319"/>
      <c r="AX319" s="1319"/>
      <c r="AY319" s="1319"/>
      <c r="AZ319" s="1319"/>
      <c r="BA319" s="1319"/>
      <c r="BB319" s="1319"/>
      <c r="BC319" s="1319"/>
      <c r="BD319" s="1319"/>
      <c r="BE319" s="1319"/>
      <c r="BF319" s="1319"/>
      <c r="BG319" s="1320"/>
      <c r="BH319" s="588"/>
      <c r="BI319" s="658"/>
      <c r="BJ319" s="658"/>
      <c r="BK319" s="658"/>
      <c r="BL319" s="658"/>
      <c r="BM319" s="845"/>
      <c r="BN319" s="590"/>
      <c r="BO319" s="590"/>
      <c r="BP319" s="590"/>
      <c r="BQ319" s="590"/>
      <c r="BR319" s="590"/>
      <c r="BS319" s="590"/>
      <c r="BT319" s="590"/>
      <c r="BU319" s="868"/>
      <c r="BV319" s="868"/>
      <c r="BW319" s="869"/>
      <c r="BX319" s="869"/>
      <c r="BY319" s="869"/>
      <c r="BZ319" s="882" t="s">
        <v>185</v>
      </c>
      <c r="CA319" s="882"/>
      <c r="CB319" s="869">
        <f t="shared" si="9"/>
        <v>0</v>
      </c>
      <c r="CC319" s="869">
        <f t="shared" si="9"/>
        <v>0</v>
      </c>
      <c r="CD319" s="869">
        <f t="shared" si="9"/>
        <v>0</v>
      </c>
      <c r="CE319" s="910">
        <f>SUM(CB319:CD319)</f>
        <v>0</v>
      </c>
      <c r="CF319" s="869"/>
      <c r="CG319" s="869"/>
      <c r="CH319" s="869"/>
      <c r="CI319" s="869"/>
      <c r="CJ319" s="869"/>
      <c r="CK319" s="869"/>
      <c r="CL319" s="869"/>
      <c r="CM319" s="869"/>
      <c r="CN319" s="869"/>
      <c r="CO319" s="868"/>
      <c r="CP319" s="868"/>
      <c r="CQ319" s="868"/>
      <c r="CR319" s="868"/>
      <c r="CS319" s="868"/>
      <c r="CT319" s="868"/>
      <c r="CU319" s="868"/>
      <c r="CV319" s="868"/>
      <c r="CW319" s="870"/>
      <c r="CX319" s="868"/>
      <c r="CY319" s="868"/>
      <c r="CZ319" s="868"/>
      <c r="DA319" s="868"/>
      <c r="DB319" s="868"/>
      <c r="DC319" s="590"/>
      <c r="DD319" s="590"/>
      <c r="DE319" s="590"/>
      <c r="DF319" s="590"/>
      <c r="DG319" s="590"/>
      <c r="DH319" s="590"/>
      <c r="DI319" s="590"/>
      <c r="DJ319" s="590"/>
      <c r="DK319" s="590"/>
      <c r="DL319" s="590"/>
      <c r="DM319" s="590"/>
      <c r="DN319" s="590"/>
      <c r="DO319" s="590"/>
      <c r="DP319" s="590"/>
      <c r="DQ319" s="590"/>
      <c r="DR319" s="590"/>
      <c r="DS319" s="590"/>
      <c r="DT319" s="590"/>
      <c r="DU319" s="590"/>
      <c r="DV319" s="590"/>
      <c r="DW319" s="590"/>
      <c r="DX319" s="590"/>
      <c r="DY319" s="590"/>
      <c r="DZ319" s="590"/>
      <c r="EA319" s="590"/>
      <c r="EB319" s="590"/>
      <c r="EC319" s="590"/>
      <c r="ED319" s="590"/>
      <c r="EE319" s="590"/>
      <c r="EF319" s="590"/>
      <c r="EG319" s="590"/>
      <c r="EH319" s="590"/>
      <c r="EI319" s="590"/>
      <c r="EJ319" s="651"/>
      <c r="EK319" s="651"/>
      <c r="EL319" s="651"/>
      <c r="EM319" s="651"/>
    </row>
    <row r="320" spans="1:143" ht="30" customHeight="1" x14ac:dyDescent="0.15">
      <c r="B320" s="1318" t="s">
        <v>853</v>
      </c>
      <c r="C320" s="1319"/>
      <c r="D320" s="1319"/>
      <c r="E320" s="1319"/>
      <c r="F320" s="1319"/>
      <c r="G320" s="1319"/>
      <c r="H320" s="1319"/>
      <c r="I320" s="1319"/>
      <c r="J320" s="1319"/>
      <c r="K320" s="1319"/>
      <c r="L320" s="1319"/>
      <c r="M320" s="1319"/>
      <c r="N320" s="1319"/>
      <c r="O320" s="1319"/>
      <c r="P320" s="1319"/>
      <c r="Q320" s="1319"/>
      <c r="R320" s="1319"/>
      <c r="S320" s="1319"/>
      <c r="T320" s="1319"/>
      <c r="U320" s="1319"/>
      <c r="V320" s="1319"/>
      <c r="W320" s="1319"/>
      <c r="X320" s="1319"/>
      <c r="Y320" s="1319"/>
      <c r="Z320" s="1319"/>
      <c r="AA320" s="1319"/>
      <c r="AB320" s="1319"/>
      <c r="AC320" s="1319"/>
      <c r="AD320" s="1319"/>
      <c r="AE320" s="1319"/>
      <c r="AF320" s="1319"/>
      <c r="AG320" s="1319"/>
      <c r="AH320" s="1319"/>
      <c r="AI320" s="1319"/>
      <c r="AJ320" s="1319"/>
      <c r="AK320" s="1319"/>
      <c r="AL320" s="1319"/>
      <c r="AM320" s="1319"/>
      <c r="AN320" s="1319"/>
      <c r="AO320" s="1319"/>
      <c r="AP320" s="1319"/>
      <c r="AQ320" s="1319"/>
      <c r="AR320" s="1319"/>
      <c r="AS320" s="1319"/>
      <c r="AT320" s="1319"/>
      <c r="AU320" s="1319"/>
      <c r="AV320" s="1319"/>
      <c r="AW320" s="1319"/>
      <c r="AX320" s="1319"/>
      <c r="AY320" s="1319"/>
      <c r="AZ320" s="1319"/>
      <c r="BA320" s="1319"/>
      <c r="BB320" s="1319"/>
      <c r="BC320" s="1319"/>
      <c r="BD320" s="1319"/>
      <c r="BE320" s="1319"/>
      <c r="BF320" s="1319"/>
      <c r="BG320" s="1320"/>
      <c r="BH320" s="588"/>
      <c r="BI320" s="588"/>
      <c r="BJ320" s="588"/>
      <c r="BK320" s="588"/>
      <c r="BL320" s="588"/>
      <c r="BM320" s="589"/>
      <c r="BN320" s="590"/>
      <c r="BO320" s="651">
        <f>IF(MNBarf_megj="TT számításhoz használt árfolyam (előző hónap utolsó napján érvényes MNB EUR devizaközép árfolyam)",1,2)</f>
        <v>1</v>
      </c>
      <c r="BP320" s="651"/>
      <c r="BQ320" s="651"/>
      <c r="BR320" s="651"/>
      <c r="BS320" s="651"/>
      <c r="BT320" s="651"/>
      <c r="BU320" s="868"/>
      <c r="BV320" s="868"/>
      <c r="BW320" s="869"/>
      <c r="BX320" s="869"/>
      <c r="BY320" s="869"/>
      <c r="BZ320" s="882" t="s">
        <v>186</v>
      </c>
      <c r="CA320" s="882"/>
      <c r="CB320" s="869">
        <f t="shared" si="9"/>
        <v>0</v>
      </c>
      <c r="CC320" s="869">
        <f t="shared" si="9"/>
        <v>0</v>
      </c>
      <c r="CD320" s="869">
        <f t="shared" si="9"/>
        <v>0</v>
      </c>
      <c r="CE320" s="910">
        <f>SUM(CB320:CD320)</f>
        <v>0</v>
      </c>
      <c r="CF320" s="869"/>
      <c r="CG320" s="869"/>
      <c r="CH320" s="869"/>
      <c r="CI320" s="869"/>
      <c r="CJ320" s="869"/>
      <c r="CK320" s="869"/>
      <c r="CL320" s="869"/>
      <c r="CM320" s="869"/>
      <c r="CN320" s="869"/>
      <c r="CO320" s="868"/>
      <c r="CP320" s="868"/>
      <c r="CQ320" s="868"/>
      <c r="CR320" s="868"/>
      <c r="CS320" s="868"/>
      <c r="CT320" s="868"/>
      <c r="CU320" s="868"/>
      <c r="CV320" s="868"/>
      <c r="CW320" s="870"/>
      <c r="CX320" s="868"/>
      <c r="CY320" s="868"/>
      <c r="CZ320" s="868"/>
      <c r="DA320" s="868"/>
      <c r="DB320" s="868"/>
      <c r="DC320" s="590"/>
      <c r="DD320" s="590"/>
      <c r="DE320" s="590"/>
      <c r="DF320" s="590"/>
      <c r="DG320" s="590"/>
      <c r="DH320" s="590"/>
      <c r="DI320" s="590"/>
      <c r="DJ320" s="590"/>
      <c r="DK320" s="590"/>
      <c r="DL320" s="590"/>
      <c r="DM320" s="590"/>
      <c r="DN320" s="590"/>
      <c r="DO320" s="590"/>
      <c r="DP320" s="590"/>
      <c r="DQ320" s="590"/>
      <c r="DR320" s="590"/>
      <c r="DS320" s="590"/>
      <c r="DT320" s="590"/>
      <c r="DU320" s="590"/>
      <c r="DV320" s="590"/>
      <c r="DW320" s="590"/>
      <c r="DX320" s="590"/>
      <c r="DY320" s="590"/>
      <c r="DZ320" s="590"/>
      <c r="EA320" s="590"/>
      <c r="EB320" s="590"/>
      <c r="EC320" s="590"/>
      <c r="ED320" s="590"/>
      <c r="EE320" s="590"/>
      <c r="EF320" s="590"/>
      <c r="EG320" s="590"/>
      <c r="EH320" s="590"/>
      <c r="EI320" s="590"/>
      <c r="EJ320" s="651"/>
      <c r="EK320" s="651"/>
    </row>
    <row r="321" spans="1:218" ht="14" x14ac:dyDescent="0.15">
      <c r="B321" s="908"/>
      <c r="C321" s="658"/>
      <c r="D321" s="909"/>
      <c r="E321" s="1312"/>
      <c r="F321" s="1312"/>
      <c r="G321" s="1312"/>
      <c r="H321" s="1312"/>
      <c r="I321" s="1312"/>
      <c r="J321" s="1312"/>
      <c r="K321" s="1312"/>
      <c r="L321" s="1312"/>
      <c r="M321" s="1312"/>
      <c r="N321" s="1312"/>
      <c r="O321" s="1312"/>
      <c r="P321" s="1312"/>
      <c r="Q321" s="1312"/>
      <c r="R321" s="1312"/>
      <c r="S321" s="1312"/>
      <c r="T321" s="1312"/>
      <c r="U321" s="1312"/>
      <c r="V321" s="1312"/>
      <c r="W321" s="1312"/>
      <c r="X321" s="1312"/>
      <c r="Y321" s="1312"/>
      <c r="Z321" s="1312"/>
      <c r="AA321" s="1312"/>
      <c r="AB321" s="1312"/>
      <c r="AC321" s="1312"/>
      <c r="AD321" s="1312"/>
      <c r="AE321" s="1312"/>
      <c r="AF321" s="1312"/>
      <c r="AG321" s="1312"/>
      <c r="AH321" s="1312"/>
      <c r="AI321" s="1312"/>
      <c r="AJ321" s="1312"/>
      <c r="AK321" s="1312"/>
      <c r="AL321" s="1312"/>
      <c r="AM321" s="1312"/>
      <c r="AN321" s="1312"/>
      <c r="AO321" s="1312"/>
      <c r="AP321" s="1312"/>
      <c r="AQ321" s="1312"/>
      <c r="AR321" s="1312"/>
      <c r="AS321" s="1312"/>
      <c r="AT321" s="1312"/>
      <c r="AU321" s="1312"/>
      <c r="AV321" s="1312"/>
      <c r="AW321" s="1312"/>
      <c r="AX321" s="1312"/>
      <c r="AY321" s="1312"/>
      <c r="AZ321" s="1312"/>
      <c r="BA321" s="1312"/>
      <c r="BB321" s="1312"/>
      <c r="BC321" s="1312"/>
      <c r="BD321" s="1312"/>
      <c r="BE321" s="1312"/>
      <c r="BF321" s="1312"/>
      <c r="BG321" s="631"/>
      <c r="BH321" s="658"/>
      <c r="BI321" s="588"/>
      <c r="BJ321" s="588"/>
      <c r="BK321" s="588"/>
      <c r="BL321" s="588"/>
      <c r="BM321" s="589"/>
      <c r="BN321" s="590"/>
      <c r="BO321" s="651"/>
      <c r="BP321" s="651"/>
      <c r="BQ321" s="651"/>
      <c r="BR321" s="651"/>
      <c r="BS321" s="651"/>
      <c r="BT321" s="651"/>
      <c r="BU321" s="868"/>
      <c r="BV321" s="868"/>
      <c r="BW321" s="869"/>
      <c r="BX321" s="869"/>
      <c r="BY321" s="869"/>
      <c r="BZ321" s="882"/>
      <c r="CA321" s="882"/>
      <c r="CB321" s="869"/>
      <c r="CC321" s="869"/>
      <c r="CD321" s="869"/>
      <c r="CE321" s="869">
        <f>SUM(CE316:CE320)</f>
        <v>0</v>
      </c>
      <c r="CF321" s="869"/>
      <c r="CG321" s="869"/>
      <c r="CH321" s="869"/>
      <c r="CI321" s="869"/>
      <c r="CJ321" s="869"/>
      <c r="CK321" s="869"/>
      <c r="CL321" s="869"/>
      <c r="CM321" s="869"/>
      <c r="CN321" s="869"/>
      <c r="CO321" s="868"/>
      <c r="CP321" s="868"/>
      <c r="CQ321" s="868"/>
      <c r="CR321" s="868"/>
      <c r="CS321" s="868"/>
      <c r="CT321" s="868"/>
      <c r="CU321" s="868"/>
      <c r="CV321" s="868"/>
      <c r="CW321" s="870"/>
      <c r="CX321" s="868"/>
      <c r="CY321" s="868"/>
      <c r="CZ321" s="868"/>
      <c r="DA321" s="868"/>
      <c r="DB321" s="868"/>
      <c r="DC321" s="590"/>
      <c r="DD321" s="590"/>
      <c r="DE321" s="590"/>
      <c r="DF321" s="590"/>
      <c r="DG321" s="590"/>
      <c r="DH321" s="590"/>
      <c r="DI321" s="590"/>
      <c r="DJ321" s="590"/>
      <c r="DK321" s="590"/>
      <c r="DL321" s="590"/>
      <c r="DM321" s="590"/>
      <c r="DN321" s="590"/>
      <c r="DO321" s="590"/>
      <c r="DP321" s="590"/>
      <c r="DQ321" s="590"/>
      <c r="DR321" s="590"/>
      <c r="DS321" s="590"/>
      <c r="DT321" s="590"/>
      <c r="DU321" s="590"/>
      <c r="DV321" s="590"/>
      <c r="DW321" s="590"/>
      <c r="DX321" s="590"/>
      <c r="DY321" s="590"/>
      <c r="DZ321" s="590"/>
      <c r="EA321" s="590"/>
      <c r="EB321" s="590"/>
      <c r="EC321" s="590"/>
      <c r="ED321" s="590"/>
      <c r="EE321" s="590"/>
      <c r="EF321" s="590"/>
      <c r="EG321" s="590"/>
      <c r="EH321" s="590"/>
      <c r="EI321" s="590"/>
      <c r="EJ321" s="651"/>
      <c r="EK321" s="651"/>
    </row>
    <row r="322" spans="1:218" ht="15.75" customHeight="1" thickBot="1" x14ac:dyDescent="0.2">
      <c r="B322" s="676"/>
      <c r="C322" s="541"/>
      <c r="D322" s="546" t="s">
        <v>178</v>
      </c>
      <c r="E322" s="911"/>
      <c r="F322" s="1308" t="str">
        <f>+IF(keltezes="","",keltezes)</f>
        <v/>
      </c>
      <c r="G322" s="1308"/>
      <c r="H322" s="1308"/>
      <c r="I322" s="1308"/>
      <c r="J322" s="1308"/>
      <c r="K322" s="1308"/>
      <c r="L322" s="1308"/>
      <c r="M322" s="1308"/>
      <c r="N322" s="1308"/>
      <c r="O322" s="1308"/>
      <c r="P322" s="627"/>
      <c r="Q322" s="541"/>
      <c r="R322" s="541"/>
      <c r="S322" s="541"/>
      <c r="T322" s="541"/>
      <c r="U322" s="541"/>
      <c r="V322" s="541"/>
      <c r="W322" s="541"/>
      <c r="X322" s="541"/>
      <c r="Y322" s="541"/>
      <c r="Z322" s="541"/>
      <c r="AA322" s="541"/>
      <c r="AB322" s="541"/>
      <c r="AC322" s="541"/>
      <c r="AD322" s="541"/>
      <c r="AE322" s="541"/>
      <c r="AF322" s="541"/>
      <c r="AG322" s="541"/>
      <c r="AH322" s="541"/>
      <c r="AI322" s="541"/>
      <c r="AJ322" s="541"/>
      <c r="AK322" s="541"/>
      <c r="AL322" s="541"/>
      <c r="AM322" s="541"/>
      <c r="AN322" s="541"/>
      <c r="AO322" s="541"/>
      <c r="AP322" s="541"/>
      <c r="AQ322" s="541"/>
      <c r="AR322" s="541"/>
      <c r="AS322" s="541"/>
      <c r="AT322" s="541"/>
      <c r="AU322" s="541"/>
      <c r="AV322" s="541"/>
      <c r="AW322" s="541"/>
      <c r="AX322" s="541"/>
      <c r="AY322" s="541"/>
      <c r="AZ322" s="541"/>
      <c r="BA322" s="541"/>
      <c r="BB322" s="541"/>
      <c r="BC322" s="541"/>
      <c r="BD322" s="541"/>
      <c r="BE322" s="541"/>
      <c r="BF322" s="541"/>
      <c r="BG322" s="912"/>
      <c r="BH322" s="588"/>
      <c r="BI322" s="588"/>
      <c r="BJ322" s="588"/>
      <c r="BK322" s="588"/>
      <c r="BL322" s="588"/>
      <c r="BM322" s="589"/>
      <c r="BN322" s="658"/>
      <c r="BO322" s="854"/>
      <c r="BP322" s="854"/>
      <c r="BQ322" s="854"/>
      <c r="BR322" s="868"/>
      <c r="BS322" s="868"/>
      <c r="BT322" s="868"/>
      <c r="BU322" s="868"/>
      <c r="BV322" s="868"/>
      <c r="BW322" s="869"/>
      <c r="BX322" s="869"/>
      <c r="BY322" s="869"/>
      <c r="BZ322" s="869"/>
      <c r="CA322" s="869"/>
      <c r="CB322" s="869"/>
      <c r="CC322" s="869"/>
      <c r="CD322" s="869"/>
      <c r="CE322" s="869"/>
      <c r="CF322" s="869"/>
      <c r="CG322" s="869"/>
      <c r="CH322" s="869"/>
      <c r="CI322" s="869"/>
      <c r="CJ322" s="869"/>
      <c r="CK322" s="869"/>
      <c r="CL322" s="869"/>
      <c r="CM322" s="869"/>
      <c r="CN322" s="869"/>
      <c r="CO322" s="868"/>
      <c r="CP322" s="868"/>
      <c r="CQ322" s="868"/>
      <c r="CR322" s="868"/>
      <c r="CS322" s="868"/>
      <c r="CT322" s="868"/>
      <c r="CU322" s="868"/>
      <c r="CV322" s="868"/>
      <c r="CW322" s="870"/>
      <c r="CX322" s="868"/>
      <c r="CY322" s="868"/>
      <c r="CZ322" s="868"/>
      <c r="DA322" s="868"/>
      <c r="DB322" s="868"/>
      <c r="DC322" s="590"/>
      <c r="DD322" s="590"/>
      <c r="DE322" s="590"/>
      <c r="DF322" s="590"/>
      <c r="DG322" s="590"/>
      <c r="DH322" s="590"/>
      <c r="DI322" s="590"/>
      <c r="DJ322" s="590"/>
      <c r="DK322" s="590"/>
      <c r="DL322" s="590"/>
      <c r="DM322" s="590"/>
      <c r="DN322" s="590"/>
      <c r="DO322" s="590"/>
      <c r="DP322" s="590"/>
      <c r="DQ322" s="590"/>
      <c r="DR322" s="590"/>
      <c r="DS322" s="590"/>
      <c r="DT322" s="590"/>
      <c r="DU322" s="590"/>
      <c r="DV322" s="590"/>
      <c r="DW322" s="590"/>
      <c r="DX322" s="590"/>
      <c r="DY322" s="590"/>
      <c r="DZ322" s="590"/>
      <c r="EA322" s="590"/>
      <c r="EB322" s="590"/>
      <c r="EC322" s="590"/>
      <c r="ED322" s="590"/>
      <c r="EE322" s="590"/>
      <c r="EF322" s="590"/>
      <c r="EG322" s="590"/>
      <c r="EH322" s="590"/>
      <c r="EI322" s="590"/>
      <c r="EJ322" s="651"/>
      <c r="EK322" s="651"/>
    </row>
    <row r="323" spans="1:218" ht="40.5" customHeight="1" thickBot="1" x14ac:dyDescent="0.2">
      <c r="B323" s="676"/>
      <c r="C323" s="541"/>
      <c r="D323" s="541"/>
      <c r="E323" s="911"/>
      <c r="F323" s="911"/>
      <c r="G323" s="911"/>
      <c r="H323" s="911"/>
      <c r="I323" s="911"/>
      <c r="J323" s="541"/>
      <c r="K323" s="541"/>
      <c r="L323" s="541"/>
      <c r="M323" s="541"/>
      <c r="N323" s="541"/>
      <c r="O323" s="541"/>
      <c r="P323" s="541"/>
      <c r="Q323" s="541"/>
      <c r="R323" s="541"/>
      <c r="S323" s="541"/>
      <c r="T323" s="541"/>
      <c r="U323" s="541"/>
      <c r="V323" s="541"/>
      <c r="W323" s="541"/>
      <c r="X323" s="541"/>
      <c r="Y323" s="541"/>
      <c r="Z323" s="541"/>
      <c r="AA323" s="541"/>
      <c r="AB323" s="541"/>
      <c r="AC323" s="541"/>
      <c r="AD323" s="541"/>
      <c r="AE323" s="541"/>
      <c r="AF323" s="541"/>
      <c r="AG323" s="541"/>
      <c r="AH323" s="541"/>
      <c r="AI323" s="541"/>
      <c r="AJ323" s="541"/>
      <c r="AK323" s="541"/>
      <c r="AL323" s="541"/>
      <c r="AM323" s="541"/>
      <c r="AN323" s="541"/>
      <c r="AO323" s="541"/>
      <c r="AP323" s="541"/>
      <c r="AQ323" s="541"/>
      <c r="AR323" s="541"/>
      <c r="AS323" s="541"/>
      <c r="AT323" s="541"/>
      <c r="AU323" s="541"/>
      <c r="AV323" s="541"/>
      <c r="AW323" s="541"/>
      <c r="AX323" s="541"/>
      <c r="AY323" s="541"/>
      <c r="AZ323" s="541"/>
      <c r="BA323" s="541"/>
      <c r="BB323" s="541"/>
      <c r="BC323" s="541"/>
      <c r="BD323" s="541"/>
      <c r="BE323" s="541"/>
      <c r="BF323" s="541"/>
      <c r="BG323" s="912"/>
      <c r="BH323" s="588"/>
      <c r="BI323" s="588"/>
      <c r="BJ323" s="588"/>
      <c r="BK323" s="588"/>
      <c r="BL323" s="588"/>
      <c r="BM323" s="865"/>
      <c r="BN323" s="918"/>
      <c r="BO323" s="919" t="str">
        <f>+IF(F322="","",F322)</f>
        <v/>
      </c>
      <c r="BP323" s="920" t="s">
        <v>458</v>
      </c>
      <c r="BQ323" s="920"/>
      <c r="BR323" s="920"/>
      <c r="BS323" s="920"/>
      <c r="BT323" s="866"/>
      <c r="BU323" s="866"/>
      <c r="BV323" s="866"/>
      <c r="BW323" s="921"/>
      <c r="BX323" s="921"/>
      <c r="BY323" s="921"/>
      <c r="BZ323" s="921"/>
      <c r="CA323" s="921"/>
      <c r="CB323" s="921"/>
      <c r="CC323" s="921"/>
      <c r="CD323" s="921"/>
      <c r="CE323" s="922">
        <f>CE321</f>
        <v>0</v>
      </c>
      <c r="CF323" s="921"/>
      <c r="CG323" s="921"/>
      <c r="CH323" s="921"/>
      <c r="CI323" s="921"/>
      <c r="CJ323" s="921"/>
      <c r="CK323" s="921"/>
      <c r="CL323" s="921"/>
      <c r="CM323" s="921"/>
      <c r="CN323" s="921"/>
      <c r="CO323" s="866"/>
      <c r="CP323" s="866"/>
      <c r="CQ323" s="866"/>
      <c r="CR323" s="866"/>
      <c r="CS323" s="866"/>
      <c r="CT323" s="866"/>
      <c r="CU323" s="866"/>
      <c r="CV323" s="866"/>
      <c r="CW323" s="867"/>
      <c r="CX323" s="590"/>
      <c r="CY323" s="590"/>
      <c r="CZ323" s="590"/>
      <c r="DA323" s="590"/>
      <c r="DB323" s="590"/>
      <c r="DC323" s="590"/>
      <c r="DD323" s="590"/>
      <c r="DE323" s="590"/>
      <c r="DF323" s="590"/>
      <c r="DG323" s="590"/>
      <c r="DH323" s="590"/>
      <c r="DI323" s="590"/>
      <c r="DJ323" s="590"/>
      <c r="DK323" s="590"/>
      <c r="DL323" s="590"/>
      <c r="DM323" s="590"/>
      <c r="DN323" s="590"/>
      <c r="DO323" s="590"/>
      <c r="DP323" s="590"/>
      <c r="DQ323" s="590"/>
      <c r="DR323" s="590"/>
      <c r="DS323" s="590"/>
      <c r="DT323" s="590"/>
      <c r="DU323" s="590"/>
      <c r="DV323" s="590"/>
      <c r="DW323" s="590"/>
      <c r="DX323" s="590"/>
      <c r="DY323" s="590"/>
      <c r="DZ323" s="590"/>
      <c r="EA323" s="590"/>
      <c r="EB323" s="590"/>
      <c r="EC323" s="590"/>
      <c r="ED323" s="590"/>
      <c r="EE323" s="590"/>
      <c r="EF323" s="590"/>
      <c r="EG323" s="590"/>
      <c r="EH323" s="590"/>
      <c r="EI323" s="590"/>
      <c r="EJ323" s="651"/>
      <c r="EK323" s="651"/>
    </row>
    <row r="324" spans="1:218" ht="14" x14ac:dyDescent="0.15">
      <c r="B324" s="676"/>
      <c r="C324" s="541"/>
      <c r="D324" s="541"/>
      <c r="E324" s="911"/>
      <c r="F324" s="911"/>
      <c r="G324" s="911"/>
      <c r="H324" s="911"/>
      <c r="I324" s="911"/>
      <c r="J324" s="541"/>
      <c r="K324" s="541"/>
      <c r="L324" s="564"/>
      <c r="M324" s="564"/>
      <c r="N324" s="541"/>
      <c r="O324" s="541"/>
      <c r="P324" s="541"/>
      <c r="Q324" s="541"/>
      <c r="R324" s="541"/>
      <c r="S324" s="541"/>
      <c r="T324" s="541"/>
      <c r="U324" s="541"/>
      <c r="V324" s="792" t="str">
        <f>IF(ISBLANK(pvnév),"",)</f>
        <v/>
      </c>
      <c r="W324" s="792"/>
      <c r="X324" s="792"/>
      <c r="Y324" s="792"/>
      <c r="Z324" s="792"/>
      <c r="AA324" s="792"/>
      <c r="AB324" s="792"/>
      <c r="AC324" s="792"/>
      <c r="AD324" s="792"/>
      <c r="AE324" s="792"/>
      <c r="AF324" s="792"/>
      <c r="AG324" s="792"/>
      <c r="AH324" s="792"/>
      <c r="AI324" s="792"/>
      <c r="AJ324" s="792"/>
      <c r="AK324" s="792"/>
      <c r="AL324" s="792"/>
      <c r="AM324" s="792"/>
      <c r="AN324" s="792"/>
      <c r="AO324" s="792"/>
      <c r="AP324" s="792"/>
      <c r="AQ324" s="792"/>
      <c r="AR324" s="792"/>
      <c r="AS324" s="792"/>
      <c r="AT324" s="792"/>
      <c r="AU324" s="792"/>
      <c r="AV324" s="792"/>
      <c r="AW324" s="792"/>
      <c r="AX324" s="792"/>
      <c r="AY324" s="792"/>
      <c r="AZ324" s="792"/>
      <c r="BA324" s="541"/>
      <c r="BB324" s="541"/>
      <c r="BC324" s="541"/>
      <c r="BD324" s="541"/>
      <c r="BE324" s="541"/>
      <c r="BF324" s="541"/>
      <c r="BG324" s="912"/>
      <c r="BH324" s="588"/>
      <c r="BI324" s="588"/>
      <c r="BJ324" s="588"/>
      <c r="BK324" s="588"/>
      <c r="BL324" s="588"/>
      <c r="BM324" s="588"/>
      <c r="BO324" s="923"/>
      <c r="BP324" s="923"/>
      <c r="BQ324" s="923"/>
      <c r="BR324" s="923"/>
      <c r="BS324" s="923"/>
      <c r="CF324" s="590"/>
      <c r="CG324" s="590"/>
      <c r="CH324" s="590"/>
      <c r="CI324" s="590"/>
      <c r="CJ324" s="590"/>
      <c r="CK324" s="590"/>
      <c r="CL324" s="590"/>
      <c r="CM324" s="590"/>
      <c r="CN324" s="590"/>
      <c r="CO324" s="590"/>
      <c r="CP324" s="590"/>
      <c r="CQ324" s="590"/>
      <c r="CR324" s="590"/>
      <c r="CS324" s="590"/>
      <c r="CT324" s="590"/>
      <c r="CU324" s="590"/>
      <c r="CV324" s="590"/>
      <c r="CW324" s="590"/>
      <c r="CX324" s="590"/>
      <c r="CY324" s="590"/>
      <c r="CZ324" s="590"/>
      <c r="DA324" s="590"/>
      <c r="DB324" s="590"/>
      <c r="DC324" s="590"/>
      <c r="DD324" s="590"/>
      <c r="DE324" s="590"/>
      <c r="DF324" s="590"/>
      <c r="DG324" s="590"/>
      <c r="DH324" s="590"/>
      <c r="DI324" s="590"/>
      <c r="DJ324" s="590"/>
      <c r="DK324" s="590"/>
      <c r="DL324" s="590"/>
      <c r="DM324" s="590"/>
      <c r="DN324" s="590"/>
      <c r="DO324" s="590"/>
      <c r="DP324" s="590"/>
      <c r="DQ324" s="590"/>
      <c r="DR324" s="590"/>
      <c r="DS324" s="590"/>
      <c r="DT324" s="590"/>
      <c r="DU324" s="590"/>
      <c r="DV324" s="590"/>
      <c r="DW324" s="590"/>
      <c r="DX324" s="590"/>
      <c r="DY324" s="590"/>
      <c r="DZ324" s="590"/>
      <c r="EA324" s="590"/>
      <c r="EB324" s="590"/>
      <c r="EC324" s="590"/>
      <c r="ED324" s="590"/>
      <c r="EE324" s="590"/>
      <c r="EF324" s="590"/>
      <c r="EG324" s="590"/>
      <c r="EH324" s="590"/>
      <c r="EI324" s="590"/>
      <c r="EJ324" s="651"/>
      <c r="EK324" s="651"/>
    </row>
    <row r="325" spans="1:218" ht="14" x14ac:dyDescent="0.15">
      <c r="B325" s="676"/>
      <c r="C325" s="541"/>
      <c r="D325" s="541"/>
      <c r="E325" s="911"/>
      <c r="F325" s="911"/>
      <c r="G325" s="911"/>
      <c r="H325" s="911"/>
      <c r="I325" s="911"/>
      <c r="J325" s="541"/>
      <c r="K325" s="541"/>
      <c r="L325" s="564"/>
      <c r="M325" s="564"/>
      <c r="N325" s="541"/>
      <c r="O325" s="541"/>
      <c r="P325" s="541"/>
      <c r="Q325" s="541"/>
      <c r="R325" s="541"/>
      <c r="S325" s="541"/>
      <c r="T325" s="541"/>
      <c r="U325" s="541"/>
      <c r="V325" s="792"/>
      <c r="W325" s="792"/>
      <c r="X325" s="792"/>
      <c r="Y325" s="792"/>
      <c r="Z325" s="792"/>
      <c r="AA325" s="792"/>
      <c r="AB325" s="792"/>
      <c r="AC325" s="792"/>
      <c r="AD325" s="792"/>
      <c r="AE325" s="792"/>
      <c r="AF325" s="792"/>
      <c r="AG325" s="792"/>
      <c r="AH325" s="792"/>
      <c r="AI325" s="792"/>
      <c r="AJ325" s="792"/>
      <c r="AK325" s="792"/>
      <c r="AL325" s="792"/>
      <c r="AM325" s="792"/>
      <c r="AN325" s="792"/>
      <c r="AO325" s="792"/>
      <c r="AP325" s="792"/>
      <c r="AQ325" s="792"/>
      <c r="AR325" s="792"/>
      <c r="AS325" s="792"/>
      <c r="AT325" s="792"/>
      <c r="AU325" s="792"/>
      <c r="AV325" s="792"/>
      <c r="AW325" s="792"/>
      <c r="AX325" s="792"/>
      <c r="AY325" s="792"/>
      <c r="AZ325" s="792"/>
      <c r="BA325" s="541"/>
      <c r="BB325" s="541"/>
      <c r="BC325" s="541"/>
      <c r="BD325" s="541"/>
      <c r="BE325" s="541"/>
      <c r="BF325" s="541"/>
      <c r="BG325" s="912"/>
      <c r="BH325" s="588"/>
      <c r="BI325" s="913"/>
      <c r="BJ325" s="913"/>
      <c r="BK325" s="913"/>
      <c r="BL325" s="913"/>
      <c r="BM325" s="913"/>
      <c r="BO325" s="923" t="str">
        <f>IF(AK326="","",AK326)</f>
        <v/>
      </c>
      <c r="BP325" s="923" t="s">
        <v>459</v>
      </c>
      <c r="BQ325" s="923"/>
      <c r="BR325" s="923"/>
      <c r="BS325" s="923"/>
      <c r="CF325" s="590"/>
      <c r="CG325" s="590"/>
      <c r="CH325" s="590"/>
      <c r="CI325" s="590"/>
      <c r="CJ325" s="590"/>
      <c r="CK325" s="590"/>
      <c r="CL325" s="590"/>
      <c r="CM325" s="590"/>
      <c r="CN325" s="590"/>
      <c r="CO325" s="590"/>
      <c r="CP325" s="590"/>
      <c r="CQ325" s="590"/>
      <c r="CR325" s="590"/>
      <c r="CS325" s="590"/>
      <c r="CT325" s="590"/>
      <c r="CU325" s="590"/>
      <c r="CV325" s="590"/>
      <c r="CW325" s="590"/>
      <c r="CX325" s="590"/>
      <c r="CY325" s="590"/>
      <c r="CZ325" s="590"/>
      <c r="DA325" s="590"/>
      <c r="DB325" s="590"/>
      <c r="DC325" s="590"/>
      <c r="DD325" s="590"/>
      <c r="DE325" s="590"/>
      <c r="DF325" s="590"/>
      <c r="DG325" s="590"/>
      <c r="DH325" s="590"/>
      <c r="DI325" s="590"/>
      <c r="DJ325" s="590"/>
      <c r="DK325" s="590"/>
      <c r="DL325" s="590"/>
      <c r="DM325" s="590"/>
      <c r="DN325" s="590"/>
      <c r="DO325" s="590"/>
      <c r="DP325" s="590"/>
      <c r="DQ325" s="590"/>
      <c r="DR325" s="590"/>
      <c r="DS325" s="590"/>
      <c r="DT325" s="590"/>
      <c r="DU325" s="590"/>
      <c r="DV325" s="590"/>
      <c r="DW325" s="590"/>
      <c r="DX325" s="590"/>
      <c r="DY325" s="590"/>
      <c r="DZ325" s="590"/>
      <c r="EA325" s="590"/>
      <c r="EB325" s="590"/>
      <c r="EC325" s="590"/>
      <c r="ED325" s="590"/>
      <c r="EE325" s="590"/>
      <c r="EF325" s="590"/>
      <c r="EG325" s="590"/>
      <c r="EH325" s="590"/>
      <c r="EI325" s="590"/>
      <c r="EJ325" s="651"/>
      <c r="EK325" s="651"/>
    </row>
    <row r="326" spans="1:218" s="541" customFormat="1" ht="12" customHeight="1" x14ac:dyDescent="0.15">
      <c r="A326" s="913"/>
      <c r="B326" s="676"/>
      <c r="M326" s="914"/>
      <c r="N326" s="564"/>
      <c r="O326" s="564"/>
      <c r="P326" s="564"/>
      <c r="Q326" s="564"/>
      <c r="R326" s="564"/>
      <c r="AF326" s="748"/>
      <c r="AG326" s="748"/>
      <c r="AH326" s="748"/>
      <c r="AI326" s="748"/>
      <c r="AJ326" s="748"/>
      <c r="AK326" s="1199" t="str">
        <f>IF(Finanszirozo="","",Finanszirozo)</f>
        <v/>
      </c>
      <c r="AL326" s="1199"/>
      <c r="AM326" s="1199"/>
      <c r="AN326" s="1199"/>
      <c r="AO326" s="1199"/>
      <c r="AP326" s="1199"/>
      <c r="AQ326" s="1199"/>
      <c r="AR326" s="1199"/>
      <c r="AS326" s="1199"/>
      <c r="AT326" s="1199"/>
      <c r="AU326" s="1199"/>
      <c r="AV326" s="1199"/>
      <c r="AW326" s="1199"/>
      <c r="AX326" s="1199"/>
      <c r="AY326" s="1199"/>
      <c r="AZ326" s="1199"/>
      <c r="BA326" s="1199"/>
      <c r="BB326" s="1199"/>
      <c r="BC326" s="1199"/>
      <c r="BD326" s="1199"/>
      <c r="BE326" s="1199"/>
      <c r="BG326" s="912"/>
      <c r="BH326" s="588"/>
      <c r="BI326" s="588"/>
      <c r="BJ326" s="588"/>
      <c r="BK326" s="588"/>
      <c r="BL326" s="588"/>
      <c r="BM326" s="588"/>
      <c r="CF326" s="590"/>
      <c r="CG326" s="590"/>
      <c r="CH326" s="590"/>
      <c r="CI326" s="590"/>
      <c r="CJ326" s="590"/>
      <c r="CK326" s="590"/>
      <c r="CL326" s="590"/>
      <c r="CM326" s="590"/>
      <c r="CN326" s="590"/>
      <c r="CO326" s="590"/>
      <c r="CP326" s="590"/>
      <c r="CQ326" s="590"/>
      <c r="CR326" s="590"/>
      <c r="CS326" s="590"/>
      <c r="CT326" s="590"/>
      <c r="CU326" s="590"/>
      <c r="CV326" s="590"/>
      <c r="CW326" s="590"/>
      <c r="CX326" s="590"/>
      <c r="CY326" s="590"/>
      <c r="CZ326" s="590"/>
      <c r="DA326" s="590"/>
      <c r="DB326" s="590"/>
      <c r="DC326" s="590"/>
      <c r="DD326" s="590"/>
      <c r="DE326" s="590"/>
      <c r="DF326" s="590"/>
      <c r="DG326" s="590"/>
      <c r="DH326" s="590"/>
      <c r="DI326" s="590"/>
      <c r="DJ326" s="590"/>
      <c r="DK326" s="590"/>
      <c r="DL326" s="590"/>
      <c r="DM326" s="590"/>
      <c r="DN326" s="590"/>
      <c r="DO326" s="590"/>
      <c r="DP326" s="590"/>
      <c r="EJ326" s="546"/>
      <c r="EK326" s="546"/>
      <c r="EL326" s="546"/>
      <c r="EM326" s="546"/>
      <c r="EN326" s="546"/>
      <c r="EO326" s="546"/>
      <c r="EP326" s="546"/>
      <c r="EQ326" s="546"/>
      <c r="ER326" s="546"/>
      <c r="ES326" s="546"/>
      <c r="ET326" s="546"/>
      <c r="EU326" s="546"/>
      <c r="EV326" s="546"/>
      <c r="EW326" s="546"/>
      <c r="EX326" s="546"/>
      <c r="EY326" s="546"/>
      <c r="EZ326" s="546"/>
      <c r="FA326" s="546"/>
      <c r="FB326" s="546"/>
      <c r="FC326" s="546"/>
      <c r="FD326" s="546"/>
      <c r="FE326" s="546"/>
      <c r="FF326" s="546"/>
      <c r="FG326" s="546"/>
      <c r="FH326" s="546"/>
      <c r="FI326" s="546"/>
      <c r="FJ326" s="546"/>
      <c r="FK326" s="546"/>
      <c r="FL326" s="546"/>
      <c r="FM326" s="546"/>
      <c r="FN326" s="546"/>
      <c r="FO326" s="546"/>
      <c r="FP326" s="546"/>
      <c r="FQ326" s="546"/>
      <c r="FR326" s="546"/>
      <c r="FS326" s="546"/>
      <c r="FT326" s="546"/>
      <c r="FU326" s="546"/>
      <c r="FV326" s="546"/>
      <c r="FW326" s="546"/>
      <c r="FX326" s="546"/>
      <c r="FY326" s="546"/>
      <c r="FZ326" s="546"/>
      <c r="GA326" s="546"/>
      <c r="GB326" s="546"/>
      <c r="GC326" s="546"/>
      <c r="GD326" s="546"/>
      <c r="GE326" s="546"/>
      <c r="GF326" s="546"/>
      <c r="GG326" s="546"/>
      <c r="GH326" s="546"/>
      <c r="GI326" s="546"/>
      <c r="GJ326" s="546"/>
      <c r="GK326" s="546"/>
      <c r="GL326" s="546"/>
      <c r="GM326" s="546"/>
      <c r="GN326" s="546"/>
      <c r="GO326" s="546"/>
      <c r="GP326" s="546"/>
      <c r="GQ326" s="546"/>
      <c r="GR326" s="546"/>
      <c r="GS326" s="546"/>
      <c r="GT326" s="546"/>
      <c r="GU326" s="546"/>
      <c r="GV326" s="546"/>
      <c r="GW326" s="546"/>
      <c r="GX326" s="546"/>
      <c r="GY326" s="546"/>
      <c r="GZ326" s="546"/>
      <c r="HA326" s="546"/>
      <c r="HB326" s="546"/>
      <c r="HC326" s="546"/>
      <c r="HD326" s="546"/>
      <c r="HE326" s="546"/>
      <c r="HF326" s="546"/>
      <c r="HG326" s="546"/>
      <c r="HH326" s="546"/>
      <c r="HI326" s="546"/>
      <c r="HJ326" s="546"/>
    </row>
    <row r="327" spans="1:218" s="541" customFormat="1" ht="12" customHeight="1" x14ac:dyDescent="0.15">
      <c r="A327" s="913"/>
      <c r="B327" s="915"/>
      <c r="C327" s="840"/>
      <c r="D327" s="840"/>
      <c r="E327" s="840"/>
      <c r="F327" s="840"/>
      <c r="G327" s="840"/>
      <c r="H327" s="840"/>
      <c r="I327" s="840"/>
      <c r="J327" s="840"/>
      <c r="K327" s="840"/>
      <c r="L327" s="840"/>
      <c r="M327" s="840"/>
      <c r="N327" s="916"/>
      <c r="O327" s="916"/>
      <c r="P327" s="916"/>
      <c r="Q327" s="916"/>
      <c r="R327" s="916"/>
      <c r="S327" s="840"/>
      <c r="T327" s="840"/>
      <c r="U327" s="840"/>
      <c r="V327" s="840"/>
      <c r="W327" s="840"/>
      <c r="X327" s="840"/>
      <c r="Y327" s="840"/>
      <c r="Z327" s="840"/>
      <c r="AA327" s="840"/>
      <c r="AB327" s="840"/>
      <c r="AC327" s="840"/>
      <c r="AD327" s="840"/>
      <c r="AE327" s="840"/>
      <c r="AF327" s="840"/>
      <c r="AG327" s="840"/>
      <c r="AH327" s="840"/>
      <c r="AI327" s="840"/>
      <c r="AJ327" s="840"/>
      <c r="AK327" s="840"/>
      <c r="AL327" s="840"/>
      <c r="AM327" s="840"/>
      <c r="AN327" s="840"/>
      <c r="AO327" s="840"/>
      <c r="AP327" s="840"/>
      <c r="AQ327" s="840"/>
      <c r="AR327" s="840"/>
      <c r="AS327" s="840"/>
      <c r="AT327" s="840"/>
      <c r="AU327" s="840"/>
      <c r="AV327" s="840"/>
      <c r="AW327" s="840"/>
      <c r="AX327" s="840"/>
      <c r="AY327" s="840"/>
      <c r="AZ327" s="840"/>
      <c r="BA327" s="840"/>
      <c r="BB327" s="840"/>
      <c r="BC327" s="840"/>
      <c r="BD327" s="840"/>
      <c r="BE327" s="840"/>
      <c r="BF327" s="840"/>
      <c r="BG327" s="917"/>
      <c r="BH327" s="913"/>
      <c r="BI327" s="588"/>
      <c r="BJ327" s="588"/>
      <c r="BK327" s="588"/>
      <c r="BL327" s="588"/>
      <c r="BM327" s="588"/>
      <c r="CF327" s="590"/>
      <c r="CG327" s="590"/>
      <c r="CH327" s="590"/>
      <c r="CI327" s="590"/>
      <c r="CJ327" s="590"/>
      <c r="CK327" s="590"/>
      <c r="CL327" s="590"/>
      <c r="CM327" s="590"/>
      <c r="CN327" s="590"/>
      <c r="CO327" s="590"/>
      <c r="CP327" s="590"/>
      <c r="CQ327" s="590"/>
      <c r="CR327" s="590"/>
      <c r="CS327" s="590"/>
      <c r="CT327" s="590"/>
      <c r="CU327" s="590"/>
      <c r="CV327" s="590"/>
      <c r="CW327" s="590"/>
      <c r="CX327" s="590"/>
      <c r="CY327" s="590"/>
      <c r="CZ327" s="590"/>
      <c r="DA327" s="590"/>
      <c r="DB327" s="590"/>
      <c r="DC327" s="590"/>
      <c r="DD327" s="590"/>
      <c r="DE327" s="590"/>
      <c r="DF327" s="590"/>
      <c r="DG327" s="590"/>
      <c r="DH327" s="590"/>
      <c r="DI327" s="590"/>
      <c r="DJ327" s="590"/>
      <c r="DK327" s="590"/>
      <c r="DL327" s="590"/>
      <c r="DM327" s="590"/>
      <c r="DN327" s="590"/>
      <c r="DO327" s="590"/>
      <c r="DP327" s="590"/>
      <c r="EJ327" s="546"/>
      <c r="EK327" s="546"/>
      <c r="EL327" s="546"/>
      <c r="EM327" s="546"/>
      <c r="EN327" s="546"/>
      <c r="EO327" s="546"/>
      <c r="EP327" s="546"/>
      <c r="EQ327" s="546"/>
      <c r="ER327" s="546"/>
      <c r="ES327" s="546"/>
      <c r="ET327" s="546"/>
      <c r="EU327" s="546"/>
      <c r="EV327" s="546"/>
      <c r="EW327" s="546"/>
      <c r="EX327" s="546"/>
      <c r="EY327" s="546"/>
      <c r="EZ327" s="546"/>
      <c r="FA327" s="546"/>
      <c r="FB327" s="546"/>
      <c r="FC327" s="546"/>
      <c r="FD327" s="546"/>
      <c r="FE327" s="546"/>
      <c r="FF327" s="546"/>
      <c r="FG327" s="546"/>
      <c r="FH327" s="546"/>
      <c r="FI327" s="546"/>
      <c r="FJ327" s="546"/>
      <c r="FK327" s="546"/>
      <c r="FL327" s="546"/>
      <c r="FM327" s="546"/>
      <c r="FN327" s="546"/>
      <c r="FO327" s="546"/>
      <c r="FP327" s="546"/>
      <c r="FQ327" s="546"/>
      <c r="FR327" s="546"/>
      <c r="FS327" s="546"/>
      <c r="FT327" s="546"/>
      <c r="FU327" s="546"/>
      <c r="FV327" s="546"/>
      <c r="FW327" s="546"/>
      <c r="FX327" s="546"/>
      <c r="FY327" s="546"/>
      <c r="FZ327" s="546"/>
      <c r="GA327" s="546"/>
      <c r="GB327" s="546"/>
      <c r="GC327" s="546"/>
      <c r="GD327" s="546"/>
      <c r="GE327" s="546"/>
      <c r="GF327" s="546"/>
      <c r="GG327" s="546"/>
      <c r="GH327" s="546"/>
      <c r="GI327" s="546"/>
      <c r="GJ327" s="546"/>
      <c r="GK327" s="546"/>
      <c r="GL327" s="546"/>
      <c r="GM327" s="546"/>
      <c r="GN327" s="546"/>
      <c r="GO327" s="546"/>
      <c r="GP327" s="546"/>
      <c r="GQ327" s="546"/>
      <c r="GR327" s="546"/>
      <c r="GS327" s="546"/>
      <c r="GT327" s="546"/>
      <c r="GU327" s="546"/>
      <c r="GV327" s="546"/>
      <c r="GW327" s="546"/>
      <c r="GX327" s="546"/>
      <c r="GY327" s="546"/>
      <c r="GZ327" s="546"/>
      <c r="HA327" s="546"/>
      <c r="HB327" s="546"/>
      <c r="HC327" s="546"/>
      <c r="HD327" s="546"/>
      <c r="HE327" s="546"/>
      <c r="HF327" s="546"/>
      <c r="HG327" s="546"/>
      <c r="HH327" s="546"/>
      <c r="HI327" s="546"/>
      <c r="HJ327" s="546"/>
    </row>
    <row r="328" spans="1:218" s="541" customFormat="1" ht="12" customHeight="1" x14ac:dyDescent="0.15">
      <c r="A328" s="913"/>
      <c r="B328" s="588"/>
      <c r="C328" s="588"/>
      <c r="D328" s="588"/>
      <c r="E328" s="588"/>
      <c r="F328" s="588"/>
      <c r="G328" s="588"/>
      <c r="H328" s="588"/>
      <c r="I328" s="588"/>
      <c r="J328" s="588"/>
      <c r="K328" s="588"/>
      <c r="L328" s="588"/>
      <c r="M328" s="588"/>
      <c r="N328" s="588"/>
      <c r="O328" s="588"/>
      <c r="P328" s="588"/>
      <c r="Q328" s="588"/>
      <c r="R328" s="588"/>
      <c r="S328" s="588"/>
      <c r="T328" s="588"/>
      <c r="U328" s="588"/>
      <c r="V328" s="588"/>
      <c r="W328" s="588"/>
      <c r="X328" s="588"/>
      <c r="Y328" s="588"/>
      <c r="Z328" s="588"/>
      <c r="AA328" s="588"/>
      <c r="AB328" s="588"/>
      <c r="AC328" s="588"/>
      <c r="AD328" s="588"/>
      <c r="AE328" s="588"/>
      <c r="AF328" s="588"/>
      <c r="AG328" s="588"/>
      <c r="AH328" s="588"/>
      <c r="AI328" s="588"/>
      <c r="AJ328" s="588"/>
      <c r="AK328" s="588"/>
      <c r="AL328" s="588"/>
      <c r="AM328" s="588"/>
      <c r="AN328" s="588"/>
      <c r="AO328" s="588"/>
      <c r="AP328" s="588"/>
      <c r="AQ328" s="588"/>
      <c r="AR328" s="588"/>
      <c r="AS328" s="588"/>
      <c r="AT328" s="588"/>
      <c r="AU328" s="588"/>
      <c r="AV328" s="588"/>
      <c r="AW328" s="588"/>
      <c r="AX328" s="588"/>
      <c r="AY328" s="588"/>
      <c r="AZ328" s="588"/>
      <c r="BA328" s="588"/>
      <c r="BB328" s="588"/>
      <c r="BC328" s="588"/>
      <c r="BD328" s="588"/>
      <c r="BE328" s="588"/>
      <c r="BF328" s="588"/>
      <c r="BG328" s="588"/>
      <c r="BH328" s="588"/>
      <c r="BI328" s="588"/>
      <c r="BJ328" s="588"/>
      <c r="BK328" s="588"/>
      <c r="BL328" s="588"/>
      <c r="BM328" s="588"/>
      <c r="CG328" s="590"/>
      <c r="DO328" s="590"/>
      <c r="EJ328" s="546"/>
      <c r="EK328" s="546"/>
      <c r="EL328" s="546"/>
      <c r="EM328" s="546"/>
      <c r="EN328" s="546"/>
      <c r="EO328" s="546"/>
      <c r="EP328" s="546"/>
      <c r="EQ328" s="546"/>
      <c r="ER328" s="546"/>
      <c r="ES328" s="546"/>
      <c r="ET328" s="546"/>
      <c r="EU328" s="546"/>
      <c r="EV328" s="546"/>
      <c r="EW328" s="546"/>
      <c r="EX328" s="546"/>
      <c r="EY328" s="546"/>
      <c r="EZ328" s="546"/>
      <c r="FA328" s="546"/>
      <c r="FB328" s="546"/>
      <c r="FC328" s="546"/>
      <c r="FD328" s="546"/>
      <c r="FE328" s="546"/>
      <c r="FF328" s="546"/>
      <c r="FG328" s="546"/>
      <c r="FH328" s="546"/>
      <c r="FI328" s="546"/>
      <c r="FJ328" s="546"/>
      <c r="FK328" s="546"/>
      <c r="FL328" s="546"/>
      <c r="FM328" s="546"/>
      <c r="FN328" s="546"/>
      <c r="FO328" s="546"/>
      <c r="FP328" s="546"/>
      <c r="FQ328" s="546"/>
      <c r="FR328" s="546"/>
      <c r="FS328" s="546"/>
      <c r="FT328" s="546"/>
      <c r="FU328" s="546"/>
      <c r="FV328" s="546"/>
      <c r="FW328" s="546"/>
      <c r="FX328" s="546"/>
      <c r="FY328" s="546"/>
      <c r="FZ328" s="546"/>
      <c r="GA328" s="546"/>
      <c r="GB328" s="546"/>
      <c r="GC328" s="546"/>
      <c r="GD328" s="546"/>
      <c r="GE328" s="546"/>
      <c r="GF328" s="546"/>
      <c r="GG328" s="546"/>
      <c r="GH328" s="546"/>
      <c r="GI328" s="546"/>
      <c r="GJ328" s="546"/>
      <c r="GK328" s="546"/>
      <c r="GL328" s="546"/>
      <c r="GM328" s="546"/>
      <c r="GN328" s="546"/>
      <c r="GO328" s="546"/>
      <c r="GP328" s="546"/>
      <c r="GQ328" s="546"/>
      <c r="GR328" s="546"/>
      <c r="GS328" s="546"/>
      <c r="GT328" s="546"/>
      <c r="GU328" s="546"/>
      <c r="GV328" s="546"/>
      <c r="GW328" s="546"/>
      <c r="GX328" s="546"/>
      <c r="GY328" s="546"/>
      <c r="GZ328" s="546"/>
      <c r="HA328" s="546"/>
      <c r="HB328" s="546"/>
      <c r="HC328" s="546"/>
      <c r="HD328" s="546"/>
      <c r="HE328" s="546"/>
      <c r="HF328" s="546"/>
      <c r="HG328" s="546"/>
      <c r="HH328" s="546"/>
      <c r="HI328" s="546"/>
      <c r="HJ328" s="546"/>
    </row>
    <row r="329" spans="1:218" s="541" customFormat="1" ht="12" customHeight="1" x14ac:dyDescent="0.15">
      <c r="A329" s="913"/>
      <c r="B329" s="588"/>
      <c r="C329" s="588"/>
      <c r="D329" s="588"/>
      <c r="E329" s="588"/>
      <c r="F329" s="588"/>
      <c r="G329" s="588"/>
      <c r="H329" s="588"/>
      <c r="I329" s="588"/>
      <c r="J329" s="588"/>
      <c r="K329" s="588"/>
      <c r="L329" s="588"/>
      <c r="M329" s="588"/>
      <c r="N329" s="588"/>
      <c r="O329" s="588"/>
      <c r="P329" s="588"/>
      <c r="Q329" s="588"/>
      <c r="R329" s="588"/>
      <c r="S329" s="588"/>
      <c r="T329" s="588"/>
      <c r="U329" s="588"/>
      <c r="V329" s="588"/>
      <c r="W329" s="588"/>
      <c r="X329" s="588"/>
      <c r="Y329" s="588"/>
      <c r="Z329" s="588"/>
      <c r="AA329" s="588"/>
      <c r="AB329" s="588"/>
      <c r="AC329" s="588"/>
      <c r="AD329" s="588"/>
      <c r="AE329" s="588"/>
      <c r="AF329" s="588"/>
      <c r="AG329" s="588"/>
      <c r="AH329" s="588"/>
      <c r="AI329" s="588"/>
      <c r="AJ329" s="588"/>
      <c r="AK329" s="588"/>
      <c r="AL329" s="588"/>
      <c r="AM329" s="588"/>
      <c r="AN329" s="588"/>
      <c r="AO329" s="588"/>
      <c r="AP329" s="588"/>
      <c r="AQ329" s="588"/>
      <c r="AR329" s="588"/>
      <c r="AS329" s="588"/>
      <c r="AT329" s="588"/>
      <c r="AU329" s="588"/>
      <c r="AV329" s="588"/>
      <c r="AW329" s="588"/>
      <c r="AX329" s="588"/>
      <c r="AY329" s="588"/>
      <c r="AZ329" s="588"/>
      <c r="BA329" s="588"/>
      <c r="BB329" s="588"/>
      <c r="BC329" s="588"/>
      <c r="BD329" s="588"/>
      <c r="BE329" s="588"/>
      <c r="BF329" s="588"/>
      <c r="BG329" s="588"/>
      <c r="BH329" s="588"/>
      <c r="BI329" s="550"/>
      <c r="BJ329" s="550"/>
      <c r="BK329" s="550"/>
      <c r="BL329" s="550"/>
      <c r="BM329" s="550"/>
      <c r="CG329" s="590"/>
      <c r="DO329" s="590"/>
      <c r="EJ329" s="546"/>
      <c r="EK329" s="546"/>
      <c r="EL329" s="546"/>
      <c r="EM329" s="546"/>
      <c r="EN329" s="546"/>
      <c r="EO329" s="546"/>
      <c r="EP329" s="546"/>
      <c r="EQ329" s="546"/>
      <c r="ER329" s="546"/>
      <c r="ES329" s="546"/>
      <c r="ET329" s="546"/>
      <c r="EU329" s="546"/>
      <c r="EV329" s="546"/>
      <c r="EW329" s="546"/>
      <c r="EX329" s="546"/>
      <c r="EY329" s="546"/>
      <c r="EZ329" s="546"/>
      <c r="FA329" s="546"/>
      <c r="FB329" s="546"/>
      <c r="FC329" s="546"/>
      <c r="FD329" s="546"/>
      <c r="FE329" s="546"/>
      <c r="FF329" s="546"/>
      <c r="FG329" s="546"/>
      <c r="FH329" s="546"/>
      <c r="FI329" s="546"/>
      <c r="FJ329" s="546"/>
      <c r="FK329" s="546"/>
      <c r="FL329" s="546"/>
      <c r="FM329" s="546"/>
      <c r="FN329" s="546"/>
      <c r="FO329" s="546"/>
      <c r="FP329" s="546"/>
      <c r="FQ329" s="546"/>
      <c r="FR329" s="546"/>
      <c r="FS329" s="546"/>
      <c r="FT329" s="546"/>
      <c r="FU329" s="546"/>
      <c r="FV329" s="546"/>
      <c r="FW329" s="546"/>
      <c r="FX329" s="546"/>
      <c r="FY329" s="546"/>
      <c r="FZ329" s="546"/>
      <c r="GA329" s="546"/>
      <c r="GB329" s="546"/>
      <c r="GC329" s="546"/>
      <c r="GD329" s="546"/>
      <c r="GE329" s="546"/>
      <c r="GF329" s="546"/>
      <c r="GG329" s="546"/>
      <c r="GH329" s="546"/>
      <c r="GI329" s="546"/>
      <c r="GJ329" s="546"/>
      <c r="GK329" s="546"/>
      <c r="GL329" s="546"/>
      <c r="GM329" s="546"/>
      <c r="GN329" s="546"/>
      <c r="GO329" s="546"/>
      <c r="GP329" s="546"/>
      <c r="GQ329" s="546"/>
      <c r="GR329" s="546"/>
      <c r="GS329" s="546"/>
      <c r="GT329" s="546"/>
      <c r="GU329" s="546"/>
      <c r="GV329" s="546"/>
      <c r="GW329" s="546"/>
      <c r="GX329" s="546"/>
      <c r="GY329" s="546"/>
      <c r="GZ329" s="546"/>
      <c r="HA329" s="546"/>
      <c r="HB329" s="546"/>
      <c r="HC329" s="546"/>
      <c r="HD329" s="546"/>
      <c r="HE329" s="546"/>
      <c r="HF329" s="546"/>
      <c r="HG329" s="546"/>
      <c r="HH329" s="546"/>
      <c r="HI329" s="546"/>
      <c r="HJ329" s="546"/>
    </row>
    <row r="330" spans="1:218" s="541" customFormat="1" ht="12" customHeight="1" x14ac:dyDescent="0.15">
      <c r="A330" s="913"/>
      <c r="B330" s="588"/>
      <c r="C330" s="588"/>
      <c r="D330" s="588"/>
      <c r="E330" s="588"/>
      <c r="F330" s="588"/>
      <c r="G330" s="588"/>
      <c r="H330" s="588"/>
      <c r="I330" s="588"/>
      <c r="J330" s="588"/>
      <c r="K330" s="588"/>
      <c r="L330" s="588"/>
      <c r="M330" s="588"/>
      <c r="N330" s="588"/>
      <c r="O330" s="588"/>
      <c r="P330" s="588"/>
      <c r="Q330" s="588"/>
      <c r="R330" s="588"/>
      <c r="S330" s="588"/>
      <c r="T330" s="588"/>
      <c r="U330" s="588"/>
      <c r="V330" s="588"/>
      <c r="W330" s="588"/>
      <c r="X330" s="588"/>
      <c r="Y330" s="588"/>
      <c r="Z330" s="588"/>
      <c r="AA330" s="588"/>
      <c r="AB330" s="588"/>
      <c r="AC330" s="588"/>
      <c r="AD330" s="588"/>
      <c r="AE330" s="588"/>
      <c r="AF330" s="588"/>
      <c r="AG330" s="588"/>
      <c r="AH330" s="588"/>
      <c r="AI330" s="588"/>
      <c r="AJ330" s="588"/>
      <c r="AK330" s="588"/>
      <c r="AL330" s="588"/>
      <c r="AM330" s="588"/>
      <c r="AN330" s="588"/>
      <c r="AO330" s="588"/>
      <c r="AP330" s="588"/>
      <c r="AQ330" s="588"/>
      <c r="AR330" s="588"/>
      <c r="AS330" s="588"/>
      <c r="AT330" s="588"/>
      <c r="AU330" s="588"/>
      <c r="AV330" s="588"/>
      <c r="AW330" s="588"/>
      <c r="AX330" s="588"/>
      <c r="AY330" s="588"/>
      <c r="AZ330" s="588"/>
      <c r="BA330" s="588"/>
      <c r="BB330" s="588"/>
      <c r="BC330" s="588"/>
      <c r="BD330" s="588"/>
      <c r="BE330" s="588"/>
      <c r="BF330" s="588"/>
      <c r="BG330" s="651"/>
      <c r="BH330" s="588"/>
      <c r="BI330" s="550"/>
      <c r="BJ330" s="550"/>
      <c r="BK330" s="550"/>
      <c r="BL330" s="550"/>
      <c r="BM330" s="550"/>
      <c r="CG330" s="590"/>
      <c r="DO330" s="590"/>
      <c r="EJ330" s="546"/>
      <c r="EK330" s="546"/>
      <c r="EL330" s="546"/>
      <c r="EM330" s="546"/>
      <c r="EN330" s="546"/>
      <c r="EO330" s="546"/>
      <c r="EP330" s="546"/>
      <c r="EQ330" s="546"/>
      <c r="ER330" s="546"/>
      <c r="ES330" s="546"/>
      <c r="ET330" s="546"/>
      <c r="EU330" s="546"/>
      <c r="EV330" s="546"/>
      <c r="EW330" s="546"/>
      <c r="EX330" s="546"/>
      <c r="EY330" s="546"/>
      <c r="EZ330" s="546"/>
      <c r="FA330" s="546"/>
      <c r="FB330" s="546"/>
      <c r="FC330" s="546"/>
      <c r="FD330" s="546"/>
      <c r="FE330" s="546"/>
      <c r="FF330" s="546"/>
      <c r="FG330" s="546"/>
      <c r="FH330" s="546"/>
      <c r="FI330" s="546"/>
      <c r="FJ330" s="546"/>
      <c r="FK330" s="546"/>
      <c r="FL330" s="546"/>
      <c r="FM330" s="546"/>
      <c r="FN330" s="546"/>
      <c r="FO330" s="546"/>
      <c r="FP330" s="546"/>
      <c r="FQ330" s="546"/>
      <c r="FR330" s="546"/>
      <c r="FS330" s="546"/>
      <c r="FT330" s="546"/>
      <c r="FU330" s="546"/>
      <c r="FV330" s="546"/>
      <c r="FW330" s="546"/>
      <c r="FX330" s="546"/>
      <c r="FY330" s="546"/>
      <c r="FZ330" s="546"/>
      <c r="GA330" s="546"/>
      <c r="GB330" s="546"/>
      <c r="GC330" s="546"/>
      <c r="GD330" s="546"/>
      <c r="GE330" s="546"/>
      <c r="GF330" s="546"/>
      <c r="GG330" s="546"/>
      <c r="GH330" s="546"/>
      <c r="GI330" s="546"/>
      <c r="GJ330" s="546"/>
      <c r="GK330" s="546"/>
      <c r="GL330" s="546"/>
      <c r="GM330" s="546"/>
      <c r="GN330" s="546"/>
      <c r="GO330" s="546"/>
      <c r="GP330" s="546"/>
      <c r="GQ330" s="546"/>
      <c r="GR330" s="546"/>
      <c r="GS330" s="546"/>
      <c r="GT330" s="546"/>
      <c r="GU330" s="546"/>
      <c r="GV330" s="546"/>
      <c r="GW330" s="546"/>
      <c r="GX330" s="546"/>
      <c r="GY330" s="546"/>
      <c r="GZ330" s="546"/>
      <c r="HA330" s="546"/>
      <c r="HB330" s="546"/>
      <c r="HC330" s="546"/>
      <c r="HD330" s="546"/>
      <c r="HE330" s="546"/>
      <c r="HF330" s="546"/>
      <c r="HG330" s="546"/>
      <c r="HH330" s="546"/>
      <c r="HI330" s="546"/>
      <c r="HJ330" s="546"/>
    </row>
    <row r="331" spans="1:218" s="541" customFormat="1" ht="12" customHeight="1" x14ac:dyDescent="0.15">
      <c r="A331" s="913"/>
      <c r="B331" s="913"/>
      <c r="C331" s="913"/>
      <c r="D331" s="913"/>
      <c r="E331" s="913"/>
      <c r="F331" s="913"/>
      <c r="G331" s="913"/>
      <c r="H331" s="913"/>
      <c r="I331" s="913"/>
      <c r="J331" s="913"/>
      <c r="K331" s="913"/>
      <c r="L331" s="913"/>
      <c r="M331" s="913"/>
      <c r="N331" s="913"/>
      <c r="O331" s="913"/>
      <c r="P331" s="913"/>
      <c r="Q331" s="913"/>
      <c r="R331" s="913"/>
      <c r="S331" s="913"/>
      <c r="T331" s="913"/>
      <c r="U331" s="913"/>
      <c r="V331" s="913"/>
      <c r="W331" s="913"/>
      <c r="X331" s="913"/>
      <c r="Y331" s="913"/>
      <c r="Z331" s="913"/>
      <c r="AA331" s="913"/>
      <c r="AB331" s="913"/>
      <c r="AC331" s="913"/>
      <c r="AD331" s="913"/>
      <c r="AE331" s="913"/>
      <c r="AF331" s="913"/>
      <c r="AG331" s="913"/>
      <c r="AH331" s="913"/>
      <c r="AI331" s="913"/>
      <c r="AJ331" s="913"/>
      <c r="AK331" s="913"/>
      <c r="AL331" s="913"/>
      <c r="AM331" s="913"/>
      <c r="AN331" s="913"/>
      <c r="AO331" s="913"/>
      <c r="AP331" s="913"/>
      <c r="AQ331" s="913"/>
      <c r="AR331" s="913"/>
      <c r="AS331" s="913"/>
      <c r="AT331" s="913"/>
      <c r="AU331" s="913"/>
      <c r="AV331" s="913"/>
      <c r="AW331" s="913"/>
      <c r="AX331" s="913"/>
      <c r="AY331" s="913"/>
      <c r="AZ331" s="913"/>
      <c r="BA331" s="913"/>
      <c r="BB331" s="913"/>
      <c r="BC331" s="913"/>
      <c r="BD331" s="913"/>
      <c r="BE331" s="913"/>
      <c r="BF331" s="913"/>
      <c r="BG331" s="593"/>
      <c r="BH331" s="550"/>
      <c r="BI331" s="550"/>
      <c r="BJ331" s="550"/>
      <c r="BK331" s="550"/>
      <c r="BL331" s="550"/>
      <c r="BM331" s="550"/>
      <c r="CG331" s="590"/>
      <c r="DO331" s="590"/>
      <c r="EJ331" s="546"/>
      <c r="EK331" s="546"/>
      <c r="EL331" s="546"/>
      <c r="EM331" s="546"/>
      <c r="EN331" s="546"/>
      <c r="EO331" s="546"/>
      <c r="EP331" s="546"/>
      <c r="EQ331" s="546"/>
      <c r="ER331" s="546"/>
      <c r="ES331" s="546"/>
      <c r="ET331" s="546"/>
      <c r="EU331" s="546"/>
      <c r="EV331" s="546"/>
      <c r="EW331" s="546"/>
      <c r="EX331" s="546"/>
      <c r="EY331" s="546"/>
      <c r="EZ331" s="546"/>
      <c r="FA331" s="546"/>
      <c r="FB331" s="546"/>
      <c r="FC331" s="546"/>
      <c r="FD331" s="546"/>
      <c r="FE331" s="546"/>
      <c r="FF331" s="546"/>
      <c r="FG331" s="546"/>
      <c r="FH331" s="546"/>
      <c r="FI331" s="546"/>
      <c r="FJ331" s="546"/>
      <c r="FK331" s="546"/>
      <c r="FL331" s="546"/>
      <c r="FM331" s="546"/>
      <c r="FN331" s="546"/>
      <c r="FO331" s="546"/>
      <c r="FP331" s="546"/>
      <c r="FQ331" s="546"/>
      <c r="FR331" s="546"/>
      <c r="FS331" s="546"/>
      <c r="FT331" s="546"/>
      <c r="FU331" s="546"/>
      <c r="FV331" s="546"/>
      <c r="FW331" s="546"/>
      <c r="FX331" s="546"/>
      <c r="FY331" s="546"/>
      <c r="FZ331" s="546"/>
      <c r="GA331" s="546"/>
      <c r="GB331" s="546"/>
      <c r="GC331" s="546"/>
      <c r="GD331" s="546"/>
      <c r="GE331" s="546"/>
      <c r="GF331" s="546"/>
      <c r="GG331" s="546"/>
      <c r="GH331" s="546"/>
      <c r="GI331" s="546"/>
      <c r="GJ331" s="546"/>
      <c r="GK331" s="546"/>
      <c r="GL331" s="546"/>
      <c r="GM331" s="546"/>
      <c r="GN331" s="546"/>
      <c r="GO331" s="546"/>
      <c r="GP331" s="546"/>
      <c r="GQ331" s="546"/>
      <c r="GR331" s="546"/>
      <c r="GS331" s="546"/>
      <c r="GT331" s="546"/>
      <c r="GU331" s="546"/>
      <c r="GV331" s="546"/>
      <c r="GW331" s="546"/>
      <c r="GX331" s="546"/>
      <c r="GY331" s="546"/>
      <c r="GZ331" s="546"/>
      <c r="HA331" s="546"/>
      <c r="HB331" s="546"/>
      <c r="HC331" s="546"/>
      <c r="HD331" s="546"/>
      <c r="HE331" s="546"/>
      <c r="HF331" s="546"/>
      <c r="HG331" s="546"/>
      <c r="HH331" s="546"/>
      <c r="HI331" s="546"/>
      <c r="HJ331" s="546"/>
    </row>
    <row r="332" spans="1:218" ht="12" customHeight="1" x14ac:dyDescent="0.15">
      <c r="BG332" s="593"/>
      <c r="BH332" s="550"/>
      <c r="BI332" s="546"/>
      <c r="BJ332" s="546"/>
      <c r="BK332" s="546"/>
      <c r="BL332" s="546"/>
      <c r="BM332" s="546"/>
      <c r="BN332" s="593"/>
      <c r="CF332" s="590"/>
      <c r="CG332" s="590"/>
      <c r="CH332" s="541"/>
      <c r="CI332" s="541"/>
      <c r="CJ332" s="541"/>
      <c r="CK332" s="541"/>
      <c r="CL332" s="541"/>
      <c r="CM332" s="541"/>
      <c r="CN332" s="541"/>
      <c r="CO332" s="541"/>
      <c r="CP332" s="541"/>
      <c r="CQ332" s="541"/>
      <c r="CR332" s="541"/>
      <c r="CS332" s="541"/>
      <c r="CT332" s="541"/>
      <c r="CU332" s="541"/>
      <c r="CV332" s="541"/>
      <c r="CW332" s="541"/>
      <c r="CX332" s="541"/>
      <c r="CY332" s="541"/>
      <c r="CZ332" s="541"/>
      <c r="DA332" s="541"/>
      <c r="DB332" s="541"/>
      <c r="DC332" s="541"/>
      <c r="DD332" s="541"/>
      <c r="DE332" s="541"/>
      <c r="DF332" s="541"/>
      <c r="DG332" s="541"/>
      <c r="DH332" s="541"/>
      <c r="DI332" s="541"/>
      <c r="DJ332" s="541"/>
      <c r="DK332" s="541"/>
      <c r="DL332" s="541"/>
      <c r="DM332" s="541"/>
      <c r="DN332" s="541"/>
      <c r="DO332" s="590"/>
      <c r="DP332" s="541"/>
      <c r="DQ332" s="590"/>
      <c r="DR332" s="590"/>
      <c r="DS332" s="590"/>
      <c r="DT332" s="590"/>
      <c r="DU332" s="590"/>
      <c r="DV332" s="590"/>
      <c r="DW332" s="590"/>
      <c r="DX332" s="590"/>
      <c r="DY332" s="590"/>
      <c r="DZ332" s="590"/>
      <c r="EA332" s="590"/>
      <c r="EB332" s="590"/>
      <c r="EC332" s="590"/>
      <c r="ED332" s="590"/>
      <c r="EE332" s="590"/>
      <c r="EF332" s="590"/>
      <c r="EG332" s="590"/>
      <c r="EH332" s="590"/>
      <c r="EI332" s="590"/>
      <c r="EJ332" s="651"/>
      <c r="EK332" s="651"/>
    </row>
    <row r="333" spans="1:218" ht="12" customHeight="1" x14ac:dyDescent="0.15">
      <c r="BG333" s="593"/>
      <c r="BH333" s="550"/>
      <c r="BI333" s="546"/>
      <c r="BJ333" s="546"/>
      <c r="BK333" s="546"/>
      <c r="BL333" s="546"/>
      <c r="BM333" s="546"/>
      <c r="BN333" s="593"/>
      <c r="CF333" s="590"/>
      <c r="CG333" s="590"/>
      <c r="CH333" s="590"/>
      <c r="CI333" s="590"/>
      <c r="CJ333" s="590"/>
      <c r="CK333" s="590"/>
      <c r="CL333" s="590"/>
      <c r="CM333" s="590"/>
      <c r="CN333" s="590"/>
      <c r="CO333" s="590"/>
      <c r="CP333" s="590"/>
      <c r="CQ333" s="590"/>
      <c r="CR333" s="590"/>
      <c r="CS333" s="590"/>
      <c r="CT333" s="590"/>
      <c r="CU333" s="590"/>
      <c r="CV333" s="590"/>
      <c r="CW333" s="590"/>
      <c r="CX333" s="590"/>
      <c r="CY333" s="590"/>
      <c r="CZ333" s="590"/>
      <c r="DA333" s="590"/>
      <c r="DB333" s="590"/>
      <c r="DC333" s="590"/>
      <c r="DD333" s="590"/>
      <c r="DE333" s="590"/>
      <c r="DF333" s="590"/>
      <c r="DG333" s="590"/>
      <c r="DH333" s="590"/>
      <c r="DI333" s="590"/>
      <c r="DJ333" s="590"/>
      <c r="DK333" s="590"/>
      <c r="DL333" s="590"/>
      <c r="DM333" s="590"/>
      <c r="DN333" s="590"/>
      <c r="DO333" s="590"/>
      <c r="DP333" s="590"/>
      <c r="DQ333" s="590"/>
      <c r="DR333" s="590"/>
      <c r="DS333" s="590"/>
      <c r="DT333" s="590"/>
      <c r="DU333" s="590"/>
      <c r="DV333" s="590"/>
      <c r="DW333" s="590"/>
      <c r="DX333" s="590"/>
      <c r="DY333" s="590"/>
      <c r="DZ333" s="590"/>
      <c r="EA333" s="590"/>
      <c r="EB333" s="590"/>
      <c r="EC333" s="590"/>
      <c r="ED333" s="590"/>
      <c r="EE333" s="590"/>
      <c r="EF333" s="590"/>
      <c r="EG333" s="590"/>
      <c r="EH333" s="590"/>
      <c r="EI333" s="590"/>
      <c r="EJ333" s="651"/>
      <c r="EK333" s="651"/>
    </row>
    <row r="334" spans="1:218" ht="12" customHeight="1" x14ac:dyDescent="0.15">
      <c r="BG334" s="593"/>
      <c r="BH334" s="546"/>
      <c r="BI334" s="651"/>
      <c r="BJ334" s="651"/>
      <c r="BK334" s="651"/>
      <c r="BL334" s="651"/>
      <c r="BM334" s="651"/>
      <c r="BN334" s="593"/>
      <c r="CF334" s="590"/>
      <c r="CG334" s="590"/>
      <c r="CH334" s="590"/>
      <c r="CI334" s="924"/>
      <c r="CJ334" s="590"/>
      <c r="CK334" s="590"/>
      <c r="CL334" s="590"/>
      <c r="CM334" s="590"/>
      <c r="CN334" s="590"/>
      <c r="CO334" s="590"/>
      <c r="CP334" s="590"/>
      <c r="CQ334" s="590"/>
      <c r="CR334" s="590"/>
      <c r="CS334" s="590"/>
      <c r="CT334" s="590"/>
      <c r="CU334" s="590"/>
      <c r="CV334" s="590"/>
      <c r="CW334" s="590"/>
      <c r="CX334" s="590"/>
      <c r="CY334" s="590"/>
      <c r="CZ334" s="590"/>
      <c r="DA334" s="590"/>
      <c r="DB334" s="590"/>
      <c r="DC334" s="590"/>
      <c r="DD334" s="590"/>
      <c r="DE334" s="590"/>
      <c r="DF334" s="590"/>
      <c r="DG334" s="590"/>
      <c r="DH334" s="590"/>
      <c r="DI334" s="590"/>
      <c r="DJ334" s="590"/>
      <c r="DK334" s="590"/>
      <c r="DL334" s="590"/>
      <c r="DM334" s="590"/>
      <c r="DN334" s="590"/>
      <c r="DO334" s="590"/>
      <c r="DP334" s="590"/>
      <c r="DQ334" s="590"/>
      <c r="DR334" s="590"/>
      <c r="DS334" s="590"/>
      <c r="DT334" s="590"/>
      <c r="DU334" s="590"/>
      <c r="DV334" s="590"/>
      <c r="DW334" s="590"/>
      <c r="DX334" s="590"/>
      <c r="DY334" s="590"/>
      <c r="DZ334" s="590"/>
      <c r="EA334" s="590"/>
      <c r="EB334" s="590"/>
      <c r="EC334" s="590"/>
      <c r="ED334" s="590"/>
      <c r="EE334" s="590"/>
      <c r="EF334" s="590"/>
      <c r="EG334" s="590"/>
      <c r="EH334" s="590"/>
      <c r="EI334" s="590"/>
      <c r="EJ334" s="651"/>
      <c r="EK334" s="651"/>
    </row>
    <row r="335" spans="1:218" ht="12" customHeight="1" x14ac:dyDescent="0.15">
      <c r="B335" s="592"/>
      <c r="C335" s="592"/>
      <c r="D335" s="592"/>
      <c r="E335" s="592"/>
      <c r="F335" s="592"/>
      <c r="G335" s="592"/>
      <c r="H335" s="592"/>
      <c r="I335" s="592"/>
      <c r="J335" s="592"/>
      <c r="K335" s="592"/>
      <c r="L335" s="592"/>
      <c r="M335" s="592"/>
      <c r="N335" s="592"/>
      <c r="O335" s="592"/>
      <c r="P335" s="592"/>
      <c r="Q335" s="592"/>
      <c r="R335" s="592"/>
      <c r="S335" s="592"/>
      <c r="T335" s="592"/>
      <c r="U335" s="592"/>
      <c r="V335" s="592"/>
      <c r="W335" s="592"/>
      <c r="X335" s="592"/>
      <c r="Y335" s="592"/>
      <c r="Z335" s="592"/>
      <c r="AA335" s="592"/>
      <c r="AB335" s="592"/>
      <c r="AC335" s="592"/>
      <c r="AD335" s="592"/>
      <c r="AE335" s="592"/>
      <c r="AF335" s="592"/>
      <c r="AG335" s="592"/>
      <c r="AH335" s="592"/>
      <c r="AI335" s="592"/>
      <c r="AJ335" s="592"/>
      <c r="AK335" s="592"/>
      <c r="AL335" s="592"/>
      <c r="AM335" s="592"/>
      <c r="AN335" s="592"/>
      <c r="AO335" s="592"/>
      <c r="AP335" s="592"/>
      <c r="AQ335" s="592"/>
      <c r="AR335" s="592"/>
      <c r="AS335" s="592"/>
      <c r="AT335" s="592"/>
      <c r="AU335" s="592"/>
      <c r="AV335" s="592"/>
      <c r="AW335" s="592"/>
      <c r="AX335" s="592"/>
      <c r="AY335" s="592"/>
      <c r="AZ335" s="592"/>
      <c r="BA335" s="592"/>
      <c r="BB335" s="592"/>
      <c r="BC335" s="592"/>
      <c r="BD335" s="592"/>
      <c r="BE335" s="592"/>
      <c r="BF335" s="592"/>
      <c r="BG335" s="592"/>
      <c r="BH335" s="546"/>
      <c r="BI335" s="651"/>
      <c r="BJ335" s="651"/>
      <c r="BK335" s="651"/>
      <c r="BL335" s="651"/>
      <c r="BM335" s="651"/>
      <c r="BN335" s="593"/>
      <c r="CF335" s="590"/>
      <c r="CG335" s="590"/>
      <c r="CH335" s="590"/>
      <c r="CI335" s="924"/>
      <c r="CJ335" s="590"/>
      <c r="CK335" s="590"/>
      <c r="CL335" s="590"/>
      <c r="CM335" s="590"/>
      <c r="CN335" s="590"/>
      <c r="CO335" s="590"/>
      <c r="CP335" s="590"/>
      <c r="CQ335" s="590"/>
      <c r="CR335" s="590"/>
      <c r="CS335" s="590"/>
      <c r="CT335" s="590"/>
      <c r="CU335" s="590"/>
      <c r="CV335" s="590"/>
      <c r="CW335" s="590"/>
      <c r="CX335" s="590"/>
      <c r="CY335" s="590"/>
      <c r="CZ335" s="590"/>
      <c r="DA335" s="590"/>
      <c r="DB335" s="590"/>
      <c r="DC335" s="590"/>
      <c r="DD335" s="590"/>
      <c r="DE335" s="590"/>
      <c r="DF335" s="590"/>
      <c r="DG335" s="590"/>
      <c r="DH335" s="590"/>
      <c r="DI335" s="590"/>
      <c r="DJ335" s="590"/>
      <c r="DK335" s="590"/>
      <c r="DL335" s="590"/>
      <c r="DM335" s="590"/>
      <c r="DN335" s="590"/>
      <c r="DO335" s="590"/>
      <c r="DP335" s="590"/>
      <c r="DQ335" s="590"/>
      <c r="DR335" s="590"/>
      <c r="DS335" s="590"/>
      <c r="DT335" s="590"/>
      <c r="DU335" s="590"/>
      <c r="DV335" s="590"/>
      <c r="DW335" s="590"/>
      <c r="DX335" s="590"/>
      <c r="DY335" s="590"/>
      <c r="DZ335" s="590"/>
      <c r="EA335" s="590"/>
      <c r="EB335" s="590"/>
      <c r="EC335" s="590"/>
      <c r="ED335" s="590"/>
      <c r="EE335" s="590"/>
      <c r="EF335" s="590"/>
      <c r="EG335" s="590"/>
      <c r="EH335" s="590"/>
      <c r="EI335" s="590"/>
      <c r="EJ335" s="651"/>
      <c r="EK335" s="651"/>
    </row>
    <row r="336" spans="1:218" ht="12" customHeight="1" x14ac:dyDescent="0.15">
      <c r="B336" s="592"/>
      <c r="C336" s="592"/>
      <c r="D336" s="592"/>
      <c r="E336" s="592"/>
      <c r="F336" s="592"/>
      <c r="G336" s="592"/>
      <c r="H336" s="592"/>
      <c r="I336" s="592"/>
      <c r="J336" s="592"/>
      <c r="K336" s="592"/>
      <c r="L336" s="592"/>
      <c r="M336" s="592"/>
      <c r="N336" s="592"/>
      <c r="O336" s="592"/>
      <c r="P336" s="592"/>
      <c r="Q336" s="592"/>
      <c r="R336" s="592"/>
      <c r="S336" s="592"/>
      <c r="T336" s="592"/>
      <c r="U336" s="592"/>
      <c r="V336" s="592"/>
      <c r="W336" s="592"/>
      <c r="X336" s="592"/>
      <c r="Y336" s="592"/>
      <c r="Z336" s="592"/>
      <c r="AA336" s="592"/>
      <c r="AB336" s="592"/>
      <c r="AC336" s="592"/>
      <c r="AD336" s="592"/>
      <c r="AE336" s="592"/>
      <c r="AF336" s="592"/>
      <c r="AG336" s="592"/>
      <c r="AH336" s="592"/>
      <c r="AI336" s="592"/>
      <c r="AJ336" s="592"/>
      <c r="AK336" s="592"/>
      <c r="AL336" s="592"/>
      <c r="AM336" s="592"/>
      <c r="AN336" s="592"/>
      <c r="AO336" s="592"/>
      <c r="AP336" s="592"/>
      <c r="AQ336" s="592"/>
      <c r="AR336" s="592"/>
      <c r="AS336" s="592"/>
      <c r="AT336" s="592"/>
      <c r="AU336" s="592"/>
      <c r="AV336" s="592"/>
      <c r="AW336" s="592"/>
      <c r="AX336" s="592"/>
      <c r="AY336" s="592"/>
      <c r="AZ336" s="592"/>
      <c r="BA336" s="592"/>
      <c r="BB336" s="592"/>
      <c r="BC336" s="592"/>
      <c r="BD336" s="592"/>
      <c r="BE336" s="592"/>
      <c r="BF336" s="592"/>
      <c r="BG336" s="592"/>
      <c r="BH336" s="651"/>
      <c r="BI336" s="651"/>
      <c r="BJ336" s="651"/>
      <c r="BK336" s="651"/>
      <c r="BL336" s="651"/>
      <c r="BM336" s="651"/>
      <c r="BN336" s="593"/>
      <c r="CF336" s="590"/>
      <c r="CG336" s="590"/>
      <c r="CH336" s="590"/>
      <c r="CI336" s="924"/>
      <c r="CJ336" s="590"/>
      <c r="CK336" s="590"/>
      <c r="CL336" s="590"/>
      <c r="CM336" s="590"/>
      <c r="CN336" s="590"/>
      <c r="CO336" s="590"/>
      <c r="CP336" s="590"/>
      <c r="CQ336" s="590"/>
      <c r="CR336" s="590"/>
      <c r="CS336" s="590"/>
      <c r="CT336" s="590"/>
      <c r="CU336" s="590"/>
      <c r="CV336" s="590"/>
      <c r="CW336" s="590"/>
      <c r="CX336" s="590"/>
      <c r="CY336" s="590"/>
      <c r="CZ336" s="590"/>
      <c r="DA336" s="590"/>
      <c r="DB336" s="590"/>
      <c r="DC336" s="590"/>
      <c r="DD336" s="590"/>
      <c r="DE336" s="590"/>
      <c r="DF336" s="590"/>
      <c r="DG336" s="590"/>
      <c r="DH336" s="590"/>
      <c r="DI336" s="590"/>
      <c r="DJ336" s="590"/>
      <c r="DK336" s="590"/>
      <c r="DL336" s="590"/>
      <c r="DM336" s="590"/>
      <c r="DN336" s="590"/>
      <c r="DO336" s="590"/>
      <c r="DP336" s="590"/>
      <c r="DQ336" s="590"/>
      <c r="DR336" s="590"/>
      <c r="DS336" s="590"/>
      <c r="DT336" s="590"/>
      <c r="DU336" s="590"/>
      <c r="DV336" s="590"/>
      <c r="DW336" s="590"/>
      <c r="DX336" s="590"/>
      <c r="DY336" s="590"/>
      <c r="DZ336" s="590"/>
      <c r="EA336" s="590"/>
      <c r="EB336" s="590"/>
      <c r="EC336" s="590"/>
      <c r="ED336" s="590"/>
      <c r="EE336" s="590"/>
      <c r="EF336" s="590"/>
      <c r="EG336" s="590"/>
      <c r="EH336" s="590"/>
      <c r="EI336" s="590"/>
      <c r="EJ336" s="651"/>
      <c r="EK336" s="651"/>
    </row>
    <row r="337" spans="1:141" ht="12" customHeight="1" x14ac:dyDescent="0.15">
      <c r="B337" s="592"/>
      <c r="C337" s="592"/>
      <c r="D337" s="592"/>
      <c r="E337" s="592"/>
      <c r="F337" s="592"/>
      <c r="G337" s="592"/>
      <c r="H337" s="592"/>
      <c r="I337" s="592"/>
      <c r="J337" s="592"/>
      <c r="K337" s="592"/>
      <c r="L337" s="592"/>
      <c r="M337" s="592"/>
      <c r="N337" s="592"/>
      <c r="O337" s="592"/>
      <c r="P337" s="592"/>
      <c r="Q337" s="592"/>
      <c r="R337" s="592"/>
      <c r="S337" s="592"/>
      <c r="T337" s="592"/>
      <c r="U337" s="592"/>
      <c r="V337" s="592"/>
      <c r="W337" s="592"/>
      <c r="X337" s="592"/>
      <c r="Y337" s="592"/>
      <c r="Z337" s="592"/>
      <c r="AA337" s="592"/>
      <c r="AB337" s="592"/>
      <c r="AC337" s="592"/>
      <c r="AD337" s="592"/>
      <c r="AE337" s="592"/>
      <c r="AF337" s="592"/>
      <c r="AG337" s="592"/>
      <c r="AH337" s="592"/>
      <c r="AI337" s="592"/>
      <c r="AJ337" s="592"/>
      <c r="AK337" s="592"/>
      <c r="AL337" s="592"/>
      <c r="AM337" s="592"/>
      <c r="AN337" s="592"/>
      <c r="AO337" s="592"/>
      <c r="AP337" s="592"/>
      <c r="AQ337" s="592"/>
      <c r="AR337" s="592"/>
      <c r="AS337" s="592"/>
      <c r="AT337" s="592"/>
      <c r="AU337" s="592"/>
      <c r="AV337" s="592"/>
      <c r="AW337" s="592"/>
      <c r="AX337" s="592"/>
      <c r="AY337" s="592"/>
      <c r="AZ337" s="592"/>
      <c r="BA337" s="592"/>
      <c r="BB337" s="592"/>
      <c r="BC337" s="592"/>
      <c r="BD337" s="592"/>
      <c r="BE337" s="592"/>
      <c r="BF337" s="592"/>
      <c r="BG337" s="592"/>
      <c r="BH337" s="651"/>
      <c r="BI337" s="588"/>
      <c r="BJ337" s="588"/>
      <c r="BK337" s="588"/>
      <c r="BL337" s="588"/>
      <c r="BM337" s="588"/>
      <c r="CF337" s="590"/>
      <c r="CG337" s="590"/>
      <c r="CH337" s="590"/>
      <c r="CI337" s="924"/>
      <c r="CJ337" s="590"/>
      <c r="CK337" s="590"/>
      <c r="CL337" s="590"/>
      <c r="CM337" s="590"/>
      <c r="CN337" s="590"/>
      <c r="CO337" s="590"/>
      <c r="CP337" s="590"/>
      <c r="CQ337" s="590"/>
      <c r="CR337" s="590"/>
      <c r="CS337" s="590"/>
      <c r="CT337" s="590"/>
      <c r="CU337" s="590"/>
      <c r="CV337" s="590"/>
      <c r="CW337" s="590"/>
      <c r="CX337" s="590"/>
      <c r="CY337" s="590"/>
      <c r="CZ337" s="590"/>
      <c r="DA337" s="590"/>
      <c r="DB337" s="590"/>
      <c r="DC337" s="590"/>
      <c r="DD337" s="590"/>
      <c r="DE337" s="590"/>
      <c r="DF337" s="590"/>
      <c r="DG337" s="590"/>
      <c r="DH337" s="590"/>
      <c r="DI337" s="590"/>
      <c r="DJ337" s="590"/>
      <c r="DK337" s="590"/>
      <c r="DL337" s="590"/>
      <c r="DM337" s="590"/>
      <c r="DN337" s="590"/>
      <c r="DO337" s="590"/>
      <c r="DP337" s="590"/>
      <c r="DQ337" s="590"/>
      <c r="DR337" s="590"/>
      <c r="DS337" s="590"/>
      <c r="DT337" s="590"/>
      <c r="DU337" s="590"/>
      <c r="DV337" s="590"/>
      <c r="DW337" s="590"/>
      <c r="DX337" s="590"/>
      <c r="DY337" s="590"/>
      <c r="DZ337" s="590"/>
      <c r="EA337" s="590"/>
      <c r="EB337" s="590"/>
      <c r="EC337" s="590"/>
      <c r="ED337" s="590"/>
      <c r="EE337" s="590"/>
      <c r="EF337" s="590"/>
      <c r="EG337" s="590"/>
      <c r="EH337" s="590"/>
      <c r="EI337" s="590"/>
      <c r="EJ337" s="651"/>
      <c r="EK337" s="651"/>
    </row>
    <row r="338" spans="1:141" ht="12" customHeight="1" x14ac:dyDescent="0.15">
      <c r="A338" s="592"/>
      <c r="B338" s="592"/>
      <c r="C338" s="592"/>
      <c r="D338" s="592"/>
      <c r="E338" s="592"/>
      <c r="F338" s="592"/>
      <c r="G338" s="592"/>
      <c r="H338" s="592"/>
      <c r="I338" s="592"/>
      <c r="J338" s="592"/>
      <c r="K338" s="592"/>
      <c r="L338" s="592"/>
      <c r="M338" s="592"/>
      <c r="N338" s="592"/>
      <c r="O338" s="592"/>
      <c r="P338" s="592"/>
      <c r="Q338" s="592"/>
      <c r="R338" s="592"/>
      <c r="S338" s="592"/>
      <c r="T338" s="592"/>
      <c r="U338" s="592"/>
      <c r="V338" s="592"/>
      <c r="W338" s="592"/>
      <c r="X338" s="592"/>
      <c r="Y338" s="592"/>
      <c r="Z338" s="592"/>
      <c r="AA338" s="592"/>
      <c r="AB338" s="592"/>
      <c r="AC338" s="592"/>
      <c r="AD338" s="592"/>
      <c r="AE338" s="592"/>
      <c r="AF338" s="592"/>
      <c r="AG338" s="592"/>
      <c r="AH338" s="592"/>
      <c r="AI338" s="592"/>
      <c r="AJ338" s="592"/>
      <c r="AK338" s="592"/>
      <c r="AL338" s="592"/>
      <c r="AM338" s="592"/>
      <c r="AN338" s="592"/>
      <c r="AO338" s="592"/>
      <c r="AP338" s="592"/>
      <c r="AQ338" s="592"/>
      <c r="AR338" s="592"/>
      <c r="AS338" s="592"/>
      <c r="AT338" s="592"/>
      <c r="AU338" s="592"/>
      <c r="AV338" s="592"/>
      <c r="AW338" s="592"/>
      <c r="AX338" s="592"/>
      <c r="AY338" s="592"/>
      <c r="AZ338" s="592"/>
      <c r="BA338" s="592"/>
      <c r="BB338" s="592"/>
      <c r="BC338" s="592"/>
      <c r="BD338" s="592"/>
      <c r="BE338" s="592"/>
      <c r="BF338" s="592"/>
      <c r="BG338" s="592"/>
      <c r="BH338" s="651"/>
      <c r="BI338" s="590"/>
      <c r="BJ338" s="590"/>
      <c r="BK338" s="590"/>
      <c r="BL338" s="590"/>
      <c r="BM338" s="590"/>
      <c r="BN338" s="592"/>
      <c r="BO338" s="592"/>
      <c r="BP338" s="592"/>
      <c r="BQ338" s="592"/>
      <c r="CF338" s="590"/>
      <c r="CG338" s="590"/>
      <c r="CH338" s="590"/>
      <c r="CI338" s="924"/>
      <c r="CJ338" s="590"/>
      <c r="CK338" s="590"/>
      <c r="CL338" s="590"/>
      <c r="CM338" s="590"/>
      <c r="CN338" s="590"/>
      <c r="CO338" s="590"/>
      <c r="CP338" s="590"/>
      <c r="CQ338" s="590"/>
      <c r="CR338" s="590"/>
      <c r="CS338" s="590"/>
      <c r="CT338" s="590"/>
      <c r="CU338" s="590"/>
      <c r="CV338" s="590"/>
      <c r="CW338" s="590"/>
      <c r="CX338" s="590"/>
      <c r="CY338" s="590"/>
      <c r="CZ338" s="590"/>
      <c r="DA338" s="590"/>
      <c r="DB338" s="590"/>
      <c r="DC338" s="590"/>
      <c r="DD338" s="590"/>
      <c r="DE338" s="590"/>
      <c r="DF338" s="590"/>
      <c r="DG338" s="590"/>
      <c r="DH338" s="590"/>
      <c r="DI338" s="590"/>
      <c r="DJ338" s="590"/>
      <c r="DK338" s="590"/>
      <c r="DL338" s="590"/>
      <c r="DM338" s="590"/>
      <c r="DN338" s="590"/>
      <c r="DO338" s="590"/>
      <c r="DP338" s="590"/>
      <c r="DQ338" s="590"/>
      <c r="DR338" s="590"/>
      <c r="DS338" s="590"/>
      <c r="DT338" s="590"/>
      <c r="DU338" s="590"/>
      <c r="DV338" s="590"/>
      <c r="DW338" s="590"/>
      <c r="DX338" s="590"/>
      <c r="DY338" s="590"/>
      <c r="DZ338" s="590"/>
      <c r="EA338" s="590"/>
      <c r="EB338" s="590"/>
      <c r="EC338" s="590"/>
      <c r="ED338" s="590"/>
      <c r="EE338" s="590"/>
      <c r="EF338" s="590"/>
      <c r="EG338" s="590"/>
      <c r="EH338" s="590"/>
      <c r="EI338" s="590"/>
      <c r="EJ338" s="651"/>
      <c r="EK338" s="651"/>
    </row>
    <row r="339" spans="1:141" ht="12" customHeight="1" x14ac:dyDescent="0.15">
      <c r="A339" s="592"/>
      <c r="B339" s="592"/>
      <c r="C339" s="592"/>
      <c r="D339" s="592"/>
      <c r="E339" s="592"/>
      <c r="F339" s="592"/>
      <c r="G339" s="592"/>
      <c r="H339" s="592"/>
      <c r="I339" s="592"/>
      <c r="J339" s="592"/>
      <c r="K339" s="592"/>
      <c r="L339" s="592"/>
      <c r="M339" s="592"/>
      <c r="N339" s="592"/>
      <c r="O339" s="592"/>
      <c r="P339" s="592"/>
      <c r="Q339" s="592"/>
      <c r="R339" s="592"/>
      <c r="S339" s="592"/>
      <c r="T339" s="592"/>
      <c r="U339" s="592"/>
      <c r="V339" s="592"/>
      <c r="W339" s="592"/>
      <c r="X339" s="592"/>
      <c r="Y339" s="592"/>
      <c r="Z339" s="592"/>
      <c r="AA339" s="592"/>
      <c r="AB339" s="592"/>
      <c r="AC339" s="592"/>
      <c r="AD339" s="592"/>
      <c r="AE339" s="592"/>
      <c r="AF339" s="592"/>
      <c r="AG339" s="592"/>
      <c r="AH339" s="592"/>
      <c r="AI339" s="592"/>
      <c r="AJ339" s="592"/>
      <c r="AK339" s="592"/>
      <c r="AL339" s="592"/>
      <c r="AM339" s="592"/>
      <c r="AN339" s="592"/>
      <c r="AO339" s="592"/>
      <c r="AP339" s="592"/>
      <c r="AQ339" s="592"/>
      <c r="AR339" s="592"/>
      <c r="AS339" s="592"/>
      <c r="AT339" s="592"/>
      <c r="AU339" s="592"/>
      <c r="AV339" s="592"/>
      <c r="AW339" s="592"/>
      <c r="AX339" s="592"/>
      <c r="AY339" s="592"/>
      <c r="AZ339" s="592"/>
      <c r="BA339" s="592"/>
      <c r="BB339" s="592"/>
      <c r="BC339" s="592"/>
      <c r="BD339" s="592"/>
      <c r="BE339" s="592"/>
      <c r="BF339" s="592"/>
      <c r="BG339" s="592"/>
      <c r="BH339" s="588"/>
      <c r="BI339" s="590"/>
      <c r="BJ339" s="590"/>
      <c r="BK339" s="590"/>
      <c r="BL339" s="590"/>
      <c r="BM339" s="590"/>
      <c r="BN339" s="592"/>
      <c r="BO339" s="592"/>
      <c r="BP339" s="592"/>
      <c r="BQ339" s="592"/>
      <c r="CF339" s="590"/>
      <c r="CG339" s="590"/>
      <c r="CH339" s="590"/>
      <c r="CI339" s="924"/>
      <c r="CJ339" s="590"/>
      <c r="CK339" s="590"/>
      <c r="CL339" s="590"/>
      <c r="CM339" s="590"/>
      <c r="CN339" s="590"/>
      <c r="CO339" s="590"/>
      <c r="CP339" s="590"/>
      <c r="CQ339" s="590"/>
      <c r="CR339" s="590"/>
      <c r="CS339" s="590"/>
      <c r="CT339" s="590"/>
      <c r="CU339" s="590"/>
      <c r="CV339" s="590"/>
      <c r="CW339" s="590"/>
      <c r="CX339" s="590"/>
      <c r="CY339" s="590"/>
      <c r="CZ339" s="590"/>
      <c r="DA339" s="590"/>
      <c r="DB339" s="590"/>
      <c r="DC339" s="590"/>
      <c r="DD339" s="590"/>
      <c r="DE339" s="590"/>
      <c r="DF339" s="590"/>
      <c r="DG339" s="590"/>
      <c r="DH339" s="590"/>
      <c r="DI339" s="590"/>
      <c r="DJ339" s="590"/>
      <c r="DK339" s="590"/>
      <c r="DL339" s="590"/>
      <c r="DM339" s="590"/>
      <c r="DN339" s="590"/>
      <c r="DO339" s="590"/>
      <c r="DP339" s="590"/>
      <c r="DQ339" s="590"/>
      <c r="DR339" s="590"/>
      <c r="DS339" s="590"/>
      <c r="DT339" s="590"/>
      <c r="DU339" s="590"/>
      <c r="DV339" s="590"/>
      <c r="DW339" s="590"/>
      <c r="DX339" s="590"/>
      <c r="DY339" s="590"/>
      <c r="DZ339" s="590"/>
      <c r="EA339" s="590"/>
      <c r="EB339" s="590"/>
      <c r="EC339" s="590"/>
      <c r="ED339" s="590"/>
      <c r="EE339" s="590"/>
      <c r="EF339" s="590"/>
      <c r="EG339" s="590"/>
      <c r="EH339" s="590"/>
      <c r="EI339" s="590"/>
      <c r="EJ339" s="651"/>
      <c r="EK339" s="651"/>
    </row>
    <row r="340" spans="1:141" ht="12" customHeight="1" x14ac:dyDescent="0.15">
      <c r="A340" s="592"/>
      <c r="B340" s="592"/>
      <c r="C340" s="592"/>
      <c r="D340" s="592"/>
      <c r="E340" s="592"/>
      <c r="F340" s="592"/>
      <c r="G340" s="592"/>
      <c r="H340" s="592"/>
      <c r="I340" s="592"/>
      <c r="J340" s="592"/>
      <c r="K340" s="592"/>
      <c r="L340" s="592"/>
      <c r="M340" s="592"/>
      <c r="N340" s="592"/>
      <c r="O340" s="592"/>
      <c r="P340" s="592"/>
      <c r="Q340" s="592"/>
      <c r="R340" s="592"/>
      <c r="S340" s="592"/>
      <c r="T340" s="592"/>
      <c r="U340" s="592"/>
      <c r="V340" s="592"/>
      <c r="W340" s="592"/>
      <c r="X340" s="592"/>
      <c r="Y340" s="592"/>
      <c r="Z340" s="592"/>
      <c r="AA340" s="592"/>
      <c r="AB340" s="592"/>
      <c r="AC340" s="592"/>
      <c r="AD340" s="592"/>
      <c r="AE340" s="592"/>
      <c r="AF340" s="592"/>
      <c r="AG340" s="592"/>
      <c r="AH340" s="592"/>
      <c r="AI340" s="592"/>
      <c r="AJ340" s="592"/>
      <c r="AK340" s="592"/>
      <c r="AL340" s="592"/>
      <c r="AM340" s="592"/>
      <c r="AN340" s="592"/>
      <c r="AO340" s="592"/>
      <c r="AP340" s="592"/>
      <c r="AQ340" s="592"/>
      <c r="AR340" s="592"/>
      <c r="AS340" s="592"/>
      <c r="AT340" s="592"/>
      <c r="AU340" s="592"/>
      <c r="AV340" s="592"/>
      <c r="AW340" s="592"/>
      <c r="AX340" s="592"/>
      <c r="AY340" s="592"/>
      <c r="AZ340" s="592"/>
      <c r="BA340" s="592"/>
      <c r="BB340" s="592"/>
      <c r="BC340" s="592"/>
      <c r="BD340" s="592"/>
      <c r="BE340" s="592"/>
      <c r="BF340" s="592"/>
      <c r="BG340" s="592"/>
      <c r="BH340" s="590"/>
      <c r="BI340" s="590"/>
      <c r="BJ340" s="590"/>
      <c r="BK340" s="590"/>
      <c r="BL340" s="590"/>
      <c r="BM340" s="590"/>
      <c r="BN340" s="592"/>
      <c r="BO340" s="592"/>
      <c r="BP340" s="592"/>
      <c r="BQ340" s="592"/>
      <c r="CF340" s="590"/>
      <c r="CG340" s="590"/>
      <c r="CH340" s="590"/>
      <c r="CI340" s="924"/>
      <c r="CJ340" s="590"/>
      <c r="CK340" s="590"/>
      <c r="CL340" s="590"/>
      <c r="CM340" s="590"/>
      <c r="CN340" s="590"/>
      <c r="CO340" s="590"/>
      <c r="CP340" s="590"/>
      <c r="CQ340" s="590"/>
      <c r="CR340" s="590"/>
      <c r="CS340" s="590"/>
      <c r="CT340" s="590"/>
      <c r="CU340" s="590"/>
      <c r="CV340" s="590"/>
      <c r="CW340" s="590"/>
      <c r="CX340" s="590"/>
      <c r="CY340" s="590"/>
      <c r="CZ340" s="590"/>
      <c r="DA340" s="590"/>
      <c r="DB340" s="590"/>
      <c r="DC340" s="590"/>
      <c r="DD340" s="590"/>
      <c r="DE340" s="590"/>
      <c r="DF340" s="590"/>
      <c r="DG340" s="590"/>
      <c r="DH340" s="590"/>
      <c r="DI340" s="590"/>
      <c r="DJ340" s="590"/>
      <c r="DK340" s="590"/>
      <c r="DL340" s="590"/>
      <c r="DM340" s="590"/>
      <c r="DN340" s="590"/>
      <c r="DO340" s="590"/>
      <c r="DP340" s="590"/>
      <c r="DQ340" s="590"/>
      <c r="DR340" s="590"/>
      <c r="DS340" s="590"/>
      <c r="DT340" s="590"/>
      <c r="DU340" s="590"/>
      <c r="DV340" s="590"/>
      <c r="DW340" s="590"/>
      <c r="DX340" s="590"/>
      <c r="DY340" s="590"/>
      <c r="DZ340" s="590"/>
      <c r="EA340" s="590"/>
      <c r="EB340" s="590"/>
      <c r="EC340" s="590"/>
      <c r="ED340" s="590"/>
      <c r="EE340" s="590"/>
      <c r="EF340" s="590"/>
      <c r="EG340" s="590"/>
      <c r="EH340" s="590"/>
      <c r="EI340" s="590"/>
      <c r="EJ340" s="651"/>
      <c r="EK340" s="651"/>
    </row>
    <row r="341" spans="1:141" ht="12" customHeight="1" x14ac:dyDescent="0.15">
      <c r="A341" s="592"/>
      <c r="B341" s="592"/>
      <c r="C341" s="592"/>
      <c r="D341" s="592"/>
      <c r="E341" s="592"/>
      <c r="F341" s="592"/>
      <c r="G341" s="592"/>
      <c r="H341" s="592"/>
      <c r="I341" s="592"/>
      <c r="J341" s="592"/>
      <c r="K341" s="592"/>
      <c r="L341" s="592"/>
      <c r="M341" s="592"/>
      <c r="N341" s="592"/>
      <c r="O341" s="592"/>
      <c r="P341" s="592"/>
      <c r="Q341" s="592"/>
      <c r="R341" s="592"/>
      <c r="S341" s="592"/>
      <c r="T341" s="592"/>
      <c r="U341" s="592"/>
      <c r="V341" s="592"/>
      <c r="W341" s="592"/>
      <c r="X341" s="592"/>
      <c r="Y341" s="592"/>
      <c r="Z341" s="592"/>
      <c r="AA341" s="592"/>
      <c r="AB341" s="592"/>
      <c r="AC341" s="592"/>
      <c r="AD341" s="592"/>
      <c r="AE341" s="592"/>
      <c r="AF341" s="592"/>
      <c r="AG341" s="592"/>
      <c r="AH341" s="592"/>
      <c r="AI341" s="592"/>
      <c r="AJ341" s="592"/>
      <c r="AK341" s="592"/>
      <c r="AL341" s="592"/>
      <c r="AM341" s="592"/>
      <c r="AN341" s="592"/>
      <c r="AO341" s="592"/>
      <c r="AP341" s="592"/>
      <c r="AQ341" s="592"/>
      <c r="AR341" s="592"/>
      <c r="AS341" s="592"/>
      <c r="AT341" s="592"/>
      <c r="AU341" s="592"/>
      <c r="AV341" s="592"/>
      <c r="AW341" s="592"/>
      <c r="AX341" s="592"/>
      <c r="AY341" s="592"/>
      <c r="AZ341" s="592"/>
      <c r="BA341" s="592"/>
      <c r="BB341" s="592"/>
      <c r="BC341" s="592"/>
      <c r="BD341" s="592"/>
      <c r="BE341" s="592"/>
      <c r="BF341" s="592"/>
      <c r="BG341" s="592"/>
      <c r="BH341" s="590"/>
      <c r="BI341" s="590"/>
      <c r="BJ341" s="590"/>
      <c r="BK341" s="590"/>
      <c r="BL341" s="590"/>
      <c r="BM341" s="590"/>
      <c r="BN341" s="592"/>
      <c r="BO341" s="592"/>
      <c r="BP341" s="592"/>
      <c r="BQ341" s="592"/>
      <c r="CF341" s="590"/>
      <c r="CG341" s="590"/>
      <c r="CH341" s="590"/>
      <c r="CI341" s="924"/>
      <c r="CJ341" s="590"/>
      <c r="CK341" s="590"/>
      <c r="CL341" s="590"/>
      <c r="CM341" s="590"/>
      <c r="CN341" s="590"/>
      <c r="CO341" s="590"/>
      <c r="CP341" s="590"/>
      <c r="CQ341" s="590"/>
      <c r="CR341" s="590"/>
      <c r="CS341" s="590"/>
      <c r="CT341" s="590"/>
      <c r="CU341" s="590"/>
      <c r="CV341" s="590"/>
      <c r="CW341" s="590"/>
      <c r="CX341" s="590"/>
      <c r="CY341" s="590"/>
      <c r="CZ341" s="590"/>
      <c r="DA341" s="590"/>
      <c r="DB341" s="590"/>
      <c r="DC341" s="590"/>
      <c r="DD341" s="590"/>
      <c r="DE341" s="590"/>
      <c r="DF341" s="590"/>
      <c r="DG341" s="590"/>
      <c r="DH341" s="590"/>
      <c r="DI341" s="590"/>
      <c r="DJ341" s="590"/>
      <c r="DK341" s="590"/>
      <c r="DL341" s="590"/>
      <c r="DM341" s="590"/>
      <c r="DN341" s="590"/>
      <c r="DO341" s="590"/>
      <c r="DP341" s="590"/>
      <c r="DQ341" s="590"/>
      <c r="DR341" s="590"/>
      <c r="DS341" s="590"/>
      <c r="DT341" s="590"/>
      <c r="DU341" s="590"/>
      <c r="DV341" s="590"/>
      <c r="DW341" s="590"/>
      <c r="DX341" s="590"/>
      <c r="DY341" s="590"/>
      <c r="DZ341" s="590"/>
      <c r="EA341" s="590"/>
      <c r="EB341" s="590"/>
      <c r="EC341" s="590"/>
      <c r="ED341" s="590"/>
      <c r="EE341" s="590"/>
      <c r="EF341" s="590"/>
      <c r="EG341" s="590"/>
      <c r="EH341" s="590"/>
      <c r="EI341" s="590"/>
      <c r="EJ341" s="651"/>
      <c r="EK341" s="651"/>
    </row>
    <row r="342" spans="1:141" ht="12" customHeight="1" x14ac:dyDescent="0.15">
      <c r="A342" s="592"/>
      <c r="B342" s="592"/>
      <c r="C342" s="592"/>
      <c r="D342" s="592"/>
      <c r="E342" s="592"/>
      <c r="F342" s="592"/>
      <c r="G342" s="592"/>
      <c r="H342" s="592"/>
      <c r="I342" s="592"/>
      <c r="J342" s="592"/>
      <c r="K342" s="592"/>
      <c r="L342" s="592"/>
      <c r="M342" s="592"/>
      <c r="N342" s="592"/>
      <c r="O342" s="592"/>
      <c r="P342" s="592"/>
      <c r="Q342" s="592"/>
      <c r="R342" s="592"/>
      <c r="S342" s="592"/>
      <c r="T342" s="592"/>
      <c r="U342" s="592"/>
      <c r="V342" s="592"/>
      <c r="W342" s="592"/>
      <c r="X342" s="592"/>
      <c r="Y342" s="592"/>
      <c r="Z342" s="592"/>
      <c r="AA342" s="592"/>
      <c r="AB342" s="592"/>
      <c r="AC342" s="592"/>
      <c r="AD342" s="592"/>
      <c r="AE342" s="592"/>
      <c r="AF342" s="592"/>
      <c r="AG342" s="592"/>
      <c r="AH342" s="592"/>
      <c r="AI342" s="592"/>
      <c r="AJ342" s="592"/>
      <c r="AK342" s="592"/>
      <c r="AL342" s="592"/>
      <c r="AM342" s="592"/>
      <c r="AN342" s="592"/>
      <c r="AO342" s="592"/>
      <c r="AP342" s="592"/>
      <c r="AQ342" s="592"/>
      <c r="AR342" s="592"/>
      <c r="AS342" s="592"/>
      <c r="AT342" s="592"/>
      <c r="AU342" s="592"/>
      <c r="AV342" s="592"/>
      <c r="AW342" s="592"/>
      <c r="AX342" s="592"/>
      <c r="AY342" s="592"/>
      <c r="AZ342" s="592"/>
      <c r="BA342" s="592"/>
      <c r="BB342" s="592"/>
      <c r="BC342" s="592"/>
      <c r="BD342" s="592"/>
      <c r="BE342" s="592"/>
      <c r="BF342" s="592"/>
      <c r="BG342" s="592"/>
      <c r="BH342" s="590"/>
      <c r="BI342" s="590"/>
      <c r="BJ342" s="590"/>
      <c r="BK342" s="590"/>
      <c r="BL342" s="590"/>
      <c r="BM342" s="590"/>
      <c r="BN342" s="592"/>
      <c r="BO342" s="592"/>
      <c r="BP342" s="592"/>
      <c r="BQ342" s="592"/>
      <c r="CF342" s="590"/>
      <c r="CG342" s="590"/>
      <c r="CH342" s="590"/>
      <c r="CI342" s="924"/>
      <c r="CJ342" s="590"/>
      <c r="CK342" s="590"/>
      <c r="CL342" s="590"/>
      <c r="CM342" s="590"/>
      <c r="CN342" s="590"/>
      <c r="CO342" s="590"/>
      <c r="CP342" s="590"/>
      <c r="CQ342" s="590"/>
      <c r="CR342" s="590"/>
      <c r="CS342" s="590"/>
      <c r="CT342" s="590"/>
      <c r="CU342" s="590"/>
      <c r="CV342" s="590"/>
      <c r="CW342" s="590"/>
      <c r="CX342" s="590"/>
      <c r="CY342" s="590"/>
      <c r="CZ342" s="590"/>
      <c r="DA342" s="590"/>
      <c r="DB342" s="590"/>
      <c r="DC342" s="590"/>
      <c r="DD342" s="590"/>
      <c r="DE342" s="590"/>
      <c r="DF342" s="590"/>
      <c r="DG342" s="590"/>
      <c r="DH342" s="590"/>
      <c r="DI342" s="590"/>
      <c r="DJ342" s="590"/>
      <c r="DK342" s="590"/>
      <c r="DL342" s="590"/>
      <c r="DM342" s="590"/>
      <c r="DN342" s="590"/>
      <c r="DO342" s="590"/>
      <c r="DP342" s="590"/>
      <c r="DQ342" s="590"/>
      <c r="DR342" s="590"/>
      <c r="DS342" s="590"/>
      <c r="DT342" s="590"/>
      <c r="DU342" s="590"/>
      <c r="DV342" s="590"/>
      <c r="DW342" s="590"/>
      <c r="DX342" s="590"/>
      <c r="DY342" s="590"/>
      <c r="DZ342" s="590"/>
      <c r="EA342" s="590"/>
      <c r="EB342" s="590"/>
      <c r="EC342" s="590"/>
      <c r="ED342" s="590"/>
      <c r="EE342" s="590"/>
      <c r="EF342" s="590"/>
      <c r="EG342" s="590"/>
      <c r="EH342" s="590"/>
      <c r="EI342" s="590"/>
      <c r="EJ342" s="651"/>
      <c r="EK342" s="651"/>
    </row>
    <row r="343" spans="1:141" ht="12" customHeight="1" x14ac:dyDescent="0.15">
      <c r="A343" s="592"/>
      <c r="B343" s="592"/>
      <c r="C343" s="592"/>
      <c r="D343" s="592"/>
      <c r="E343" s="592"/>
      <c r="F343" s="592"/>
      <c r="G343" s="592"/>
      <c r="H343" s="592"/>
      <c r="I343" s="592"/>
      <c r="J343" s="592"/>
      <c r="K343" s="592"/>
      <c r="L343" s="592"/>
      <c r="M343" s="592"/>
      <c r="N343" s="592"/>
      <c r="O343" s="592"/>
      <c r="P343" s="592"/>
      <c r="Q343" s="592"/>
      <c r="R343" s="592"/>
      <c r="S343" s="592"/>
      <c r="T343" s="592"/>
      <c r="U343" s="592"/>
      <c r="V343" s="592"/>
      <c r="W343" s="592"/>
      <c r="X343" s="592"/>
      <c r="Y343" s="592"/>
      <c r="Z343" s="592"/>
      <c r="AA343" s="592"/>
      <c r="AB343" s="592"/>
      <c r="AC343" s="592"/>
      <c r="AD343" s="592"/>
      <c r="AE343" s="592"/>
      <c r="AF343" s="592"/>
      <c r="AG343" s="592"/>
      <c r="AH343" s="592"/>
      <c r="AI343" s="592"/>
      <c r="AJ343" s="592"/>
      <c r="AK343" s="592"/>
      <c r="AL343" s="592"/>
      <c r="AM343" s="592"/>
      <c r="AN343" s="592"/>
      <c r="AO343" s="592"/>
      <c r="AP343" s="592"/>
      <c r="AQ343" s="592"/>
      <c r="AR343" s="592"/>
      <c r="AS343" s="592"/>
      <c r="AT343" s="592"/>
      <c r="AU343" s="592"/>
      <c r="AV343" s="592"/>
      <c r="AW343" s="592"/>
      <c r="AX343" s="592"/>
      <c r="AY343" s="592"/>
      <c r="AZ343" s="592"/>
      <c r="BA343" s="592"/>
      <c r="BB343" s="592"/>
      <c r="BC343" s="592"/>
      <c r="BD343" s="592"/>
      <c r="BE343" s="592"/>
      <c r="BF343" s="592"/>
      <c r="BG343" s="592"/>
      <c r="BH343" s="590"/>
      <c r="BI343" s="592"/>
      <c r="BJ343" s="592"/>
      <c r="BK343" s="592"/>
      <c r="BL343" s="592"/>
      <c r="BM343" s="592"/>
      <c r="BN343" s="592"/>
      <c r="BO343" s="592"/>
      <c r="BP343" s="592"/>
      <c r="BQ343" s="592"/>
      <c r="CF343" s="590"/>
      <c r="CG343" s="590"/>
      <c r="CH343" s="590"/>
      <c r="CI343" s="924"/>
      <c r="CJ343" s="590"/>
      <c r="CK343" s="590"/>
      <c r="CL343" s="590"/>
      <c r="CM343" s="590"/>
      <c r="CN343" s="590"/>
      <c r="CO343" s="590"/>
      <c r="CP343" s="590"/>
      <c r="CQ343" s="590"/>
      <c r="CR343" s="590"/>
      <c r="CS343" s="590"/>
      <c r="CT343" s="590"/>
      <c r="CU343" s="590"/>
      <c r="CV343" s="590"/>
      <c r="CW343" s="590"/>
      <c r="CX343" s="590"/>
      <c r="CY343" s="590"/>
      <c r="CZ343" s="590"/>
      <c r="DA343" s="590"/>
      <c r="DB343" s="590"/>
      <c r="DC343" s="590"/>
      <c r="DD343" s="590"/>
      <c r="DE343" s="590"/>
      <c r="DF343" s="590"/>
      <c r="DG343" s="590"/>
      <c r="DH343" s="590"/>
      <c r="DI343" s="590"/>
      <c r="DJ343" s="590"/>
      <c r="DK343" s="590"/>
      <c r="DL343" s="590"/>
      <c r="DM343" s="590"/>
      <c r="DN343" s="590"/>
      <c r="DO343" s="590"/>
      <c r="DP343" s="590"/>
      <c r="DQ343" s="590"/>
      <c r="DR343" s="590"/>
      <c r="DS343" s="590"/>
      <c r="DT343" s="590"/>
      <c r="DU343" s="590"/>
      <c r="DV343" s="590"/>
      <c r="DW343" s="590"/>
      <c r="DX343" s="590"/>
      <c r="DY343" s="590"/>
      <c r="DZ343" s="590"/>
      <c r="EA343" s="590"/>
      <c r="EB343" s="590"/>
      <c r="EC343" s="590"/>
      <c r="ED343" s="590"/>
      <c r="EE343" s="590"/>
      <c r="EF343" s="590"/>
      <c r="EG343" s="590"/>
      <c r="EH343" s="590"/>
      <c r="EI343" s="590"/>
      <c r="EJ343" s="651"/>
      <c r="EK343" s="651"/>
    </row>
    <row r="344" spans="1:141" ht="12" customHeight="1" x14ac:dyDescent="0.15">
      <c r="A344" s="592"/>
      <c r="B344" s="592"/>
      <c r="C344" s="592"/>
      <c r="D344" s="592"/>
      <c r="E344" s="592"/>
      <c r="F344" s="592"/>
      <c r="G344" s="592"/>
      <c r="H344" s="592"/>
      <c r="I344" s="592"/>
      <c r="J344" s="592"/>
      <c r="K344" s="592"/>
      <c r="L344" s="592"/>
      <c r="M344" s="592"/>
      <c r="N344" s="592"/>
      <c r="O344" s="592"/>
      <c r="P344" s="592"/>
      <c r="Q344" s="592"/>
      <c r="R344" s="592"/>
      <c r="S344" s="592"/>
      <c r="T344" s="592"/>
      <c r="U344" s="592"/>
      <c r="V344" s="592"/>
      <c r="W344" s="592"/>
      <c r="X344" s="592"/>
      <c r="Y344" s="592"/>
      <c r="Z344" s="592"/>
      <c r="AA344" s="592"/>
      <c r="AB344" s="592"/>
      <c r="AC344" s="592"/>
      <c r="AD344" s="592"/>
      <c r="AE344" s="592"/>
      <c r="AF344" s="592"/>
      <c r="AG344" s="592"/>
      <c r="AH344" s="592"/>
      <c r="AI344" s="592"/>
      <c r="AJ344" s="592"/>
      <c r="AK344" s="592"/>
      <c r="AL344" s="592"/>
      <c r="AM344" s="592"/>
      <c r="AN344" s="592"/>
      <c r="AO344" s="592"/>
      <c r="AP344" s="592"/>
      <c r="AQ344" s="592"/>
      <c r="AR344" s="592"/>
      <c r="AS344" s="592"/>
      <c r="AT344" s="592"/>
      <c r="AU344" s="592"/>
      <c r="AV344" s="592"/>
      <c r="AW344" s="592"/>
      <c r="AX344" s="592"/>
      <c r="AY344" s="592"/>
      <c r="AZ344" s="592"/>
      <c r="BA344" s="592"/>
      <c r="BB344" s="592"/>
      <c r="BC344" s="592"/>
      <c r="BD344" s="592"/>
      <c r="BE344" s="592"/>
      <c r="BF344" s="592"/>
      <c r="BG344" s="592"/>
      <c r="BH344" s="590"/>
      <c r="BI344" s="592"/>
      <c r="BJ344" s="592"/>
      <c r="BK344" s="592"/>
      <c r="BL344" s="592"/>
      <c r="BM344" s="592"/>
      <c r="BN344" s="592"/>
      <c r="BO344" s="592"/>
      <c r="BP344" s="592"/>
      <c r="BQ344" s="592"/>
      <c r="CF344" s="590"/>
      <c r="CG344" s="590"/>
      <c r="CH344" s="590"/>
      <c r="CI344" s="924"/>
      <c r="CJ344" s="590"/>
      <c r="CK344" s="590"/>
      <c r="CL344" s="590"/>
      <c r="CM344" s="590"/>
      <c r="CN344" s="590"/>
      <c r="CO344" s="590"/>
      <c r="CP344" s="590"/>
      <c r="CQ344" s="590"/>
      <c r="CR344" s="590"/>
      <c r="CS344" s="590"/>
      <c r="CT344" s="590"/>
      <c r="CU344" s="590"/>
      <c r="CV344" s="590"/>
      <c r="CW344" s="590"/>
      <c r="CX344" s="590"/>
      <c r="CY344" s="590"/>
      <c r="CZ344" s="590"/>
      <c r="DA344" s="590"/>
      <c r="DB344" s="590"/>
      <c r="DC344" s="590"/>
      <c r="DD344" s="590"/>
      <c r="DE344" s="590"/>
      <c r="DF344" s="590"/>
      <c r="DG344" s="590"/>
      <c r="DH344" s="590"/>
      <c r="DI344" s="590"/>
      <c r="DJ344" s="590"/>
      <c r="DK344" s="590"/>
      <c r="DL344" s="590"/>
      <c r="DM344" s="590"/>
      <c r="DN344" s="590"/>
      <c r="DO344" s="590"/>
      <c r="DP344" s="590"/>
      <c r="DQ344" s="590"/>
      <c r="DR344" s="590"/>
      <c r="DS344" s="590"/>
      <c r="DT344" s="590"/>
      <c r="DU344" s="590"/>
      <c r="DV344" s="590"/>
      <c r="DW344" s="590"/>
      <c r="DX344" s="590"/>
      <c r="DY344" s="590"/>
      <c r="DZ344" s="590"/>
      <c r="EA344" s="590"/>
      <c r="EB344" s="590"/>
      <c r="EC344" s="590"/>
      <c r="ED344" s="590"/>
      <c r="EE344" s="590"/>
      <c r="EF344" s="590"/>
      <c r="EG344" s="590"/>
      <c r="EH344" s="590"/>
      <c r="EI344" s="590"/>
      <c r="EJ344" s="651"/>
      <c r="EK344" s="651"/>
    </row>
    <row r="345" spans="1:141" ht="12" customHeight="1" x14ac:dyDescent="0.15">
      <c r="A345" s="592"/>
      <c r="B345" s="592"/>
      <c r="C345" s="592"/>
      <c r="D345" s="592"/>
      <c r="E345" s="592"/>
      <c r="F345" s="592"/>
      <c r="G345" s="592"/>
      <c r="H345" s="592"/>
      <c r="I345" s="592"/>
      <c r="J345" s="592"/>
      <c r="K345" s="592"/>
      <c r="L345" s="592"/>
      <c r="M345" s="592"/>
      <c r="N345" s="592"/>
      <c r="O345" s="592"/>
      <c r="P345" s="592"/>
      <c r="Q345" s="592"/>
      <c r="R345" s="592"/>
      <c r="S345" s="592"/>
      <c r="T345" s="592"/>
      <c r="U345" s="592"/>
      <c r="V345" s="592"/>
      <c r="W345" s="592"/>
      <c r="X345" s="592"/>
      <c r="Y345" s="592"/>
      <c r="Z345" s="592"/>
      <c r="AA345" s="592"/>
      <c r="AB345" s="592"/>
      <c r="AC345" s="592"/>
      <c r="AD345" s="592"/>
      <c r="AE345" s="592"/>
      <c r="AF345" s="592"/>
      <c r="AG345" s="592"/>
      <c r="AH345" s="592"/>
      <c r="AI345" s="592"/>
      <c r="AJ345" s="592"/>
      <c r="AK345" s="592"/>
      <c r="AL345" s="592"/>
      <c r="AM345" s="592"/>
      <c r="AN345" s="592"/>
      <c r="AO345" s="592"/>
      <c r="AP345" s="592"/>
      <c r="AQ345" s="592"/>
      <c r="AR345" s="592"/>
      <c r="AS345" s="592"/>
      <c r="AT345" s="592"/>
      <c r="AU345" s="592"/>
      <c r="AV345" s="592"/>
      <c r="AW345" s="592"/>
      <c r="AX345" s="592"/>
      <c r="AY345" s="592"/>
      <c r="AZ345" s="592"/>
      <c r="BA345" s="592"/>
      <c r="BB345" s="592"/>
      <c r="BC345" s="592"/>
      <c r="BD345" s="592"/>
      <c r="BE345" s="592"/>
      <c r="BF345" s="592"/>
      <c r="BG345" s="592"/>
      <c r="BH345" s="592"/>
      <c r="BI345" s="592"/>
      <c r="BJ345" s="592"/>
      <c r="BK345" s="592"/>
      <c r="BL345" s="592"/>
      <c r="BM345" s="592"/>
      <c r="BN345" s="592"/>
      <c r="BO345" s="592"/>
      <c r="BP345" s="592"/>
      <c r="BQ345" s="592"/>
      <c r="CI345" s="925"/>
    </row>
    <row r="346" spans="1:141" ht="12" customHeight="1" x14ac:dyDescent="0.15">
      <c r="A346" s="592"/>
      <c r="BH346" s="592"/>
      <c r="BI346" s="592"/>
      <c r="BJ346" s="592"/>
      <c r="BK346" s="592"/>
      <c r="BL346" s="592"/>
      <c r="BM346" s="592"/>
      <c r="BN346" s="592"/>
      <c r="BO346" s="592"/>
      <c r="BP346" s="592"/>
      <c r="BQ346" s="592"/>
      <c r="CI346" s="925"/>
    </row>
    <row r="347" spans="1:141" ht="12" customHeight="1" x14ac:dyDescent="0.15">
      <c r="A347" s="592"/>
      <c r="BH347" s="592"/>
      <c r="BI347" s="592"/>
      <c r="BJ347" s="592"/>
      <c r="BK347" s="592"/>
      <c r="BL347" s="592"/>
      <c r="BM347" s="592"/>
      <c r="BN347" s="592"/>
      <c r="BO347" s="592"/>
      <c r="BP347" s="592"/>
      <c r="BQ347" s="592"/>
      <c r="CI347" s="925"/>
    </row>
    <row r="348" spans="1:141" ht="12" customHeight="1" x14ac:dyDescent="0.15">
      <c r="A348" s="592"/>
      <c r="BH348" s="592"/>
      <c r="BI348" s="592"/>
      <c r="BJ348" s="592"/>
      <c r="BK348" s="592"/>
      <c r="BL348" s="592"/>
      <c r="BM348" s="592"/>
      <c r="BN348" s="592"/>
      <c r="BO348" s="592"/>
      <c r="BP348" s="592"/>
      <c r="BQ348" s="592"/>
      <c r="CI348" s="925"/>
    </row>
    <row r="349" spans="1:141" ht="12" customHeight="1" x14ac:dyDescent="0.15">
      <c r="BH349" s="592"/>
    </row>
    <row r="350" spans="1:141" ht="12" customHeight="1" x14ac:dyDescent="0.15">
      <c r="BH350" s="592"/>
    </row>
    <row r="398" spans="2:59" ht="12" customHeight="1" x14ac:dyDescent="0.15">
      <c r="B398" s="658"/>
      <c r="C398" s="658"/>
      <c r="D398" s="658"/>
      <c r="E398" s="658"/>
      <c r="F398" s="658"/>
      <c r="G398" s="658"/>
      <c r="H398" s="658"/>
      <c r="I398" s="658"/>
      <c r="J398" s="658"/>
      <c r="K398" s="658"/>
      <c r="L398" s="658"/>
      <c r="M398" s="658"/>
      <c r="N398" s="658"/>
      <c r="O398" s="658"/>
      <c r="P398" s="658"/>
      <c r="Q398" s="658"/>
      <c r="R398" s="658"/>
      <c r="S398" s="658"/>
      <c r="T398" s="658"/>
      <c r="U398" s="658"/>
      <c r="V398" s="658"/>
      <c r="W398" s="658"/>
      <c r="X398" s="658"/>
      <c r="Y398" s="658"/>
      <c r="Z398" s="658"/>
      <c r="AA398" s="658"/>
      <c r="AB398" s="658"/>
      <c r="AC398" s="658"/>
      <c r="AD398" s="658"/>
      <c r="AE398" s="658"/>
      <c r="AF398" s="658"/>
      <c r="AG398" s="658"/>
      <c r="AH398" s="658"/>
      <c r="AI398" s="658"/>
      <c r="AJ398" s="658"/>
      <c r="AK398" s="658"/>
      <c r="AL398" s="658"/>
      <c r="AM398" s="658"/>
      <c r="AN398" s="658"/>
      <c r="AO398" s="658"/>
      <c r="AP398" s="658"/>
      <c r="AQ398" s="658"/>
      <c r="AR398" s="658"/>
      <c r="AS398" s="658"/>
      <c r="AT398" s="658"/>
      <c r="AU398" s="658"/>
      <c r="AV398" s="658"/>
      <c r="AW398" s="658"/>
      <c r="AX398" s="658"/>
      <c r="AY398" s="658"/>
      <c r="AZ398" s="658"/>
      <c r="BA398" s="658"/>
      <c r="BB398" s="658"/>
      <c r="BC398" s="658"/>
      <c r="BD398" s="658"/>
      <c r="BE398" s="658"/>
      <c r="BF398" s="658"/>
      <c r="BG398" s="658"/>
    </row>
    <row r="399" spans="2:59" ht="12" customHeight="1" x14ac:dyDescent="0.15">
      <c r="B399" s="658"/>
      <c r="C399" s="658"/>
      <c r="D399" s="658"/>
      <c r="E399" s="658"/>
      <c r="F399" s="658"/>
      <c r="G399" s="658"/>
      <c r="H399" s="658"/>
      <c r="I399" s="658"/>
      <c r="J399" s="658"/>
      <c r="K399" s="658"/>
      <c r="L399" s="658"/>
      <c r="M399" s="658"/>
      <c r="N399" s="658"/>
      <c r="O399" s="658"/>
      <c r="P399" s="658"/>
      <c r="Q399" s="658"/>
      <c r="R399" s="658"/>
      <c r="S399" s="658"/>
      <c r="T399" s="658"/>
      <c r="U399" s="658"/>
      <c r="V399" s="658"/>
      <c r="W399" s="658"/>
      <c r="X399" s="658"/>
      <c r="Y399" s="658"/>
      <c r="Z399" s="658"/>
      <c r="AA399" s="658"/>
      <c r="AB399" s="658"/>
      <c r="AC399" s="658"/>
      <c r="AD399" s="658"/>
      <c r="AE399" s="658"/>
      <c r="AF399" s="658"/>
      <c r="AG399" s="658"/>
      <c r="AH399" s="658"/>
      <c r="AI399" s="658"/>
      <c r="AJ399" s="658"/>
      <c r="AK399" s="658"/>
      <c r="AL399" s="658"/>
      <c r="AM399" s="658"/>
      <c r="AN399" s="658"/>
      <c r="AO399" s="658"/>
      <c r="AP399" s="658"/>
      <c r="AQ399" s="658"/>
      <c r="AR399" s="658"/>
      <c r="AS399" s="658"/>
      <c r="AT399" s="658"/>
      <c r="AU399" s="658"/>
      <c r="AV399" s="658"/>
      <c r="AW399" s="658"/>
      <c r="AX399" s="658"/>
      <c r="AY399" s="658"/>
      <c r="AZ399" s="658"/>
      <c r="BA399" s="658"/>
      <c r="BB399" s="658"/>
      <c r="BC399" s="658"/>
      <c r="BD399" s="658"/>
      <c r="BE399" s="658"/>
      <c r="BF399" s="658"/>
      <c r="BG399" s="658"/>
    </row>
    <row r="400" spans="2:59" ht="12" customHeight="1" x14ac:dyDescent="0.15">
      <c r="B400" s="658"/>
      <c r="C400" s="658"/>
      <c r="D400" s="658"/>
      <c r="E400" s="658"/>
      <c r="F400" s="658"/>
      <c r="G400" s="658"/>
      <c r="H400" s="658"/>
      <c r="I400" s="658"/>
      <c r="J400" s="658"/>
      <c r="K400" s="658"/>
      <c r="L400" s="658"/>
      <c r="M400" s="658"/>
      <c r="N400" s="658"/>
      <c r="O400" s="658"/>
      <c r="P400" s="658"/>
      <c r="Q400" s="658"/>
      <c r="R400" s="658"/>
      <c r="S400" s="658"/>
      <c r="T400" s="658"/>
      <c r="U400" s="658"/>
      <c r="V400" s="658"/>
      <c r="W400" s="658"/>
      <c r="X400" s="658"/>
      <c r="Y400" s="658"/>
      <c r="Z400" s="658"/>
      <c r="AA400" s="658"/>
      <c r="AB400" s="658"/>
      <c r="AC400" s="658"/>
      <c r="AD400" s="658"/>
      <c r="AE400" s="658"/>
      <c r="AF400" s="658"/>
      <c r="AG400" s="658"/>
      <c r="AH400" s="658"/>
      <c r="AI400" s="658"/>
      <c r="AJ400" s="658"/>
      <c r="AK400" s="658"/>
      <c r="AL400" s="658"/>
      <c r="AM400" s="658"/>
      <c r="AN400" s="658"/>
      <c r="AO400" s="658"/>
      <c r="AP400" s="658"/>
      <c r="AQ400" s="658"/>
      <c r="AR400" s="658"/>
      <c r="AS400" s="658"/>
      <c r="AT400" s="658"/>
      <c r="AU400" s="658"/>
      <c r="AV400" s="658"/>
      <c r="AW400" s="658"/>
      <c r="AX400" s="658"/>
      <c r="AY400" s="658"/>
      <c r="AZ400" s="658"/>
      <c r="BA400" s="658"/>
      <c r="BB400" s="658"/>
      <c r="BC400" s="658"/>
      <c r="BD400" s="658"/>
      <c r="BE400" s="658"/>
      <c r="BF400" s="658"/>
      <c r="BG400" s="658"/>
    </row>
    <row r="401" spans="1:69" ht="12" customHeight="1" x14ac:dyDescent="0.15">
      <c r="A401" s="592"/>
      <c r="B401" s="658"/>
      <c r="C401" s="658"/>
      <c r="D401" s="658"/>
      <c r="E401" s="658"/>
      <c r="F401" s="658"/>
      <c r="G401" s="658"/>
      <c r="H401" s="658"/>
      <c r="I401" s="658"/>
      <c r="J401" s="658"/>
      <c r="K401" s="658"/>
      <c r="L401" s="658"/>
      <c r="M401" s="658"/>
      <c r="N401" s="658"/>
      <c r="O401" s="658"/>
      <c r="P401" s="658"/>
      <c r="Q401" s="658"/>
      <c r="R401" s="658"/>
      <c r="S401" s="658"/>
      <c r="T401" s="658"/>
      <c r="U401" s="658"/>
      <c r="V401" s="658"/>
      <c r="W401" s="658"/>
      <c r="X401" s="658"/>
      <c r="Y401" s="658"/>
      <c r="Z401" s="658"/>
      <c r="AA401" s="658"/>
      <c r="AB401" s="658"/>
      <c r="AC401" s="658"/>
      <c r="AD401" s="658"/>
      <c r="AE401" s="658"/>
      <c r="AF401" s="658"/>
      <c r="AG401" s="658"/>
      <c r="AH401" s="658"/>
      <c r="AI401" s="658"/>
      <c r="AJ401" s="658"/>
      <c r="AK401" s="658"/>
      <c r="AL401" s="658"/>
      <c r="AM401" s="658"/>
      <c r="AN401" s="658"/>
      <c r="AO401" s="658"/>
      <c r="AP401" s="658"/>
      <c r="AQ401" s="658"/>
      <c r="AR401" s="658"/>
      <c r="AS401" s="658"/>
      <c r="AT401" s="658"/>
      <c r="AU401" s="658"/>
      <c r="AV401" s="658"/>
      <c r="AW401" s="658"/>
      <c r="AX401" s="658"/>
      <c r="AY401" s="658"/>
      <c r="AZ401" s="658"/>
      <c r="BA401" s="658"/>
      <c r="BB401" s="658"/>
      <c r="BC401" s="658"/>
      <c r="BD401" s="658"/>
      <c r="BE401" s="658"/>
      <c r="BF401" s="658"/>
      <c r="BG401" s="658"/>
      <c r="BI401" s="592"/>
      <c r="BJ401" s="592"/>
      <c r="BK401" s="592"/>
      <c r="BL401" s="592"/>
      <c r="BM401" s="592"/>
      <c r="BN401" s="592"/>
      <c r="BO401" s="592"/>
      <c r="BP401" s="592"/>
      <c r="BQ401" s="592"/>
    </row>
    <row r="402" spans="1:69" ht="12" customHeight="1" x14ac:dyDescent="0.15">
      <c r="A402" s="592"/>
      <c r="B402" s="658"/>
      <c r="C402" s="658"/>
      <c r="D402" s="658"/>
      <c r="E402" s="658"/>
      <c r="F402" s="658"/>
      <c r="G402" s="658"/>
      <c r="H402" s="658"/>
      <c r="I402" s="658"/>
      <c r="J402" s="658"/>
      <c r="K402" s="658"/>
      <c r="L402" s="658"/>
      <c r="M402" s="658"/>
      <c r="N402" s="658"/>
      <c r="O402" s="658"/>
      <c r="P402" s="658"/>
      <c r="Q402" s="658"/>
      <c r="R402" s="658"/>
      <c r="S402" s="658"/>
      <c r="T402" s="658"/>
      <c r="U402" s="658"/>
      <c r="V402" s="658"/>
      <c r="W402" s="658"/>
      <c r="X402" s="658"/>
      <c r="Y402" s="658"/>
      <c r="Z402" s="658"/>
      <c r="AA402" s="658"/>
      <c r="AB402" s="658"/>
      <c r="AC402" s="658"/>
      <c r="AD402" s="658"/>
      <c r="AE402" s="658"/>
      <c r="AF402" s="658"/>
      <c r="AG402" s="658"/>
      <c r="AH402" s="658"/>
      <c r="AI402" s="658"/>
      <c r="AJ402" s="658"/>
      <c r="AK402" s="658"/>
      <c r="AL402" s="658"/>
      <c r="AM402" s="658"/>
      <c r="AN402" s="658"/>
      <c r="AO402" s="658"/>
      <c r="AP402" s="658"/>
      <c r="AQ402" s="658"/>
      <c r="AR402" s="658"/>
      <c r="AS402" s="658"/>
      <c r="AT402" s="658"/>
      <c r="AU402" s="658"/>
      <c r="AV402" s="658"/>
      <c r="AW402" s="658"/>
      <c r="AX402" s="658"/>
      <c r="AY402" s="658"/>
      <c r="AZ402" s="658"/>
      <c r="BA402" s="658"/>
      <c r="BB402" s="658"/>
      <c r="BC402" s="658"/>
      <c r="BD402" s="658"/>
      <c r="BE402" s="658"/>
      <c r="BF402" s="658"/>
      <c r="BG402" s="658"/>
      <c r="BI402" s="592"/>
      <c r="BJ402" s="592"/>
      <c r="BK402" s="592"/>
      <c r="BL402" s="592"/>
      <c r="BM402" s="592"/>
      <c r="BN402" s="592"/>
      <c r="BO402" s="592"/>
      <c r="BP402" s="592"/>
      <c r="BQ402" s="592"/>
    </row>
    <row r="403" spans="1:69" ht="12" customHeight="1" x14ac:dyDescent="0.15">
      <c r="A403" s="592"/>
      <c r="B403" s="658"/>
      <c r="C403" s="658"/>
      <c r="D403" s="658"/>
      <c r="E403" s="658"/>
      <c r="F403" s="658"/>
      <c r="G403" s="658"/>
      <c r="H403" s="658"/>
      <c r="I403" s="658"/>
      <c r="J403" s="658"/>
      <c r="K403" s="658"/>
      <c r="L403" s="658"/>
      <c r="M403" s="658"/>
      <c r="N403" s="658"/>
      <c r="O403" s="658"/>
      <c r="P403" s="658"/>
      <c r="Q403" s="658"/>
      <c r="R403" s="658"/>
      <c r="S403" s="658"/>
      <c r="T403" s="658"/>
      <c r="U403" s="658"/>
      <c r="V403" s="658"/>
      <c r="W403" s="658"/>
      <c r="X403" s="658"/>
      <c r="Y403" s="658"/>
      <c r="Z403" s="658"/>
      <c r="AA403" s="658"/>
      <c r="AB403" s="658"/>
      <c r="AC403" s="658"/>
      <c r="AD403" s="658"/>
      <c r="AE403" s="658"/>
      <c r="AF403" s="658"/>
      <c r="AG403" s="658"/>
      <c r="AH403" s="658"/>
      <c r="AI403" s="658"/>
      <c r="AJ403" s="658"/>
      <c r="AK403" s="658"/>
      <c r="AL403" s="658"/>
      <c r="AM403" s="658"/>
      <c r="AN403" s="658"/>
      <c r="AO403" s="658"/>
      <c r="AP403" s="658"/>
      <c r="AQ403" s="658"/>
      <c r="AR403" s="658"/>
      <c r="AS403" s="658"/>
      <c r="AT403" s="658"/>
      <c r="AU403" s="658"/>
      <c r="AV403" s="658"/>
      <c r="AW403" s="658"/>
      <c r="AX403" s="658"/>
      <c r="AY403" s="658"/>
      <c r="AZ403" s="658"/>
      <c r="BA403" s="658"/>
      <c r="BB403" s="658"/>
      <c r="BC403" s="658"/>
      <c r="BD403" s="658"/>
      <c r="BE403" s="658"/>
      <c r="BF403" s="658"/>
      <c r="BG403" s="658"/>
      <c r="BH403" s="592"/>
      <c r="BI403" s="592"/>
      <c r="BJ403" s="592"/>
      <c r="BK403" s="592"/>
      <c r="BL403" s="592"/>
      <c r="BM403" s="592"/>
      <c r="BN403" s="592"/>
      <c r="BO403" s="592"/>
      <c r="BP403" s="592"/>
      <c r="BQ403" s="592"/>
    </row>
    <row r="404" spans="1:69" ht="12" customHeight="1" x14ac:dyDescent="0.15">
      <c r="A404" s="592"/>
      <c r="B404" s="658"/>
      <c r="C404" s="658"/>
      <c r="D404" s="658"/>
      <c r="E404" s="658"/>
      <c r="F404" s="658"/>
      <c r="G404" s="658"/>
      <c r="H404" s="658"/>
      <c r="I404" s="658"/>
      <c r="J404" s="658"/>
      <c r="K404" s="658"/>
      <c r="L404" s="658"/>
      <c r="M404" s="658"/>
      <c r="N404" s="658"/>
      <c r="O404" s="658"/>
      <c r="P404" s="658"/>
      <c r="Q404" s="658"/>
      <c r="R404" s="658"/>
      <c r="S404" s="658"/>
      <c r="T404" s="658"/>
      <c r="U404" s="658"/>
      <c r="V404" s="658"/>
      <c r="W404" s="658"/>
      <c r="X404" s="658"/>
      <c r="Y404" s="658"/>
      <c r="Z404" s="658"/>
      <c r="AA404" s="658"/>
      <c r="AB404" s="658"/>
      <c r="AC404" s="658"/>
      <c r="AD404" s="658"/>
      <c r="AE404" s="658"/>
      <c r="AF404" s="658"/>
      <c r="AG404" s="658"/>
      <c r="AH404" s="658"/>
      <c r="AI404" s="658"/>
      <c r="AJ404" s="658"/>
      <c r="AK404" s="658"/>
      <c r="AL404" s="658"/>
      <c r="AM404" s="658"/>
      <c r="AN404" s="658"/>
      <c r="AO404" s="658"/>
      <c r="AP404" s="658"/>
      <c r="AQ404" s="658"/>
      <c r="AR404" s="658"/>
      <c r="AS404" s="658"/>
      <c r="AT404" s="658"/>
      <c r="AU404" s="658"/>
      <c r="AV404" s="658"/>
      <c r="AW404" s="658"/>
      <c r="AX404" s="658"/>
      <c r="AY404" s="658"/>
      <c r="AZ404" s="658"/>
      <c r="BA404" s="658"/>
      <c r="BB404" s="658"/>
      <c r="BC404" s="658"/>
      <c r="BD404" s="658"/>
      <c r="BE404" s="658"/>
      <c r="BF404" s="658"/>
      <c r="BG404" s="658"/>
      <c r="BH404" s="592"/>
      <c r="BI404" s="592"/>
      <c r="BJ404" s="592"/>
      <c r="BK404" s="592"/>
      <c r="BL404" s="592"/>
      <c r="BM404" s="592"/>
      <c r="BN404" s="592"/>
      <c r="BO404" s="592"/>
      <c r="BP404" s="592"/>
      <c r="BQ404" s="592"/>
    </row>
    <row r="405" spans="1:69" ht="12" customHeight="1" x14ac:dyDescent="0.15">
      <c r="A405" s="592"/>
      <c r="B405" s="658"/>
      <c r="C405" s="658"/>
      <c r="D405" s="658"/>
      <c r="E405" s="658"/>
      <c r="F405" s="658"/>
      <c r="G405" s="658"/>
      <c r="H405" s="658"/>
      <c r="I405" s="658"/>
      <c r="J405" s="658"/>
      <c r="K405" s="658"/>
      <c r="L405" s="658"/>
      <c r="M405" s="658"/>
      <c r="N405" s="658"/>
      <c r="O405" s="658"/>
      <c r="P405" s="658"/>
      <c r="Q405" s="658"/>
      <c r="R405" s="658"/>
      <c r="S405" s="658"/>
      <c r="T405" s="658"/>
      <c r="U405" s="658"/>
      <c r="V405" s="658"/>
      <c r="W405" s="658"/>
      <c r="X405" s="658"/>
      <c r="Y405" s="658"/>
      <c r="Z405" s="658"/>
      <c r="AA405" s="658"/>
      <c r="AB405" s="658"/>
      <c r="AC405" s="658"/>
      <c r="AD405" s="658"/>
      <c r="AE405" s="658"/>
      <c r="AF405" s="658"/>
      <c r="AG405" s="658"/>
      <c r="AH405" s="658"/>
      <c r="AI405" s="658"/>
      <c r="AJ405" s="658"/>
      <c r="AK405" s="658"/>
      <c r="AL405" s="658"/>
      <c r="AM405" s="658"/>
      <c r="AN405" s="658"/>
      <c r="AO405" s="658"/>
      <c r="AP405" s="658"/>
      <c r="AQ405" s="658"/>
      <c r="AR405" s="658"/>
      <c r="AS405" s="658"/>
      <c r="AT405" s="658"/>
      <c r="AU405" s="658"/>
      <c r="AV405" s="658"/>
      <c r="AW405" s="658"/>
      <c r="AX405" s="658"/>
      <c r="AY405" s="658"/>
      <c r="AZ405" s="658"/>
      <c r="BA405" s="658"/>
      <c r="BB405" s="658"/>
      <c r="BC405" s="658"/>
      <c r="BD405" s="658"/>
      <c r="BE405" s="658"/>
      <c r="BF405" s="658"/>
      <c r="BG405" s="658"/>
      <c r="BH405" s="592"/>
      <c r="BI405" s="592"/>
      <c r="BJ405" s="592"/>
      <c r="BK405" s="592"/>
      <c r="BL405" s="592"/>
      <c r="BM405" s="592"/>
      <c r="BN405" s="592"/>
      <c r="BO405" s="592"/>
      <c r="BP405" s="592"/>
      <c r="BQ405" s="592"/>
    </row>
    <row r="406" spans="1:69" ht="12" customHeight="1" x14ac:dyDescent="0.15">
      <c r="A406" s="592"/>
      <c r="B406" s="658"/>
      <c r="C406" s="658"/>
      <c r="D406" s="658"/>
      <c r="E406" s="658"/>
      <c r="F406" s="658"/>
      <c r="G406" s="658"/>
      <c r="H406" s="658"/>
      <c r="I406" s="658"/>
      <c r="J406" s="658"/>
      <c r="K406" s="658"/>
      <c r="L406" s="658"/>
      <c r="M406" s="658"/>
      <c r="N406" s="658"/>
      <c r="O406" s="658"/>
      <c r="P406" s="658"/>
      <c r="Q406" s="658"/>
      <c r="R406" s="658"/>
      <c r="S406" s="658"/>
      <c r="T406" s="658"/>
      <c r="U406" s="658"/>
      <c r="V406" s="658"/>
      <c r="W406" s="658"/>
      <c r="X406" s="658"/>
      <c r="Y406" s="658"/>
      <c r="Z406" s="658"/>
      <c r="AA406" s="658"/>
      <c r="AB406" s="658"/>
      <c r="AC406" s="658"/>
      <c r="AD406" s="658"/>
      <c r="AE406" s="658"/>
      <c r="AF406" s="658"/>
      <c r="AG406" s="658"/>
      <c r="AH406" s="658"/>
      <c r="AI406" s="658"/>
      <c r="AJ406" s="658"/>
      <c r="AK406" s="658"/>
      <c r="AL406" s="658"/>
      <c r="AM406" s="658"/>
      <c r="AN406" s="658"/>
      <c r="AO406" s="658"/>
      <c r="AP406" s="658"/>
      <c r="AQ406" s="658"/>
      <c r="AR406" s="658"/>
      <c r="AS406" s="658"/>
      <c r="AT406" s="658"/>
      <c r="AU406" s="658"/>
      <c r="AV406" s="658"/>
      <c r="AW406" s="658"/>
      <c r="AX406" s="658"/>
      <c r="AY406" s="658"/>
      <c r="AZ406" s="658"/>
      <c r="BA406" s="658"/>
      <c r="BB406" s="658"/>
      <c r="BC406" s="658"/>
      <c r="BD406" s="658"/>
      <c r="BE406" s="658"/>
      <c r="BF406" s="658"/>
      <c r="BG406" s="658"/>
      <c r="BH406" s="592"/>
      <c r="BI406" s="592"/>
      <c r="BJ406" s="592"/>
      <c r="BK406" s="592"/>
      <c r="BL406" s="592"/>
      <c r="BM406" s="592"/>
      <c r="BN406" s="592"/>
      <c r="BO406" s="592"/>
      <c r="BP406" s="592"/>
      <c r="BQ406" s="592"/>
    </row>
    <row r="407" spans="1:69" ht="12" customHeight="1" x14ac:dyDescent="0.15">
      <c r="A407" s="592"/>
      <c r="B407" s="658"/>
      <c r="C407" s="658"/>
      <c r="D407" s="658"/>
      <c r="E407" s="658"/>
      <c r="F407" s="658"/>
      <c r="G407" s="658"/>
      <c r="H407" s="658"/>
      <c r="I407" s="658"/>
      <c r="J407" s="658"/>
      <c r="K407" s="658"/>
      <c r="L407" s="658"/>
      <c r="M407" s="658"/>
      <c r="N407" s="658"/>
      <c r="O407" s="658"/>
      <c r="P407" s="658"/>
      <c r="Q407" s="658"/>
      <c r="R407" s="658"/>
      <c r="S407" s="658"/>
      <c r="T407" s="658"/>
      <c r="U407" s="658"/>
      <c r="V407" s="658"/>
      <c r="W407" s="658"/>
      <c r="X407" s="658"/>
      <c r="Y407" s="658"/>
      <c r="Z407" s="658"/>
      <c r="AA407" s="658"/>
      <c r="AB407" s="658"/>
      <c r="AC407" s="658"/>
      <c r="AD407" s="658"/>
      <c r="AE407" s="658"/>
      <c r="AF407" s="658"/>
      <c r="AG407" s="658"/>
      <c r="AH407" s="658"/>
      <c r="AI407" s="658"/>
      <c r="AJ407" s="658"/>
      <c r="AK407" s="658"/>
      <c r="AL407" s="658"/>
      <c r="AM407" s="658"/>
      <c r="AN407" s="658"/>
      <c r="AO407" s="658"/>
      <c r="AP407" s="658"/>
      <c r="AQ407" s="658"/>
      <c r="AR407" s="658"/>
      <c r="AS407" s="658"/>
      <c r="AT407" s="658"/>
      <c r="AU407" s="658"/>
      <c r="AV407" s="658"/>
      <c r="AW407" s="658"/>
      <c r="AX407" s="658"/>
      <c r="AY407" s="658"/>
      <c r="AZ407" s="658"/>
      <c r="BA407" s="658"/>
      <c r="BB407" s="658"/>
      <c r="BC407" s="658"/>
      <c r="BD407" s="658"/>
      <c r="BE407" s="658"/>
      <c r="BF407" s="658"/>
      <c r="BG407" s="658"/>
      <c r="BH407" s="592"/>
      <c r="BI407" s="592"/>
      <c r="BJ407" s="592"/>
      <c r="BK407" s="592"/>
      <c r="BL407" s="592"/>
      <c r="BM407" s="592"/>
      <c r="BN407" s="592"/>
      <c r="BO407" s="592"/>
      <c r="BP407" s="592"/>
      <c r="BQ407" s="592"/>
    </row>
    <row r="408" spans="1:69" ht="12" customHeight="1" x14ac:dyDescent="0.15">
      <c r="A408" s="592"/>
      <c r="B408" s="658"/>
      <c r="C408" s="658"/>
      <c r="D408" s="658"/>
      <c r="E408" s="658"/>
      <c r="F408" s="658"/>
      <c r="G408" s="658"/>
      <c r="H408" s="658"/>
      <c r="I408" s="658"/>
      <c r="J408" s="658"/>
      <c r="K408" s="658"/>
      <c r="L408" s="658"/>
      <c r="M408" s="658"/>
      <c r="N408" s="658"/>
      <c r="O408" s="658"/>
      <c r="P408" s="658"/>
      <c r="Q408" s="658"/>
      <c r="R408" s="658"/>
      <c r="S408" s="658"/>
      <c r="T408" s="658"/>
      <c r="U408" s="658"/>
      <c r="V408" s="658"/>
      <c r="W408" s="658"/>
      <c r="X408" s="658"/>
      <c r="Y408" s="658"/>
      <c r="Z408" s="658"/>
      <c r="AA408" s="658"/>
      <c r="AB408" s="658"/>
      <c r="AC408" s="658"/>
      <c r="AD408" s="658"/>
      <c r="AE408" s="658"/>
      <c r="AF408" s="658"/>
      <c r="AG408" s="658"/>
      <c r="AH408" s="658"/>
      <c r="AI408" s="658"/>
      <c r="AJ408" s="658"/>
      <c r="AK408" s="658"/>
      <c r="AL408" s="658"/>
      <c r="AM408" s="658"/>
      <c r="AN408" s="658"/>
      <c r="AO408" s="658"/>
      <c r="AP408" s="658"/>
      <c r="AQ408" s="658"/>
      <c r="AR408" s="658"/>
      <c r="AS408" s="658"/>
      <c r="AT408" s="658"/>
      <c r="AU408" s="658"/>
      <c r="AV408" s="658"/>
      <c r="AW408" s="658"/>
      <c r="AX408" s="658"/>
      <c r="AY408" s="658"/>
      <c r="AZ408" s="658"/>
      <c r="BA408" s="658"/>
      <c r="BB408" s="658"/>
      <c r="BC408" s="658"/>
      <c r="BD408" s="658"/>
      <c r="BE408" s="658"/>
      <c r="BF408" s="658"/>
      <c r="BG408" s="658"/>
      <c r="BH408" s="592"/>
      <c r="BI408" s="592"/>
      <c r="BJ408" s="592"/>
      <c r="BK408" s="592"/>
      <c r="BL408" s="592"/>
      <c r="BM408" s="592"/>
      <c r="BN408" s="592"/>
      <c r="BO408" s="592"/>
      <c r="BP408" s="592"/>
      <c r="BQ408" s="592"/>
    </row>
    <row r="409" spans="1:69" ht="12" customHeight="1" x14ac:dyDescent="0.15">
      <c r="A409" s="592"/>
      <c r="B409" s="658"/>
      <c r="C409" s="658"/>
      <c r="D409" s="658"/>
      <c r="E409" s="658"/>
      <c r="F409" s="658"/>
      <c r="G409" s="658"/>
      <c r="H409" s="658"/>
      <c r="I409" s="658"/>
      <c r="J409" s="658"/>
      <c r="K409" s="658"/>
      <c r="L409" s="658"/>
      <c r="M409" s="658"/>
      <c r="N409" s="658"/>
      <c r="O409" s="658"/>
      <c r="P409" s="658"/>
      <c r="Q409" s="658"/>
      <c r="R409" s="658"/>
      <c r="S409" s="658"/>
      <c r="T409" s="658"/>
      <c r="U409" s="658"/>
      <c r="V409" s="658"/>
      <c r="W409" s="658"/>
      <c r="X409" s="658"/>
      <c r="Y409" s="658"/>
      <c r="Z409" s="658"/>
      <c r="AA409" s="658"/>
      <c r="AB409" s="658"/>
      <c r="AC409" s="658"/>
      <c r="AD409" s="658"/>
      <c r="AE409" s="658"/>
      <c r="AF409" s="658"/>
      <c r="AG409" s="658"/>
      <c r="AH409" s="658"/>
      <c r="AI409" s="658"/>
      <c r="AJ409" s="658"/>
      <c r="AK409" s="658"/>
      <c r="AL409" s="658"/>
      <c r="AM409" s="658"/>
      <c r="AN409" s="658"/>
      <c r="AO409" s="658"/>
      <c r="AP409" s="658"/>
      <c r="AQ409" s="658"/>
      <c r="AR409" s="658"/>
      <c r="AS409" s="658"/>
      <c r="AT409" s="658"/>
      <c r="AU409" s="658"/>
      <c r="AV409" s="658"/>
      <c r="AW409" s="658"/>
      <c r="AX409" s="658"/>
      <c r="AY409" s="658"/>
      <c r="AZ409" s="658"/>
      <c r="BA409" s="658"/>
      <c r="BB409" s="658"/>
      <c r="BC409" s="658"/>
      <c r="BD409" s="658"/>
      <c r="BE409" s="658"/>
      <c r="BF409" s="658"/>
      <c r="BG409" s="658"/>
      <c r="BH409" s="592"/>
      <c r="BI409" s="592"/>
      <c r="BJ409" s="592"/>
      <c r="BK409" s="592"/>
      <c r="BL409" s="592"/>
      <c r="BM409" s="592"/>
      <c r="BN409" s="592"/>
      <c r="BO409" s="592"/>
      <c r="BP409" s="592"/>
      <c r="BQ409" s="592"/>
    </row>
    <row r="410" spans="1:69" ht="12" customHeight="1" x14ac:dyDescent="0.15">
      <c r="A410" s="592"/>
      <c r="B410" s="658"/>
      <c r="C410" s="658"/>
      <c r="D410" s="658"/>
      <c r="E410" s="658"/>
      <c r="F410" s="658"/>
      <c r="G410" s="658"/>
      <c r="H410" s="658"/>
      <c r="I410" s="658"/>
      <c r="J410" s="658"/>
      <c r="K410" s="658"/>
      <c r="L410" s="658"/>
      <c r="M410" s="658"/>
      <c r="N410" s="658"/>
      <c r="O410" s="658"/>
      <c r="P410" s="658"/>
      <c r="Q410" s="658"/>
      <c r="R410" s="658"/>
      <c r="S410" s="658"/>
      <c r="T410" s="658"/>
      <c r="U410" s="658"/>
      <c r="V410" s="658"/>
      <c r="W410" s="658"/>
      <c r="X410" s="658"/>
      <c r="Y410" s="658"/>
      <c r="Z410" s="658"/>
      <c r="AA410" s="658"/>
      <c r="AB410" s="658"/>
      <c r="AC410" s="658"/>
      <c r="AD410" s="658"/>
      <c r="AE410" s="658"/>
      <c r="AF410" s="658"/>
      <c r="AG410" s="658"/>
      <c r="AH410" s="658"/>
      <c r="AI410" s="658"/>
      <c r="AJ410" s="658"/>
      <c r="AK410" s="658"/>
      <c r="AL410" s="658"/>
      <c r="AM410" s="658"/>
      <c r="AN410" s="658"/>
      <c r="AO410" s="658"/>
      <c r="AP410" s="658"/>
      <c r="AQ410" s="658"/>
      <c r="AR410" s="658"/>
      <c r="AS410" s="658"/>
      <c r="AT410" s="658"/>
      <c r="AU410" s="658"/>
      <c r="AV410" s="658"/>
      <c r="AW410" s="658"/>
      <c r="AX410" s="658"/>
      <c r="AY410" s="658"/>
      <c r="AZ410" s="658"/>
      <c r="BA410" s="658"/>
      <c r="BB410" s="658"/>
      <c r="BC410" s="658"/>
      <c r="BD410" s="658"/>
      <c r="BE410" s="658"/>
      <c r="BF410" s="658"/>
      <c r="BG410" s="658"/>
      <c r="BH410" s="592"/>
      <c r="BI410" s="592"/>
      <c r="BJ410" s="592"/>
      <c r="BK410" s="592"/>
      <c r="BL410" s="592"/>
      <c r="BM410" s="592"/>
      <c r="BN410" s="592"/>
      <c r="BO410" s="592"/>
      <c r="BP410" s="592"/>
      <c r="BQ410" s="592"/>
    </row>
    <row r="411" spans="1:69" ht="12" customHeight="1" x14ac:dyDescent="0.15">
      <c r="A411" s="592"/>
      <c r="B411" s="658"/>
      <c r="C411" s="658"/>
      <c r="D411" s="658"/>
      <c r="E411" s="658"/>
      <c r="F411" s="658"/>
      <c r="G411" s="658"/>
      <c r="H411" s="658"/>
      <c r="I411" s="658"/>
      <c r="J411" s="658"/>
      <c r="K411" s="658"/>
      <c r="L411" s="658"/>
      <c r="M411" s="658"/>
      <c r="N411" s="658"/>
      <c r="O411" s="658"/>
      <c r="P411" s="658"/>
      <c r="Q411" s="658"/>
      <c r="R411" s="658"/>
      <c r="S411" s="658"/>
      <c r="T411" s="658"/>
      <c r="U411" s="658"/>
      <c r="V411" s="658"/>
      <c r="W411" s="658"/>
      <c r="X411" s="658"/>
      <c r="Y411" s="658"/>
      <c r="Z411" s="658"/>
      <c r="AA411" s="658"/>
      <c r="AB411" s="658"/>
      <c r="AC411" s="658"/>
      <c r="AD411" s="658"/>
      <c r="AE411" s="658"/>
      <c r="AF411" s="658"/>
      <c r="AG411" s="658"/>
      <c r="AH411" s="658"/>
      <c r="AI411" s="658"/>
      <c r="AJ411" s="658"/>
      <c r="AK411" s="658"/>
      <c r="AL411" s="658"/>
      <c r="AM411" s="658"/>
      <c r="AN411" s="658"/>
      <c r="AO411" s="658"/>
      <c r="AP411" s="658"/>
      <c r="AQ411" s="658"/>
      <c r="AR411" s="658"/>
      <c r="AS411" s="658"/>
      <c r="AT411" s="658"/>
      <c r="AU411" s="658"/>
      <c r="AV411" s="658"/>
      <c r="AW411" s="658"/>
      <c r="AX411" s="658"/>
      <c r="AY411" s="658"/>
      <c r="AZ411" s="658"/>
      <c r="BA411" s="658"/>
      <c r="BB411" s="658"/>
      <c r="BC411" s="658"/>
      <c r="BD411" s="658"/>
      <c r="BE411" s="658"/>
      <c r="BF411" s="658"/>
      <c r="BG411" s="658"/>
      <c r="BH411" s="592"/>
      <c r="BI411" s="592"/>
      <c r="BJ411" s="592"/>
      <c r="BK411" s="592"/>
      <c r="BL411" s="592"/>
      <c r="BM411" s="592"/>
      <c r="BN411" s="592"/>
      <c r="BO411" s="592"/>
      <c r="BP411" s="592"/>
      <c r="BQ411" s="592"/>
    </row>
    <row r="412" spans="1:69" ht="12" customHeight="1" x14ac:dyDescent="0.15">
      <c r="A412" s="592"/>
      <c r="B412" s="658"/>
      <c r="C412" s="658"/>
      <c r="D412" s="658"/>
      <c r="E412" s="658"/>
      <c r="F412" s="658"/>
      <c r="G412" s="658"/>
      <c r="H412" s="658"/>
      <c r="I412" s="658"/>
      <c r="J412" s="658"/>
      <c r="K412" s="658"/>
      <c r="L412" s="658"/>
      <c r="M412" s="658"/>
      <c r="N412" s="658"/>
      <c r="O412" s="658"/>
      <c r="P412" s="658"/>
      <c r="Q412" s="658"/>
      <c r="R412" s="658"/>
      <c r="S412" s="658"/>
      <c r="T412" s="658"/>
      <c r="U412" s="658"/>
      <c r="V412" s="658"/>
      <c r="W412" s="658"/>
      <c r="X412" s="658"/>
      <c r="Y412" s="658"/>
      <c r="Z412" s="658"/>
      <c r="AA412" s="658"/>
      <c r="AB412" s="658"/>
      <c r="AC412" s="658"/>
      <c r="AD412" s="658"/>
      <c r="AE412" s="658"/>
      <c r="AF412" s="658"/>
      <c r="AG412" s="658"/>
      <c r="AH412" s="658"/>
      <c r="AI412" s="658"/>
      <c r="AJ412" s="658"/>
      <c r="AK412" s="658"/>
      <c r="AL412" s="658"/>
      <c r="AM412" s="658"/>
      <c r="AN412" s="658"/>
      <c r="AO412" s="658"/>
      <c r="AP412" s="658"/>
      <c r="AQ412" s="658"/>
      <c r="AR412" s="658"/>
      <c r="AS412" s="658"/>
      <c r="AT412" s="658"/>
      <c r="AU412" s="658"/>
      <c r="AV412" s="658"/>
      <c r="AW412" s="658"/>
      <c r="AX412" s="658"/>
      <c r="AY412" s="658"/>
      <c r="AZ412" s="658"/>
      <c r="BA412" s="658"/>
      <c r="BB412" s="658"/>
      <c r="BC412" s="658"/>
      <c r="BD412" s="658"/>
      <c r="BE412" s="658"/>
      <c r="BF412" s="658"/>
      <c r="BG412" s="658"/>
      <c r="BH412" s="592"/>
      <c r="BI412" s="592"/>
      <c r="BJ412" s="592"/>
      <c r="BK412" s="592"/>
      <c r="BL412" s="592"/>
      <c r="BM412" s="592"/>
      <c r="BN412" s="592"/>
      <c r="BO412" s="592"/>
      <c r="BP412" s="592"/>
      <c r="BQ412" s="592"/>
    </row>
    <row r="413" spans="1:69" ht="12" customHeight="1" x14ac:dyDescent="0.15">
      <c r="A413" s="592"/>
      <c r="B413" s="658"/>
      <c r="C413" s="658"/>
      <c r="D413" s="658"/>
      <c r="E413" s="658"/>
      <c r="F413" s="658"/>
      <c r="G413" s="658"/>
      <c r="H413" s="658"/>
      <c r="I413" s="658"/>
      <c r="J413" s="658"/>
      <c r="K413" s="658"/>
      <c r="L413" s="658"/>
      <c r="M413" s="658"/>
      <c r="N413" s="658"/>
      <c r="O413" s="658"/>
      <c r="P413" s="658"/>
      <c r="Q413" s="658"/>
      <c r="R413" s="658"/>
      <c r="S413" s="658"/>
      <c r="T413" s="658"/>
      <c r="U413" s="658"/>
      <c r="V413" s="658"/>
      <c r="W413" s="658"/>
      <c r="X413" s="658"/>
      <c r="Y413" s="658"/>
      <c r="Z413" s="658"/>
      <c r="AA413" s="658"/>
      <c r="AB413" s="658"/>
      <c r="AC413" s="658"/>
      <c r="AD413" s="658"/>
      <c r="AE413" s="658"/>
      <c r="AF413" s="658"/>
      <c r="AG413" s="658"/>
      <c r="AH413" s="658"/>
      <c r="AI413" s="658"/>
      <c r="AJ413" s="658"/>
      <c r="AK413" s="658"/>
      <c r="AL413" s="658"/>
      <c r="AM413" s="658"/>
      <c r="AN413" s="658"/>
      <c r="AO413" s="658"/>
      <c r="AP413" s="658"/>
      <c r="AQ413" s="658"/>
      <c r="AR413" s="658"/>
      <c r="AS413" s="658"/>
      <c r="AT413" s="658"/>
      <c r="AU413" s="658"/>
      <c r="AV413" s="658"/>
      <c r="AW413" s="658"/>
      <c r="AX413" s="658"/>
      <c r="AY413" s="658"/>
      <c r="AZ413" s="658"/>
      <c r="BA413" s="658"/>
      <c r="BB413" s="658"/>
      <c r="BC413" s="658"/>
      <c r="BD413" s="658"/>
      <c r="BE413" s="658"/>
      <c r="BF413" s="658"/>
      <c r="BG413" s="658"/>
      <c r="BH413" s="592"/>
      <c r="BI413" s="592"/>
      <c r="BJ413" s="592"/>
      <c r="BK413" s="592"/>
      <c r="BL413" s="592"/>
      <c r="BM413" s="592"/>
      <c r="BN413" s="592"/>
      <c r="BO413" s="592"/>
      <c r="BP413" s="592"/>
      <c r="BQ413" s="592"/>
    </row>
    <row r="414" spans="1:69" ht="12" customHeight="1" x14ac:dyDescent="0.15">
      <c r="A414" s="592"/>
      <c r="B414" s="658"/>
      <c r="C414" s="658"/>
      <c r="D414" s="658"/>
      <c r="E414" s="658"/>
      <c r="F414" s="658"/>
      <c r="G414" s="658"/>
      <c r="H414" s="658"/>
      <c r="I414" s="658"/>
      <c r="J414" s="658"/>
      <c r="K414" s="658"/>
      <c r="L414" s="658"/>
      <c r="M414" s="658"/>
      <c r="N414" s="658"/>
      <c r="O414" s="658"/>
      <c r="P414" s="658"/>
      <c r="Q414" s="658"/>
      <c r="R414" s="658"/>
      <c r="S414" s="658"/>
      <c r="T414" s="658"/>
      <c r="U414" s="658"/>
      <c r="V414" s="658"/>
      <c r="W414" s="658"/>
      <c r="X414" s="658"/>
      <c r="Y414" s="658"/>
      <c r="Z414" s="658"/>
      <c r="AA414" s="658"/>
      <c r="AB414" s="658"/>
      <c r="AC414" s="658"/>
      <c r="AD414" s="658"/>
      <c r="AE414" s="658"/>
      <c r="AF414" s="658"/>
      <c r="AG414" s="658"/>
      <c r="AH414" s="658"/>
      <c r="AI414" s="658"/>
      <c r="AJ414" s="658"/>
      <c r="AK414" s="658"/>
      <c r="AL414" s="658"/>
      <c r="AM414" s="658"/>
      <c r="AN414" s="658"/>
      <c r="AO414" s="658"/>
      <c r="AP414" s="658"/>
      <c r="AQ414" s="658"/>
      <c r="AR414" s="658"/>
      <c r="AS414" s="658"/>
      <c r="AT414" s="658"/>
      <c r="AU414" s="658"/>
      <c r="AV414" s="658"/>
      <c r="AW414" s="658"/>
      <c r="AX414" s="658"/>
      <c r="AY414" s="658"/>
      <c r="AZ414" s="658"/>
      <c r="BA414" s="658"/>
      <c r="BB414" s="658"/>
      <c r="BC414" s="658"/>
      <c r="BD414" s="658"/>
      <c r="BE414" s="658"/>
      <c r="BF414" s="658"/>
      <c r="BG414" s="658"/>
      <c r="BH414" s="592"/>
      <c r="BI414" s="592"/>
      <c r="BJ414" s="592"/>
      <c r="BK414" s="592"/>
      <c r="BL414" s="592"/>
      <c r="BM414" s="592"/>
      <c r="BN414" s="592"/>
      <c r="BO414" s="592"/>
      <c r="BP414" s="592"/>
      <c r="BQ414" s="592"/>
    </row>
    <row r="415" spans="1:69" ht="12" customHeight="1" x14ac:dyDescent="0.15">
      <c r="A415" s="592"/>
      <c r="B415" s="658"/>
      <c r="C415" s="658"/>
      <c r="D415" s="658"/>
      <c r="E415" s="658"/>
      <c r="F415" s="658"/>
      <c r="G415" s="658"/>
      <c r="H415" s="658"/>
      <c r="I415" s="658"/>
      <c r="J415" s="658"/>
      <c r="K415" s="658"/>
      <c r="L415" s="658"/>
      <c r="M415" s="658"/>
      <c r="N415" s="658"/>
      <c r="O415" s="658"/>
      <c r="P415" s="658"/>
      <c r="Q415" s="658"/>
      <c r="R415" s="658"/>
      <c r="S415" s="658"/>
      <c r="T415" s="658"/>
      <c r="U415" s="658"/>
      <c r="V415" s="658"/>
      <c r="W415" s="658"/>
      <c r="X415" s="658"/>
      <c r="Y415" s="658"/>
      <c r="Z415" s="658"/>
      <c r="AA415" s="658"/>
      <c r="AB415" s="658"/>
      <c r="AC415" s="658"/>
      <c r="AD415" s="658"/>
      <c r="AE415" s="658"/>
      <c r="AF415" s="658"/>
      <c r="AG415" s="658"/>
      <c r="AH415" s="658"/>
      <c r="AI415" s="658"/>
      <c r="AJ415" s="658"/>
      <c r="AK415" s="658"/>
      <c r="AL415" s="658"/>
      <c r="AM415" s="658"/>
      <c r="AN415" s="658"/>
      <c r="AO415" s="658"/>
      <c r="AP415" s="658"/>
      <c r="AQ415" s="658"/>
      <c r="AR415" s="658"/>
      <c r="AS415" s="658"/>
      <c r="AT415" s="658"/>
      <c r="AU415" s="658"/>
      <c r="AV415" s="658"/>
      <c r="AW415" s="658"/>
      <c r="AX415" s="658"/>
      <c r="AY415" s="658"/>
      <c r="AZ415" s="658"/>
      <c r="BA415" s="658"/>
      <c r="BB415" s="658"/>
      <c r="BC415" s="658"/>
      <c r="BD415" s="658"/>
      <c r="BE415" s="658"/>
      <c r="BF415" s="658"/>
      <c r="BG415" s="658"/>
      <c r="BH415" s="592"/>
      <c r="BI415" s="592"/>
      <c r="BJ415" s="592"/>
      <c r="BK415" s="592"/>
      <c r="BL415" s="592"/>
      <c r="BM415" s="592"/>
      <c r="BN415" s="592"/>
      <c r="BO415" s="592"/>
      <c r="BP415" s="592"/>
      <c r="BQ415" s="592"/>
    </row>
    <row r="416" spans="1:69" ht="12" customHeight="1" x14ac:dyDescent="0.15">
      <c r="A416" s="592"/>
      <c r="B416" s="658"/>
      <c r="C416" s="658"/>
      <c r="D416" s="658"/>
      <c r="E416" s="658"/>
      <c r="F416" s="658"/>
      <c r="G416" s="658"/>
      <c r="H416" s="658"/>
      <c r="I416" s="658"/>
      <c r="J416" s="658"/>
      <c r="K416" s="658"/>
      <c r="L416" s="658"/>
      <c r="M416" s="658"/>
      <c r="N416" s="658"/>
      <c r="O416" s="658"/>
      <c r="P416" s="658"/>
      <c r="Q416" s="658"/>
      <c r="R416" s="658"/>
      <c r="S416" s="658"/>
      <c r="T416" s="658"/>
      <c r="U416" s="658"/>
      <c r="V416" s="658"/>
      <c r="W416" s="658"/>
      <c r="X416" s="658"/>
      <c r="Y416" s="658"/>
      <c r="Z416" s="658"/>
      <c r="AA416" s="658"/>
      <c r="AB416" s="658"/>
      <c r="AC416" s="658"/>
      <c r="AD416" s="658"/>
      <c r="AE416" s="658"/>
      <c r="AF416" s="658"/>
      <c r="AG416" s="658"/>
      <c r="AH416" s="658"/>
      <c r="AI416" s="658"/>
      <c r="AJ416" s="658"/>
      <c r="AK416" s="658"/>
      <c r="AL416" s="658"/>
      <c r="AM416" s="658"/>
      <c r="AN416" s="658"/>
      <c r="AO416" s="658"/>
      <c r="AP416" s="658"/>
      <c r="AQ416" s="658"/>
      <c r="AR416" s="658"/>
      <c r="AS416" s="658"/>
      <c r="AT416" s="658"/>
      <c r="AU416" s="658"/>
      <c r="AV416" s="658"/>
      <c r="AW416" s="658"/>
      <c r="AX416" s="658"/>
      <c r="AY416" s="658"/>
      <c r="AZ416" s="658"/>
      <c r="BA416" s="658"/>
      <c r="BB416" s="658"/>
      <c r="BC416" s="658"/>
      <c r="BD416" s="658"/>
      <c r="BE416" s="658"/>
      <c r="BF416" s="658"/>
      <c r="BG416" s="658"/>
      <c r="BH416" s="592"/>
      <c r="BI416" s="592"/>
      <c r="BJ416" s="592"/>
      <c r="BK416" s="592"/>
      <c r="BL416" s="592"/>
      <c r="BM416" s="592"/>
      <c r="BN416" s="592"/>
      <c r="BO416" s="592"/>
      <c r="BP416" s="592"/>
      <c r="BQ416" s="592"/>
    </row>
    <row r="417" spans="1:69" ht="12" customHeight="1" x14ac:dyDescent="0.15">
      <c r="A417" s="592"/>
      <c r="B417" s="658"/>
      <c r="C417" s="658"/>
      <c r="D417" s="658"/>
      <c r="E417" s="658"/>
      <c r="F417" s="658"/>
      <c r="G417" s="658"/>
      <c r="H417" s="658"/>
      <c r="I417" s="658"/>
      <c r="J417" s="658"/>
      <c r="K417" s="658"/>
      <c r="L417" s="658"/>
      <c r="M417" s="658"/>
      <c r="N417" s="658"/>
      <c r="O417" s="658"/>
      <c r="P417" s="658"/>
      <c r="Q417" s="658"/>
      <c r="R417" s="658"/>
      <c r="S417" s="658"/>
      <c r="T417" s="658"/>
      <c r="U417" s="658"/>
      <c r="V417" s="658"/>
      <c r="W417" s="658"/>
      <c r="X417" s="658"/>
      <c r="Y417" s="658"/>
      <c r="Z417" s="658"/>
      <c r="AA417" s="658"/>
      <c r="AB417" s="658"/>
      <c r="AC417" s="658"/>
      <c r="AD417" s="658"/>
      <c r="AE417" s="658"/>
      <c r="AF417" s="658"/>
      <c r="AG417" s="658"/>
      <c r="AH417" s="658"/>
      <c r="AI417" s="658"/>
      <c r="AJ417" s="658"/>
      <c r="AK417" s="658"/>
      <c r="AL417" s="658"/>
      <c r="AM417" s="658"/>
      <c r="AN417" s="658"/>
      <c r="AO417" s="658"/>
      <c r="AP417" s="658"/>
      <c r="AQ417" s="658"/>
      <c r="AR417" s="658"/>
      <c r="AS417" s="658"/>
      <c r="AT417" s="658"/>
      <c r="AU417" s="658"/>
      <c r="AV417" s="658"/>
      <c r="AW417" s="658"/>
      <c r="AX417" s="658"/>
      <c r="AY417" s="658"/>
      <c r="AZ417" s="658"/>
      <c r="BA417" s="658"/>
      <c r="BB417" s="658"/>
      <c r="BC417" s="658"/>
      <c r="BD417" s="658"/>
      <c r="BE417" s="658"/>
      <c r="BF417" s="658"/>
      <c r="BG417" s="658"/>
      <c r="BH417" s="592"/>
      <c r="BI417" s="592"/>
      <c r="BJ417" s="592"/>
      <c r="BK417" s="592"/>
      <c r="BL417" s="592"/>
      <c r="BM417" s="592"/>
      <c r="BN417" s="592"/>
      <c r="BO417" s="592"/>
      <c r="BP417" s="592"/>
      <c r="BQ417" s="592"/>
    </row>
    <row r="418" spans="1:69" ht="12" customHeight="1" x14ac:dyDescent="0.15">
      <c r="A418" s="592"/>
      <c r="B418" s="658"/>
      <c r="C418" s="658"/>
      <c r="D418" s="658"/>
      <c r="E418" s="658"/>
      <c r="F418" s="658"/>
      <c r="G418" s="658"/>
      <c r="H418" s="658"/>
      <c r="I418" s="658"/>
      <c r="J418" s="658"/>
      <c r="K418" s="658"/>
      <c r="L418" s="658"/>
      <c r="M418" s="658"/>
      <c r="N418" s="658"/>
      <c r="O418" s="658"/>
      <c r="P418" s="658"/>
      <c r="Q418" s="658"/>
      <c r="R418" s="658"/>
      <c r="S418" s="658"/>
      <c r="T418" s="658"/>
      <c r="U418" s="658"/>
      <c r="V418" s="658"/>
      <c r="W418" s="658"/>
      <c r="X418" s="658"/>
      <c r="Y418" s="658"/>
      <c r="Z418" s="658"/>
      <c r="AA418" s="658"/>
      <c r="AB418" s="658"/>
      <c r="AC418" s="658"/>
      <c r="AD418" s="658"/>
      <c r="AE418" s="658"/>
      <c r="AF418" s="658"/>
      <c r="AG418" s="658"/>
      <c r="AH418" s="658"/>
      <c r="AI418" s="658"/>
      <c r="AJ418" s="658"/>
      <c r="AK418" s="658"/>
      <c r="AL418" s="658"/>
      <c r="AM418" s="658"/>
      <c r="AN418" s="658"/>
      <c r="AO418" s="658"/>
      <c r="AP418" s="658"/>
      <c r="AQ418" s="658"/>
      <c r="AR418" s="658"/>
      <c r="AS418" s="658"/>
      <c r="AT418" s="658"/>
      <c r="AU418" s="658"/>
      <c r="AV418" s="658"/>
      <c r="AW418" s="658"/>
      <c r="AX418" s="658"/>
      <c r="AY418" s="658"/>
      <c r="AZ418" s="658"/>
      <c r="BA418" s="658"/>
      <c r="BB418" s="658"/>
      <c r="BC418" s="658"/>
      <c r="BD418" s="658"/>
      <c r="BE418" s="658"/>
      <c r="BF418" s="658"/>
      <c r="BG418" s="658"/>
      <c r="BH418" s="592"/>
      <c r="BI418" s="592"/>
      <c r="BJ418" s="592"/>
      <c r="BK418" s="592"/>
      <c r="BL418" s="592"/>
      <c r="BM418" s="592"/>
      <c r="BN418" s="592"/>
      <c r="BO418" s="592"/>
      <c r="BP418" s="592"/>
      <c r="BQ418" s="592"/>
    </row>
    <row r="419" spans="1:69" ht="12" customHeight="1" x14ac:dyDescent="0.15">
      <c r="A419" s="592"/>
      <c r="B419" s="658"/>
      <c r="C419" s="658"/>
      <c r="D419" s="658"/>
      <c r="E419" s="658"/>
      <c r="F419" s="658"/>
      <c r="G419" s="658"/>
      <c r="H419" s="658"/>
      <c r="I419" s="658"/>
      <c r="J419" s="658"/>
      <c r="K419" s="658"/>
      <c r="L419" s="658"/>
      <c r="M419" s="658"/>
      <c r="N419" s="658"/>
      <c r="O419" s="658"/>
      <c r="P419" s="658"/>
      <c r="Q419" s="658"/>
      <c r="R419" s="658"/>
      <c r="S419" s="658"/>
      <c r="T419" s="658"/>
      <c r="U419" s="658"/>
      <c r="V419" s="658"/>
      <c r="W419" s="658"/>
      <c r="X419" s="658"/>
      <c r="Y419" s="658"/>
      <c r="Z419" s="658"/>
      <c r="AA419" s="658"/>
      <c r="AB419" s="658"/>
      <c r="AC419" s="658"/>
      <c r="AD419" s="658"/>
      <c r="AE419" s="658"/>
      <c r="AF419" s="658"/>
      <c r="AG419" s="658"/>
      <c r="AH419" s="658"/>
      <c r="AI419" s="658"/>
      <c r="AJ419" s="658"/>
      <c r="AK419" s="658"/>
      <c r="AL419" s="658"/>
      <c r="AM419" s="658"/>
      <c r="AN419" s="658"/>
      <c r="AO419" s="658"/>
      <c r="AP419" s="658"/>
      <c r="AQ419" s="658"/>
      <c r="AR419" s="658"/>
      <c r="AS419" s="658"/>
      <c r="AT419" s="658"/>
      <c r="AU419" s="658"/>
      <c r="AV419" s="658"/>
      <c r="AW419" s="658"/>
      <c r="AX419" s="658"/>
      <c r="AY419" s="658"/>
      <c r="AZ419" s="658"/>
      <c r="BA419" s="658"/>
      <c r="BB419" s="658"/>
      <c r="BC419" s="658"/>
      <c r="BD419" s="658"/>
      <c r="BE419" s="658"/>
      <c r="BF419" s="658"/>
      <c r="BG419" s="658"/>
      <c r="BH419" s="592"/>
      <c r="BI419" s="592"/>
      <c r="BJ419" s="592"/>
      <c r="BK419" s="592"/>
      <c r="BL419" s="592"/>
      <c r="BM419" s="592"/>
      <c r="BN419" s="592"/>
      <c r="BO419" s="592"/>
      <c r="BP419" s="592"/>
      <c r="BQ419" s="592"/>
    </row>
    <row r="420" spans="1:69" ht="12" customHeight="1" x14ac:dyDescent="0.15">
      <c r="A420" s="592"/>
      <c r="B420" s="658"/>
      <c r="C420" s="658"/>
      <c r="D420" s="658"/>
      <c r="E420" s="658"/>
      <c r="F420" s="658"/>
      <c r="G420" s="658"/>
      <c r="H420" s="658"/>
      <c r="I420" s="658"/>
      <c r="J420" s="658"/>
      <c r="K420" s="658"/>
      <c r="L420" s="658"/>
      <c r="M420" s="658"/>
      <c r="N420" s="658"/>
      <c r="O420" s="658"/>
      <c r="P420" s="658"/>
      <c r="Q420" s="658"/>
      <c r="R420" s="658"/>
      <c r="S420" s="658"/>
      <c r="T420" s="658"/>
      <c r="U420" s="658"/>
      <c r="V420" s="658"/>
      <c r="W420" s="658"/>
      <c r="X420" s="658"/>
      <c r="Y420" s="658"/>
      <c r="Z420" s="658"/>
      <c r="AA420" s="658"/>
      <c r="AB420" s="658"/>
      <c r="AC420" s="658"/>
      <c r="AD420" s="658"/>
      <c r="AE420" s="658"/>
      <c r="AF420" s="658"/>
      <c r="AG420" s="658"/>
      <c r="AH420" s="658"/>
      <c r="AI420" s="658"/>
      <c r="AJ420" s="658"/>
      <c r="AK420" s="658"/>
      <c r="AL420" s="658"/>
      <c r="AM420" s="658"/>
      <c r="AN420" s="658"/>
      <c r="AO420" s="658"/>
      <c r="AP420" s="658"/>
      <c r="AQ420" s="658"/>
      <c r="AR420" s="658"/>
      <c r="AS420" s="658"/>
      <c r="AT420" s="658"/>
      <c r="AU420" s="658"/>
      <c r="AV420" s="658"/>
      <c r="AW420" s="658"/>
      <c r="AX420" s="658"/>
      <c r="AY420" s="658"/>
      <c r="AZ420" s="658"/>
      <c r="BA420" s="658"/>
      <c r="BB420" s="658"/>
      <c r="BC420" s="658"/>
      <c r="BD420" s="658"/>
      <c r="BE420" s="658"/>
      <c r="BF420" s="658"/>
      <c r="BG420" s="658"/>
      <c r="BH420" s="592"/>
      <c r="BI420" s="592"/>
      <c r="BJ420" s="592"/>
      <c r="BK420" s="592"/>
      <c r="BL420" s="592"/>
      <c r="BM420" s="592"/>
      <c r="BN420" s="592"/>
      <c r="BO420" s="592"/>
      <c r="BP420" s="592"/>
      <c r="BQ420" s="592"/>
    </row>
    <row r="421" spans="1:69" ht="12" customHeight="1" x14ac:dyDescent="0.15">
      <c r="A421" s="592"/>
      <c r="B421" s="658"/>
      <c r="C421" s="658"/>
      <c r="D421" s="658"/>
      <c r="E421" s="658"/>
      <c r="F421" s="658"/>
      <c r="G421" s="658"/>
      <c r="H421" s="658"/>
      <c r="I421" s="658"/>
      <c r="J421" s="658"/>
      <c r="K421" s="658"/>
      <c r="L421" s="658"/>
      <c r="M421" s="658"/>
      <c r="N421" s="658"/>
      <c r="O421" s="658"/>
      <c r="P421" s="658"/>
      <c r="Q421" s="658"/>
      <c r="R421" s="658"/>
      <c r="S421" s="658"/>
      <c r="T421" s="658"/>
      <c r="U421" s="658"/>
      <c r="V421" s="658"/>
      <c r="W421" s="658"/>
      <c r="X421" s="658"/>
      <c r="Y421" s="658"/>
      <c r="Z421" s="658"/>
      <c r="AA421" s="658"/>
      <c r="AB421" s="658"/>
      <c r="AC421" s="658"/>
      <c r="AD421" s="658"/>
      <c r="AE421" s="658"/>
      <c r="AF421" s="658"/>
      <c r="AG421" s="658"/>
      <c r="AH421" s="658"/>
      <c r="AI421" s="658"/>
      <c r="AJ421" s="658"/>
      <c r="AK421" s="658"/>
      <c r="AL421" s="658"/>
      <c r="AM421" s="658"/>
      <c r="AN421" s="658"/>
      <c r="AO421" s="658"/>
      <c r="AP421" s="658"/>
      <c r="AQ421" s="658"/>
      <c r="AR421" s="658"/>
      <c r="AS421" s="658"/>
      <c r="AT421" s="658"/>
      <c r="AU421" s="658"/>
      <c r="AV421" s="658"/>
      <c r="AW421" s="658"/>
      <c r="AX421" s="658"/>
      <c r="AY421" s="658"/>
      <c r="AZ421" s="658"/>
      <c r="BA421" s="658"/>
      <c r="BB421" s="658"/>
      <c r="BC421" s="658"/>
      <c r="BD421" s="658"/>
      <c r="BE421" s="658"/>
      <c r="BF421" s="658"/>
      <c r="BG421" s="658"/>
      <c r="BH421" s="592"/>
      <c r="BI421" s="592"/>
      <c r="BJ421" s="592"/>
      <c r="BK421" s="592"/>
      <c r="BL421" s="592"/>
      <c r="BM421" s="592"/>
      <c r="BN421" s="592"/>
      <c r="BO421" s="592"/>
      <c r="BP421" s="592"/>
      <c r="BQ421" s="592"/>
    </row>
    <row r="422" spans="1:69" ht="12" customHeight="1" x14ac:dyDescent="0.15">
      <c r="A422" s="592"/>
      <c r="B422" s="658"/>
      <c r="C422" s="658"/>
      <c r="D422" s="658"/>
      <c r="E422" s="658"/>
      <c r="F422" s="658"/>
      <c r="G422" s="658"/>
      <c r="H422" s="658"/>
      <c r="I422" s="658"/>
      <c r="J422" s="658"/>
      <c r="K422" s="658"/>
      <c r="L422" s="658"/>
      <c r="M422" s="658"/>
      <c r="N422" s="658"/>
      <c r="O422" s="658"/>
      <c r="P422" s="658"/>
      <c r="Q422" s="658"/>
      <c r="R422" s="658"/>
      <c r="S422" s="658"/>
      <c r="T422" s="658"/>
      <c r="U422" s="658"/>
      <c r="V422" s="658"/>
      <c r="W422" s="658"/>
      <c r="X422" s="658"/>
      <c r="Y422" s="658"/>
      <c r="Z422" s="658"/>
      <c r="AA422" s="658"/>
      <c r="AB422" s="658"/>
      <c r="AC422" s="658"/>
      <c r="AD422" s="658"/>
      <c r="AE422" s="658"/>
      <c r="AF422" s="658"/>
      <c r="AG422" s="658"/>
      <c r="AH422" s="658"/>
      <c r="AI422" s="658"/>
      <c r="AJ422" s="658"/>
      <c r="AK422" s="658"/>
      <c r="AL422" s="658"/>
      <c r="AM422" s="658"/>
      <c r="AN422" s="658"/>
      <c r="AO422" s="658"/>
      <c r="AP422" s="658"/>
      <c r="AQ422" s="658"/>
      <c r="AR422" s="658"/>
      <c r="AS422" s="658"/>
      <c r="AT422" s="658"/>
      <c r="AU422" s="658"/>
      <c r="AV422" s="658"/>
      <c r="AW422" s="658"/>
      <c r="AX422" s="658"/>
      <c r="AY422" s="658"/>
      <c r="AZ422" s="658"/>
      <c r="BA422" s="658"/>
      <c r="BB422" s="658"/>
      <c r="BC422" s="658"/>
      <c r="BD422" s="658"/>
      <c r="BE422" s="658"/>
      <c r="BF422" s="658"/>
      <c r="BG422" s="658"/>
      <c r="BH422" s="592"/>
      <c r="BI422" s="592"/>
      <c r="BJ422" s="592"/>
      <c r="BK422" s="592"/>
      <c r="BL422" s="592"/>
      <c r="BM422" s="592"/>
      <c r="BN422" s="592"/>
      <c r="BO422" s="592"/>
      <c r="BP422" s="592"/>
      <c r="BQ422" s="592"/>
    </row>
    <row r="423" spans="1:69" ht="12" customHeight="1" x14ac:dyDescent="0.15">
      <c r="A423" s="592"/>
      <c r="B423" s="658"/>
      <c r="C423" s="658"/>
      <c r="D423" s="658"/>
      <c r="E423" s="658"/>
      <c r="F423" s="658"/>
      <c r="G423" s="658"/>
      <c r="H423" s="658"/>
      <c r="I423" s="658"/>
      <c r="J423" s="658"/>
      <c r="K423" s="658"/>
      <c r="L423" s="658"/>
      <c r="M423" s="658"/>
      <c r="N423" s="658"/>
      <c r="O423" s="658"/>
      <c r="P423" s="658"/>
      <c r="Q423" s="658"/>
      <c r="R423" s="658"/>
      <c r="S423" s="658"/>
      <c r="T423" s="658"/>
      <c r="U423" s="658"/>
      <c r="V423" s="658"/>
      <c r="W423" s="658"/>
      <c r="X423" s="658"/>
      <c r="Y423" s="658"/>
      <c r="Z423" s="658"/>
      <c r="AA423" s="658"/>
      <c r="AB423" s="658"/>
      <c r="AC423" s="658"/>
      <c r="AD423" s="658"/>
      <c r="AE423" s="658"/>
      <c r="AF423" s="658"/>
      <c r="AG423" s="658"/>
      <c r="AH423" s="658"/>
      <c r="AI423" s="658"/>
      <c r="AJ423" s="658"/>
      <c r="AK423" s="658"/>
      <c r="AL423" s="658"/>
      <c r="AM423" s="658"/>
      <c r="AN423" s="658"/>
      <c r="AO423" s="658"/>
      <c r="AP423" s="658"/>
      <c r="AQ423" s="658"/>
      <c r="AR423" s="658"/>
      <c r="AS423" s="658"/>
      <c r="AT423" s="658"/>
      <c r="AU423" s="658"/>
      <c r="AV423" s="658"/>
      <c r="AW423" s="658"/>
      <c r="AX423" s="658"/>
      <c r="AY423" s="658"/>
      <c r="AZ423" s="658"/>
      <c r="BA423" s="658"/>
      <c r="BB423" s="658"/>
      <c r="BC423" s="658"/>
      <c r="BD423" s="658"/>
      <c r="BE423" s="658"/>
      <c r="BF423" s="658"/>
      <c r="BG423" s="658"/>
      <c r="BH423" s="592"/>
      <c r="BI423" s="592"/>
      <c r="BJ423" s="592"/>
      <c r="BK423" s="592"/>
      <c r="BL423" s="592"/>
      <c r="BM423" s="592"/>
      <c r="BN423" s="592"/>
      <c r="BO423" s="592"/>
      <c r="BP423" s="592"/>
      <c r="BQ423" s="592"/>
    </row>
    <row r="424" spans="1:69" ht="12" customHeight="1" x14ac:dyDescent="0.15">
      <c r="A424" s="592"/>
      <c r="B424" s="658"/>
      <c r="C424" s="658"/>
      <c r="D424" s="658"/>
      <c r="E424" s="658"/>
      <c r="F424" s="658"/>
      <c r="G424" s="658"/>
      <c r="H424" s="658"/>
      <c r="I424" s="658"/>
      <c r="J424" s="658"/>
      <c r="K424" s="658"/>
      <c r="L424" s="658"/>
      <c r="M424" s="658"/>
      <c r="N424" s="658"/>
      <c r="O424" s="658"/>
      <c r="P424" s="658"/>
      <c r="Q424" s="658"/>
      <c r="R424" s="658"/>
      <c r="S424" s="658"/>
      <c r="T424" s="658"/>
      <c r="U424" s="658"/>
      <c r="V424" s="658"/>
      <c r="W424" s="658"/>
      <c r="X424" s="658"/>
      <c r="Y424" s="658"/>
      <c r="Z424" s="658"/>
      <c r="AA424" s="658"/>
      <c r="AB424" s="658"/>
      <c r="AC424" s="658"/>
      <c r="AD424" s="658"/>
      <c r="AE424" s="658"/>
      <c r="AF424" s="658"/>
      <c r="AG424" s="658"/>
      <c r="AH424" s="658"/>
      <c r="AI424" s="658"/>
      <c r="AJ424" s="658"/>
      <c r="AK424" s="658"/>
      <c r="AL424" s="658"/>
      <c r="AM424" s="658"/>
      <c r="AN424" s="658"/>
      <c r="AO424" s="658"/>
      <c r="AP424" s="658"/>
      <c r="AQ424" s="658"/>
      <c r="AR424" s="658"/>
      <c r="AS424" s="658"/>
      <c r="AT424" s="658"/>
      <c r="AU424" s="658"/>
      <c r="AV424" s="658"/>
      <c r="AW424" s="658"/>
      <c r="AX424" s="658"/>
      <c r="AY424" s="658"/>
      <c r="AZ424" s="658"/>
      <c r="BA424" s="658"/>
      <c r="BB424" s="658"/>
      <c r="BC424" s="658"/>
      <c r="BD424" s="658"/>
      <c r="BE424" s="658"/>
      <c r="BF424" s="658"/>
      <c r="BG424" s="658"/>
      <c r="BH424" s="592"/>
      <c r="BI424" s="592"/>
      <c r="BJ424" s="592"/>
      <c r="BK424" s="592"/>
      <c r="BL424" s="592"/>
      <c r="BM424" s="592"/>
      <c r="BN424" s="592"/>
      <c r="BO424" s="592"/>
      <c r="BP424" s="592"/>
      <c r="BQ424" s="592"/>
    </row>
    <row r="425" spans="1:69" ht="12" customHeight="1" x14ac:dyDescent="0.15">
      <c r="A425" s="592"/>
      <c r="B425" s="658"/>
      <c r="C425" s="658"/>
      <c r="D425" s="658"/>
      <c r="E425" s="658"/>
      <c r="F425" s="658"/>
      <c r="G425" s="658"/>
      <c r="H425" s="658"/>
      <c r="I425" s="658"/>
      <c r="J425" s="658"/>
      <c r="K425" s="658"/>
      <c r="L425" s="658"/>
      <c r="M425" s="658"/>
      <c r="N425" s="658"/>
      <c r="O425" s="658"/>
      <c r="P425" s="658"/>
      <c r="Q425" s="658"/>
      <c r="R425" s="658"/>
      <c r="S425" s="658"/>
      <c r="T425" s="658"/>
      <c r="U425" s="658"/>
      <c r="V425" s="658"/>
      <c r="W425" s="658"/>
      <c r="X425" s="658"/>
      <c r="Y425" s="658"/>
      <c r="Z425" s="658"/>
      <c r="AA425" s="658"/>
      <c r="AB425" s="658"/>
      <c r="AC425" s="658"/>
      <c r="AD425" s="658"/>
      <c r="AE425" s="658"/>
      <c r="AF425" s="658"/>
      <c r="AG425" s="658"/>
      <c r="AH425" s="658"/>
      <c r="AI425" s="658"/>
      <c r="AJ425" s="658"/>
      <c r="AK425" s="658"/>
      <c r="AL425" s="658"/>
      <c r="AM425" s="658"/>
      <c r="AN425" s="658"/>
      <c r="AO425" s="658"/>
      <c r="AP425" s="658"/>
      <c r="AQ425" s="658"/>
      <c r="AR425" s="658"/>
      <c r="AS425" s="658"/>
      <c r="AT425" s="658"/>
      <c r="AU425" s="658"/>
      <c r="AV425" s="658"/>
      <c r="AW425" s="658"/>
      <c r="AX425" s="658"/>
      <c r="AY425" s="658"/>
      <c r="AZ425" s="658"/>
      <c r="BA425" s="658"/>
      <c r="BB425" s="658"/>
      <c r="BC425" s="658"/>
      <c r="BD425" s="658"/>
      <c r="BE425" s="658"/>
      <c r="BF425" s="658"/>
      <c r="BG425" s="658"/>
      <c r="BH425" s="592"/>
      <c r="BI425" s="592"/>
      <c r="BJ425" s="592"/>
      <c r="BK425" s="592"/>
      <c r="BL425" s="592"/>
      <c r="BM425" s="592"/>
      <c r="BN425" s="592"/>
      <c r="BO425" s="592"/>
      <c r="BP425" s="592"/>
      <c r="BQ425" s="592"/>
    </row>
    <row r="426" spans="1:69" ht="12" customHeight="1" x14ac:dyDescent="0.15">
      <c r="A426" s="592"/>
      <c r="B426" s="658"/>
      <c r="C426" s="658"/>
      <c r="D426" s="658"/>
      <c r="E426" s="658"/>
      <c r="F426" s="658"/>
      <c r="G426" s="658"/>
      <c r="H426" s="658"/>
      <c r="I426" s="658"/>
      <c r="J426" s="658"/>
      <c r="K426" s="658"/>
      <c r="L426" s="658"/>
      <c r="M426" s="658"/>
      <c r="N426" s="658"/>
      <c r="O426" s="658"/>
      <c r="P426" s="658"/>
      <c r="Q426" s="658"/>
      <c r="R426" s="658"/>
      <c r="S426" s="658"/>
      <c r="T426" s="658"/>
      <c r="U426" s="658"/>
      <c r="V426" s="658"/>
      <c r="W426" s="658"/>
      <c r="X426" s="658"/>
      <c r="Y426" s="658"/>
      <c r="Z426" s="658"/>
      <c r="AA426" s="658"/>
      <c r="AB426" s="658"/>
      <c r="AC426" s="658"/>
      <c r="AD426" s="658"/>
      <c r="AE426" s="658"/>
      <c r="AF426" s="658"/>
      <c r="AG426" s="658"/>
      <c r="AH426" s="658"/>
      <c r="AI426" s="658"/>
      <c r="AJ426" s="658"/>
      <c r="AK426" s="658"/>
      <c r="AL426" s="658"/>
      <c r="AM426" s="658"/>
      <c r="AN426" s="658"/>
      <c r="AO426" s="658"/>
      <c r="AP426" s="658"/>
      <c r="AQ426" s="658"/>
      <c r="AR426" s="658"/>
      <c r="AS426" s="658"/>
      <c r="AT426" s="658"/>
      <c r="AU426" s="658"/>
      <c r="AV426" s="658"/>
      <c r="AW426" s="658"/>
      <c r="AX426" s="658"/>
      <c r="AY426" s="658"/>
      <c r="AZ426" s="658"/>
      <c r="BA426" s="658"/>
      <c r="BB426" s="658"/>
      <c r="BC426" s="658"/>
      <c r="BD426" s="658"/>
      <c r="BE426" s="658"/>
      <c r="BF426" s="658"/>
      <c r="BG426" s="658"/>
      <c r="BH426" s="592"/>
      <c r="BI426" s="592"/>
      <c r="BJ426" s="592"/>
      <c r="BK426" s="592"/>
      <c r="BL426" s="592"/>
      <c r="BM426" s="592"/>
      <c r="BN426" s="592"/>
      <c r="BO426" s="592"/>
      <c r="BP426" s="592"/>
      <c r="BQ426" s="592"/>
    </row>
    <row r="427" spans="1:69" ht="12" customHeight="1" x14ac:dyDescent="0.15">
      <c r="A427" s="592"/>
      <c r="B427" s="658"/>
      <c r="C427" s="658"/>
      <c r="D427" s="658"/>
      <c r="E427" s="658"/>
      <c r="F427" s="658"/>
      <c r="G427" s="658"/>
      <c r="H427" s="658"/>
      <c r="I427" s="658"/>
      <c r="J427" s="658"/>
      <c r="K427" s="658"/>
      <c r="L427" s="658"/>
      <c r="M427" s="658"/>
      <c r="N427" s="658"/>
      <c r="O427" s="658"/>
      <c r="P427" s="658"/>
      <c r="Q427" s="658"/>
      <c r="R427" s="658"/>
      <c r="S427" s="658"/>
      <c r="T427" s="658"/>
      <c r="U427" s="658"/>
      <c r="V427" s="658"/>
      <c r="W427" s="658"/>
      <c r="X427" s="658"/>
      <c r="Y427" s="658"/>
      <c r="Z427" s="658"/>
      <c r="AA427" s="658"/>
      <c r="AB427" s="658"/>
      <c r="AC427" s="658"/>
      <c r="AD427" s="658"/>
      <c r="AE427" s="658"/>
      <c r="AF427" s="658"/>
      <c r="AG427" s="658"/>
      <c r="AH427" s="658"/>
      <c r="AI427" s="658"/>
      <c r="AJ427" s="658"/>
      <c r="AK427" s="658"/>
      <c r="AL427" s="658"/>
      <c r="AM427" s="658"/>
      <c r="AN427" s="658"/>
      <c r="AO427" s="658"/>
      <c r="AP427" s="658"/>
      <c r="AQ427" s="658"/>
      <c r="AR427" s="658"/>
      <c r="AS427" s="658"/>
      <c r="AT427" s="658"/>
      <c r="AU427" s="658"/>
      <c r="AV427" s="658"/>
      <c r="AW427" s="658"/>
      <c r="AX427" s="658"/>
      <c r="AY427" s="658"/>
      <c r="AZ427" s="658"/>
      <c r="BA427" s="658"/>
      <c r="BB427" s="658"/>
      <c r="BC427" s="658"/>
      <c r="BD427" s="658"/>
      <c r="BE427" s="658"/>
      <c r="BF427" s="658"/>
      <c r="BG427" s="658"/>
      <c r="BH427" s="592"/>
      <c r="BI427" s="592"/>
      <c r="BJ427" s="592"/>
      <c r="BK427" s="592"/>
      <c r="BL427" s="592"/>
      <c r="BM427" s="592"/>
      <c r="BN427" s="592"/>
      <c r="BO427" s="592"/>
      <c r="BP427" s="592"/>
      <c r="BQ427" s="592"/>
    </row>
    <row r="428" spans="1:69" ht="12" customHeight="1" x14ac:dyDescent="0.15">
      <c r="A428" s="592"/>
      <c r="B428" s="658"/>
      <c r="C428" s="658"/>
      <c r="D428" s="658"/>
      <c r="E428" s="658"/>
      <c r="F428" s="658"/>
      <c r="G428" s="658"/>
      <c r="H428" s="658"/>
      <c r="I428" s="658"/>
      <c r="J428" s="658"/>
      <c r="K428" s="658"/>
      <c r="L428" s="658"/>
      <c r="M428" s="658"/>
      <c r="N428" s="658"/>
      <c r="O428" s="658"/>
      <c r="P428" s="658"/>
      <c r="Q428" s="658"/>
      <c r="R428" s="658"/>
      <c r="S428" s="658"/>
      <c r="T428" s="658"/>
      <c r="U428" s="658"/>
      <c r="V428" s="658"/>
      <c r="W428" s="658"/>
      <c r="X428" s="658"/>
      <c r="Y428" s="658"/>
      <c r="Z428" s="658"/>
      <c r="AA428" s="658"/>
      <c r="AB428" s="658"/>
      <c r="AC428" s="658"/>
      <c r="AD428" s="658"/>
      <c r="AE428" s="658"/>
      <c r="AF428" s="658"/>
      <c r="AG428" s="658"/>
      <c r="AH428" s="658"/>
      <c r="AI428" s="658"/>
      <c r="AJ428" s="658"/>
      <c r="AK428" s="658"/>
      <c r="AL428" s="658"/>
      <c r="AM428" s="658"/>
      <c r="AN428" s="658"/>
      <c r="AO428" s="658"/>
      <c r="AP428" s="658"/>
      <c r="AQ428" s="658"/>
      <c r="AR428" s="658"/>
      <c r="AS428" s="658"/>
      <c r="AT428" s="658"/>
      <c r="AU428" s="658"/>
      <c r="AV428" s="658"/>
      <c r="AW428" s="658"/>
      <c r="AX428" s="658"/>
      <c r="AY428" s="658"/>
      <c r="AZ428" s="658"/>
      <c r="BA428" s="658"/>
      <c r="BB428" s="658"/>
      <c r="BC428" s="658"/>
      <c r="BD428" s="658"/>
      <c r="BE428" s="658"/>
      <c r="BF428" s="658"/>
      <c r="BG428" s="658"/>
      <c r="BH428" s="592"/>
      <c r="BI428" s="592"/>
      <c r="BJ428" s="592"/>
      <c r="BK428" s="592"/>
      <c r="BL428" s="592"/>
      <c r="BM428" s="592"/>
      <c r="BN428" s="592"/>
      <c r="BO428" s="592"/>
      <c r="BP428" s="592"/>
      <c r="BQ428" s="592"/>
    </row>
    <row r="429" spans="1:69" ht="12" customHeight="1" x14ac:dyDescent="0.15">
      <c r="A429" s="592"/>
      <c r="B429" s="658"/>
      <c r="C429" s="658"/>
      <c r="D429" s="658"/>
      <c r="E429" s="658"/>
      <c r="F429" s="658"/>
      <c r="G429" s="658"/>
      <c r="H429" s="658"/>
      <c r="I429" s="658"/>
      <c r="J429" s="658"/>
      <c r="K429" s="658"/>
      <c r="L429" s="658"/>
      <c r="M429" s="658"/>
      <c r="N429" s="658"/>
      <c r="O429" s="658"/>
      <c r="P429" s="658"/>
      <c r="Q429" s="658"/>
      <c r="R429" s="658"/>
      <c r="S429" s="658"/>
      <c r="T429" s="658"/>
      <c r="U429" s="658"/>
      <c r="V429" s="658"/>
      <c r="W429" s="658"/>
      <c r="X429" s="658"/>
      <c r="Y429" s="658"/>
      <c r="Z429" s="658"/>
      <c r="AA429" s="658"/>
      <c r="AB429" s="658"/>
      <c r="AC429" s="658"/>
      <c r="AD429" s="658"/>
      <c r="AE429" s="658"/>
      <c r="AF429" s="658"/>
      <c r="AG429" s="658"/>
      <c r="AH429" s="658"/>
      <c r="AI429" s="658"/>
      <c r="AJ429" s="658"/>
      <c r="AK429" s="658"/>
      <c r="AL429" s="658"/>
      <c r="AM429" s="658"/>
      <c r="AN429" s="658"/>
      <c r="AO429" s="658"/>
      <c r="AP429" s="658"/>
      <c r="AQ429" s="658"/>
      <c r="AR429" s="658"/>
      <c r="AS429" s="658"/>
      <c r="AT429" s="658"/>
      <c r="AU429" s="658"/>
      <c r="AV429" s="658"/>
      <c r="AW429" s="658"/>
      <c r="AX429" s="658"/>
      <c r="AY429" s="658"/>
      <c r="AZ429" s="658"/>
      <c r="BA429" s="658"/>
      <c r="BB429" s="658"/>
      <c r="BC429" s="658"/>
      <c r="BD429" s="658"/>
      <c r="BE429" s="658"/>
      <c r="BF429" s="658"/>
      <c r="BG429" s="658"/>
      <c r="BH429" s="592"/>
      <c r="BI429" s="592"/>
      <c r="BJ429" s="592"/>
      <c r="BK429" s="592"/>
      <c r="BL429" s="592"/>
      <c r="BM429" s="592"/>
      <c r="BN429" s="592"/>
      <c r="BO429" s="592"/>
      <c r="BP429" s="592"/>
      <c r="BQ429" s="592"/>
    </row>
    <row r="430" spans="1:69" ht="12" customHeight="1" x14ac:dyDescent="0.15">
      <c r="A430" s="592"/>
      <c r="B430" s="658"/>
      <c r="C430" s="658"/>
      <c r="D430" s="658"/>
      <c r="E430" s="658"/>
      <c r="F430" s="658"/>
      <c r="G430" s="658"/>
      <c r="H430" s="658"/>
      <c r="I430" s="658"/>
      <c r="J430" s="658"/>
      <c r="K430" s="658"/>
      <c r="L430" s="658"/>
      <c r="M430" s="658"/>
      <c r="N430" s="658"/>
      <c r="O430" s="658"/>
      <c r="P430" s="658"/>
      <c r="Q430" s="658"/>
      <c r="R430" s="658"/>
      <c r="S430" s="658"/>
      <c r="T430" s="658"/>
      <c r="U430" s="658"/>
      <c r="V430" s="658"/>
      <c r="W430" s="658"/>
      <c r="X430" s="658"/>
      <c r="Y430" s="658"/>
      <c r="Z430" s="658"/>
      <c r="AA430" s="658"/>
      <c r="AB430" s="658"/>
      <c r="AC430" s="658"/>
      <c r="AD430" s="658"/>
      <c r="AE430" s="658"/>
      <c r="AF430" s="658"/>
      <c r="AG430" s="658"/>
      <c r="AH430" s="658"/>
      <c r="AI430" s="658"/>
      <c r="AJ430" s="658"/>
      <c r="AK430" s="658"/>
      <c r="AL430" s="658"/>
      <c r="AM430" s="658"/>
      <c r="AN430" s="658"/>
      <c r="AO430" s="658"/>
      <c r="AP430" s="658"/>
      <c r="AQ430" s="658"/>
      <c r="AR430" s="658"/>
      <c r="AS430" s="658"/>
      <c r="AT430" s="658"/>
      <c r="AU430" s="658"/>
      <c r="AV430" s="658"/>
      <c r="AW430" s="658"/>
      <c r="AX430" s="658"/>
      <c r="AY430" s="658"/>
      <c r="AZ430" s="658"/>
      <c r="BA430" s="658"/>
      <c r="BB430" s="658"/>
      <c r="BC430" s="658"/>
      <c r="BD430" s="658"/>
      <c r="BE430" s="658"/>
      <c r="BF430" s="658"/>
      <c r="BG430" s="658"/>
      <c r="BH430" s="592"/>
      <c r="BI430" s="592"/>
      <c r="BJ430" s="592"/>
      <c r="BK430" s="592"/>
      <c r="BL430" s="592"/>
      <c r="BM430" s="592"/>
      <c r="BN430" s="592"/>
      <c r="BO430" s="592"/>
      <c r="BP430" s="592"/>
      <c r="BQ430" s="592"/>
    </row>
    <row r="431" spans="1:69" ht="12" customHeight="1" x14ac:dyDescent="0.15">
      <c r="A431" s="592"/>
      <c r="B431" s="658"/>
      <c r="C431" s="658"/>
      <c r="D431" s="658"/>
      <c r="E431" s="658"/>
      <c r="F431" s="658"/>
      <c r="G431" s="658"/>
      <c r="H431" s="658"/>
      <c r="I431" s="658"/>
      <c r="J431" s="658"/>
      <c r="K431" s="658"/>
      <c r="L431" s="658"/>
      <c r="M431" s="658"/>
      <c r="N431" s="658"/>
      <c r="O431" s="658"/>
      <c r="P431" s="658"/>
      <c r="Q431" s="658"/>
      <c r="R431" s="658"/>
      <c r="S431" s="658"/>
      <c r="T431" s="658"/>
      <c r="U431" s="658"/>
      <c r="V431" s="658"/>
      <c r="W431" s="658"/>
      <c r="X431" s="658"/>
      <c r="Y431" s="658"/>
      <c r="Z431" s="658"/>
      <c r="AA431" s="658"/>
      <c r="AB431" s="658"/>
      <c r="AC431" s="658"/>
      <c r="AD431" s="658"/>
      <c r="AE431" s="658"/>
      <c r="AF431" s="658"/>
      <c r="AG431" s="658"/>
      <c r="AH431" s="658"/>
      <c r="AI431" s="658"/>
      <c r="AJ431" s="658"/>
      <c r="AK431" s="658"/>
      <c r="AL431" s="658"/>
      <c r="AM431" s="658"/>
      <c r="AN431" s="658"/>
      <c r="AO431" s="658"/>
      <c r="AP431" s="658"/>
      <c r="AQ431" s="658"/>
      <c r="AR431" s="658"/>
      <c r="AS431" s="658"/>
      <c r="AT431" s="658"/>
      <c r="AU431" s="658"/>
      <c r="AV431" s="658"/>
      <c r="AW431" s="658"/>
      <c r="AX431" s="658"/>
      <c r="AY431" s="658"/>
      <c r="AZ431" s="658"/>
      <c r="BA431" s="658"/>
      <c r="BB431" s="658"/>
      <c r="BC431" s="658"/>
      <c r="BD431" s="658"/>
      <c r="BE431" s="658"/>
      <c r="BF431" s="658"/>
      <c r="BG431" s="658"/>
      <c r="BH431" s="592"/>
      <c r="BI431" s="592"/>
      <c r="BJ431" s="592"/>
      <c r="BK431" s="592"/>
      <c r="BL431" s="592"/>
      <c r="BM431" s="592"/>
      <c r="BN431" s="592"/>
      <c r="BO431" s="592"/>
      <c r="BP431" s="592"/>
      <c r="BQ431" s="592"/>
    </row>
    <row r="432" spans="1:69" ht="12" customHeight="1" x14ac:dyDescent="0.15">
      <c r="A432" s="592"/>
      <c r="B432" s="658"/>
      <c r="C432" s="658"/>
      <c r="D432" s="658"/>
      <c r="E432" s="658"/>
      <c r="F432" s="658"/>
      <c r="G432" s="658"/>
      <c r="H432" s="658"/>
      <c r="I432" s="658"/>
      <c r="J432" s="658"/>
      <c r="K432" s="658"/>
      <c r="L432" s="658"/>
      <c r="M432" s="658"/>
      <c r="N432" s="658"/>
      <c r="O432" s="658"/>
      <c r="P432" s="658"/>
      <c r="Q432" s="658"/>
      <c r="R432" s="658"/>
      <c r="S432" s="658"/>
      <c r="T432" s="658"/>
      <c r="U432" s="658"/>
      <c r="V432" s="658"/>
      <c r="W432" s="658"/>
      <c r="X432" s="658"/>
      <c r="Y432" s="658"/>
      <c r="Z432" s="658"/>
      <c r="AA432" s="658"/>
      <c r="AB432" s="658"/>
      <c r="AC432" s="658"/>
      <c r="AD432" s="658"/>
      <c r="AE432" s="658"/>
      <c r="AF432" s="658"/>
      <c r="AG432" s="658"/>
      <c r="AH432" s="658"/>
      <c r="AI432" s="658"/>
      <c r="AJ432" s="658"/>
      <c r="AK432" s="658"/>
      <c r="AL432" s="658"/>
      <c r="AM432" s="658"/>
      <c r="AN432" s="658"/>
      <c r="AO432" s="658"/>
      <c r="AP432" s="658"/>
      <c r="AQ432" s="658"/>
      <c r="AR432" s="658"/>
      <c r="AS432" s="658"/>
      <c r="AT432" s="658"/>
      <c r="AU432" s="658"/>
      <c r="AV432" s="658"/>
      <c r="AW432" s="658"/>
      <c r="AX432" s="658"/>
      <c r="AY432" s="658"/>
      <c r="AZ432" s="658"/>
      <c r="BA432" s="658"/>
      <c r="BB432" s="658"/>
      <c r="BC432" s="658"/>
      <c r="BD432" s="658"/>
      <c r="BE432" s="658"/>
      <c r="BF432" s="658"/>
      <c r="BG432" s="658"/>
      <c r="BH432" s="592"/>
      <c r="BI432" s="592"/>
      <c r="BJ432" s="592"/>
      <c r="BK432" s="592"/>
      <c r="BL432" s="592"/>
      <c r="BM432" s="592"/>
      <c r="BN432" s="592"/>
      <c r="BO432" s="592"/>
      <c r="BP432" s="592"/>
      <c r="BQ432" s="592"/>
    </row>
    <row r="433" spans="1:69" ht="12" customHeight="1" x14ac:dyDescent="0.15">
      <c r="A433" s="592"/>
      <c r="B433" s="658"/>
      <c r="C433" s="658"/>
      <c r="D433" s="658"/>
      <c r="E433" s="658"/>
      <c r="F433" s="658"/>
      <c r="G433" s="658"/>
      <c r="H433" s="658"/>
      <c r="I433" s="658"/>
      <c r="J433" s="658"/>
      <c r="K433" s="658"/>
      <c r="L433" s="658"/>
      <c r="M433" s="658"/>
      <c r="N433" s="658"/>
      <c r="O433" s="658"/>
      <c r="P433" s="658"/>
      <c r="Q433" s="658"/>
      <c r="R433" s="658"/>
      <c r="S433" s="658"/>
      <c r="T433" s="658"/>
      <c r="U433" s="658"/>
      <c r="V433" s="658"/>
      <c r="W433" s="658"/>
      <c r="X433" s="658"/>
      <c r="Y433" s="658"/>
      <c r="Z433" s="658"/>
      <c r="AA433" s="658"/>
      <c r="AB433" s="658"/>
      <c r="AC433" s="658"/>
      <c r="AD433" s="658"/>
      <c r="AE433" s="658"/>
      <c r="AF433" s="658"/>
      <c r="AG433" s="658"/>
      <c r="AH433" s="658"/>
      <c r="AI433" s="658"/>
      <c r="AJ433" s="658"/>
      <c r="AK433" s="658"/>
      <c r="AL433" s="658"/>
      <c r="AM433" s="658"/>
      <c r="AN433" s="658"/>
      <c r="AO433" s="658"/>
      <c r="AP433" s="658"/>
      <c r="AQ433" s="658"/>
      <c r="AR433" s="658"/>
      <c r="AS433" s="658"/>
      <c r="AT433" s="658"/>
      <c r="AU433" s="658"/>
      <c r="AV433" s="658"/>
      <c r="AW433" s="658"/>
      <c r="AX433" s="658"/>
      <c r="AY433" s="658"/>
      <c r="AZ433" s="658"/>
      <c r="BA433" s="658"/>
      <c r="BB433" s="658"/>
      <c r="BC433" s="658"/>
      <c r="BD433" s="658"/>
      <c r="BE433" s="658"/>
      <c r="BF433" s="658"/>
      <c r="BG433" s="658"/>
      <c r="BH433" s="592"/>
      <c r="BI433" s="592"/>
      <c r="BJ433" s="592"/>
      <c r="BK433" s="592"/>
      <c r="BL433" s="592"/>
      <c r="BM433" s="592"/>
      <c r="BN433" s="592"/>
      <c r="BO433" s="592"/>
      <c r="BP433" s="592"/>
      <c r="BQ433" s="592"/>
    </row>
    <row r="434" spans="1:69" ht="12" customHeight="1" x14ac:dyDescent="0.15">
      <c r="A434" s="592"/>
      <c r="B434" s="658"/>
      <c r="C434" s="658"/>
      <c r="D434" s="658"/>
      <c r="E434" s="658"/>
      <c r="F434" s="658"/>
      <c r="G434" s="658"/>
      <c r="H434" s="658"/>
      <c r="I434" s="658"/>
      <c r="J434" s="658"/>
      <c r="K434" s="658"/>
      <c r="L434" s="658"/>
      <c r="M434" s="658"/>
      <c r="N434" s="658"/>
      <c r="O434" s="658"/>
      <c r="P434" s="658"/>
      <c r="Q434" s="658"/>
      <c r="R434" s="658"/>
      <c r="S434" s="658"/>
      <c r="T434" s="658"/>
      <c r="U434" s="658"/>
      <c r="V434" s="658"/>
      <c r="W434" s="658"/>
      <c r="X434" s="658"/>
      <c r="Y434" s="658"/>
      <c r="Z434" s="658"/>
      <c r="AA434" s="658"/>
      <c r="AB434" s="658"/>
      <c r="AC434" s="658"/>
      <c r="AD434" s="658"/>
      <c r="AE434" s="658"/>
      <c r="AF434" s="658"/>
      <c r="AG434" s="658"/>
      <c r="AH434" s="658"/>
      <c r="AI434" s="658"/>
      <c r="AJ434" s="658"/>
      <c r="AK434" s="658"/>
      <c r="AL434" s="658"/>
      <c r="AM434" s="658"/>
      <c r="AN434" s="658"/>
      <c r="AO434" s="658"/>
      <c r="AP434" s="658"/>
      <c r="AQ434" s="658"/>
      <c r="AR434" s="658"/>
      <c r="AS434" s="658"/>
      <c r="AT434" s="658"/>
      <c r="AU434" s="658"/>
      <c r="AV434" s="658"/>
      <c r="AW434" s="658"/>
      <c r="AX434" s="658"/>
      <c r="AY434" s="658"/>
      <c r="AZ434" s="658"/>
      <c r="BA434" s="658"/>
      <c r="BB434" s="658"/>
      <c r="BC434" s="658"/>
      <c r="BD434" s="658"/>
      <c r="BE434" s="658"/>
      <c r="BF434" s="658"/>
      <c r="BG434" s="658"/>
      <c r="BH434" s="592"/>
      <c r="BI434" s="592"/>
      <c r="BJ434" s="592"/>
      <c r="BK434" s="592"/>
      <c r="BL434" s="592"/>
      <c r="BM434" s="592"/>
      <c r="BN434" s="592"/>
      <c r="BO434" s="592"/>
      <c r="BP434" s="592"/>
      <c r="BQ434" s="592"/>
    </row>
    <row r="435" spans="1:69" ht="12" customHeight="1" x14ac:dyDescent="0.15">
      <c r="A435" s="592"/>
      <c r="B435" s="658"/>
      <c r="C435" s="658"/>
      <c r="D435" s="658"/>
      <c r="E435" s="658"/>
      <c r="F435" s="658"/>
      <c r="G435" s="658"/>
      <c r="H435" s="658"/>
      <c r="I435" s="658"/>
      <c r="J435" s="658"/>
      <c r="K435" s="658"/>
      <c r="L435" s="658"/>
      <c r="M435" s="658"/>
      <c r="N435" s="658"/>
      <c r="O435" s="658"/>
      <c r="P435" s="658"/>
      <c r="Q435" s="658"/>
      <c r="R435" s="658"/>
      <c r="S435" s="658"/>
      <c r="T435" s="658"/>
      <c r="U435" s="658"/>
      <c r="V435" s="658"/>
      <c r="W435" s="658"/>
      <c r="X435" s="658"/>
      <c r="Y435" s="658"/>
      <c r="Z435" s="658"/>
      <c r="AA435" s="658"/>
      <c r="AB435" s="658"/>
      <c r="AC435" s="658"/>
      <c r="AD435" s="658"/>
      <c r="AE435" s="658"/>
      <c r="AF435" s="658"/>
      <c r="AG435" s="658"/>
      <c r="AH435" s="658"/>
      <c r="AI435" s="658"/>
      <c r="AJ435" s="658"/>
      <c r="AK435" s="658"/>
      <c r="AL435" s="658"/>
      <c r="AM435" s="658"/>
      <c r="AN435" s="658"/>
      <c r="AO435" s="658"/>
      <c r="AP435" s="658"/>
      <c r="AQ435" s="658"/>
      <c r="AR435" s="658"/>
      <c r="AS435" s="658"/>
      <c r="AT435" s="658"/>
      <c r="AU435" s="658"/>
      <c r="AV435" s="658"/>
      <c r="AW435" s="658"/>
      <c r="AX435" s="658"/>
      <c r="AY435" s="658"/>
      <c r="AZ435" s="658"/>
      <c r="BA435" s="658"/>
      <c r="BB435" s="658"/>
      <c r="BC435" s="658"/>
      <c r="BD435" s="658"/>
      <c r="BE435" s="658"/>
      <c r="BF435" s="658"/>
      <c r="BG435" s="658"/>
      <c r="BH435" s="592"/>
      <c r="BI435" s="592"/>
      <c r="BJ435" s="592"/>
      <c r="BK435" s="592"/>
      <c r="BL435" s="592"/>
      <c r="BM435" s="592"/>
      <c r="BN435" s="592"/>
      <c r="BO435" s="592"/>
      <c r="BP435" s="592"/>
      <c r="BQ435" s="592"/>
    </row>
    <row r="436" spans="1:69" ht="12" customHeight="1" x14ac:dyDescent="0.15">
      <c r="A436" s="592"/>
      <c r="B436" s="658"/>
      <c r="C436" s="658"/>
      <c r="D436" s="658"/>
      <c r="E436" s="658"/>
      <c r="F436" s="658"/>
      <c r="G436" s="658"/>
      <c r="H436" s="658"/>
      <c r="I436" s="658"/>
      <c r="J436" s="658"/>
      <c r="K436" s="658"/>
      <c r="L436" s="658"/>
      <c r="M436" s="658"/>
      <c r="N436" s="658"/>
      <c r="O436" s="658"/>
      <c r="P436" s="658"/>
      <c r="Q436" s="658"/>
      <c r="R436" s="658"/>
      <c r="S436" s="658"/>
      <c r="T436" s="658"/>
      <c r="U436" s="658"/>
      <c r="V436" s="658"/>
      <c r="W436" s="658"/>
      <c r="X436" s="658"/>
      <c r="Y436" s="658"/>
      <c r="Z436" s="658"/>
      <c r="AA436" s="658"/>
      <c r="AB436" s="658"/>
      <c r="AC436" s="658"/>
      <c r="AD436" s="658"/>
      <c r="AE436" s="658"/>
      <c r="AF436" s="658"/>
      <c r="AG436" s="658"/>
      <c r="AH436" s="658"/>
      <c r="AI436" s="658"/>
      <c r="AJ436" s="658"/>
      <c r="AK436" s="658"/>
      <c r="AL436" s="658"/>
      <c r="AM436" s="658"/>
      <c r="AN436" s="658"/>
      <c r="AO436" s="658"/>
      <c r="AP436" s="658"/>
      <c r="AQ436" s="658"/>
      <c r="AR436" s="658"/>
      <c r="AS436" s="658"/>
      <c r="AT436" s="658"/>
      <c r="AU436" s="658"/>
      <c r="AV436" s="658"/>
      <c r="AW436" s="658"/>
      <c r="AX436" s="658"/>
      <c r="AY436" s="658"/>
      <c r="AZ436" s="658"/>
      <c r="BA436" s="658"/>
      <c r="BB436" s="658"/>
      <c r="BC436" s="658"/>
      <c r="BD436" s="658"/>
      <c r="BE436" s="658"/>
      <c r="BF436" s="658"/>
      <c r="BG436" s="658"/>
      <c r="BH436" s="592"/>
      <c r="BI436" s="592"/>
      <c r="BJ436" s="592"/>
      <c r="BK436" s="592"/>
      <c r="BL436" s="592"/>
      <c r="BM436" s="592"/>
      <c r="BN436" s="592"/>
      <c r="BO436" s="592"/>
      <c r="BP436" s="592"/>
      <c r="BQ436" s="592"/>
    </row>
    <row r="437" spans="1:69" ht="12" customHeight="1" x14ac:dyDescent="0.15">
      <c r="A437" s="592"/>
      <c r="B437" s="658"/>
      <c r="C437" s="658"/>
      <c r="D437" s="658"/>
      <c r="E437" s="658"/>
      <c r="F437" s="658"/>
      <c r="G437" s="658"/>
      <c r="H437" s="658"/>
      <c r="I437" s="658"/>
      <c r="J437" s="658"/>
      <c r="K437" s="658"/>
      <c r="L437" s="658"/>
      <c r="M437" s="658"/>
      <c r="N437" s="658"/>
      <c r="O437" s="658"/>
      <c r="P437" s="658"/>
      <c r="Q437" s="658"/>
      <c r="R437" s="658"/>
      <c r="S437" s="658"/>
      <c r="T437" s="658"/>
      <c r="U437" s="658"/>
      <c r="V437" s="658"/>
      <c r="W437" s="658"/>
      <c r="X437" s="658"/>
      <c r="Y437" s="658"/>
      <c r="Z437" s="658"/>
      <c r="AA437" s="658"/>
      <c r="AB437" s="658"/>
      <c r="AC437" s="658"/>
      <c r="AD437" s="658"/>
      <c r="AE437" s="658"/>
      <c r="AF437" s="658"/>
      <c r="AG437" s="658"/>
      <c r="AH437" s="658"/>
      <c r="AI437" s="658"/>
      <c r="AJ437" s="658"/>
      <c r="AK437" s="658"/>
      <c r="AL437" s="658"/>
      <c r="AM437" s="658"/>
      <c r="AN437" s="658"/>
      <c r="AO437" s="658"/>
      <c r="AP437" s="658"/>
      <c r="AQ437" s="658"/>
      <c r="AR437" s="658"/>
      <c r="AS437" s="658"/>
      <c r="AT437" s="658"/>
      <c r="AU437" s="658"/>
      <c r="AV437" s="658"/>
      <c r="AW437" s="658"/>
      <c r="AX437" s="658"/>
      <c r="AY437" s="658"/>
      <c r="AZ437" s="658"/>
      <c r="BA437" s="658"/>
      <c r="BB437" s="658"/>
      <c r="BC437" s="658"/>
      <c r="BD437" s="658"/>
      <c r="BE437" s="658"/>
      <c r="BF437" s="658"/>
      <c r="BG437" s="658"/>
      <c r="BH437" s="592"/>
      <c r="BI437" s="592"/>
      <c r="BJ437" s="592"/>
      <c r="BK437" s="592"/>
      <c r="BL437" s="592"/>
      <c r="BM437" s="592"/>
      <c r="BN437" s="592"/>
      <c r="BO437" s="592"/>
      <c r="BP437" s="592"/>
      <c r="BQ437" s="592"/>
    </row>
    <row r="438" spans="1:69" ht="12" customHeight="1" x14ac:dyDescent="0.15">
      <c r="A438" s="592"/>
      <c r="B438" s="658"/>
      <c r="C438" s="658"/>
      <c r="D438" s="658"/>
      <c r="E438" s="658"/>
      <c r="F438" s="658"/>
      <c r="G438" s="658"/>
      <c r="H438" s="658"/>
      <c r="I438" s="658"/>
      <c r="J438" s="658"/>
      <c r="K438" s="658"/>
      <c r="L438" s="658"/>
      <c r="M438" s="658"/>
      <c r="N438" s="658"/>
      <c r="O438" s="658"/>
      <c r="P438" s="658"/>
      <c r="Q438" s="658"/>
      <c r="R438" s="658"/>
      <c r="S438" s="658"/>
      <c r="T438" s="658"/>
      <c r="U438" s="658"/>
      <c r="V438" s="658"/>
      <c r="W438" s="658"/>
      <c r="X438" s="658"/>
      <c r="Y438" s="658"/>
      <c r="Z438" s="658"/>
      <c r="AA438" s="658"/>
      <c r="AB438" s="658"/>
      <c r="AC438" s="658"/>
      <c r="AD438" s="658"/>
      <c r="AE438" s="658"/>
      <c r="AF438" s="658"/>
      <c r="AG438" s="658"/>
      <c r="AH438" s="658"/>
      <c r="AI438" s="658"/>
      <c r="AJ438" s="658"/>
      <c r="AK438" s="658"/>
      <c r="AL438" s="658"/>
      <c r="AM438" s="658"/>
      <c r="AN438" s="658"/>
      <c r="AO438" s="658"/>
      <c r="AP438" s="658"/>
      <c r="AQ438" s="658"/>
      <c r="AR438" s="658"/>
      <c r="AS438" s="658"/>
      <c r="AT438" s="658"/>
      <c r="AU438" s="658"/>
      <c r="AV438" s="658"/>
      <c r="AW438" s="658"/>
      <c r="AX438" s="658"/>
      <c r="AY438" s="658"/>
      <c r="AZ438" s="658"/>
      <c r="BA438" s="658"/>
      <c r="BB438" s="658"/>
      <c r="BC438" s="658"/>
      <c r="BD438" s="658"/>
      <c r="BE438" s="658"/>
      <c r="BF438" s="658"/>
      <c r="BG438" s="658"/>
      <c r="BH438" s="592"/>
      <c r="BI438" s="592"/>
      <c r="BJ438" s="592"/>
      <c r="BK438" s="592"/>
      <c r="BL438" s="592"/>
      <c r="BM438" s="592"/>
      <c r="BN438" s="592"/>
      <c r="BO438" s="592"/>
      <c r="BP438" s="592"/>
      <c r="BQ438" s="592"/>
    </row>
    <row r="439" spans="1:69" ht="12" customHeight="1" x14ac:dyDescent="0.15">
      <c r="A439" s="592"/>
      <c r="B439" s="658"/>
      <c r="C439" s="658"/>
      <c r="D439" s="658"/>
      <c r="E439" s="658"/>
      <c r="F439" s="658"/>
      <c r="G439" s="658"/>
      <c r="H439" s="658"/>
      <c r="I439" s="658"/>
      <c r="J439" s="658"/>
      <c r="K439" s="658"/>
      <c r="L439" s="658"/>
      <c r="M439" s="658"/>
      <c r="N439" s="658"/>
      <c r="O439" s="658"/>
      <c r="P439" s="658"/>
      <c r="Q439" s="658"/>
      <c r="R439" s="658"/>
      <c r="S439" s="658"/>
      <c r="T439" s="658"/>
      <c r="U439" s="658"/>
      <c r="V439" s="658"/>
      <c r="W439" s="658"/>
      <c r="X439" s="658"/>
      <c r="Y439" s="658"/>
      <c r="Z439" s="658"/>
      <c r="AA439" s="658"/>
      <c r="AB439" s="658"/>
      <c r="AC439" s="658"/>
      <c r="AD439" s="658"/>
      <c r="AE439" s="658"/>
      <c r="AF439" s="658"/>
      <c r="AG439" s="658"/>
      <c r="AH439" s="658"/>
      <c r="AI439" s="658"/>
      <c r="AJ439" s="658"/>
      <c r="AK439" s="658"/>
      <c r="AL439" s="658"/>
      <c r="AM439" s="658"/>
      <c r="AN439" s="658"/>
      <c r="AO439" s="658"/>
      <c r="AP439" s="658"/>
      <c r="AQ439" s="658"/>
      <c r="AR439" s="658"/>
      <c r="AS439" s="658"/>
      <c r="AT439" s="658"/>
      <c r="AU439" s="658"/>
      <c r="AV439" s="658"/>
      <c r="AW439" s="658"/>
      <c r="AX439" s="658"/>
      <c r="AY439" s="658"/>
      <c r="AZ439" s="658"/>
      <c r="BA439" s="658"/>
      <c r="BB439" s="658"/>
      <c r="BC439" s="658"/>
      <c r="BD439" s="658"/>
      <c r="BE439" s="658"/>
      <c r="BF439" s="658"/>
      <c r="BG439" s="658"/>
      <c r="BH439" s="592"/>
      <c r="BI439" s="592"/>
      <c r="BJ439" s="592"/>
      <c r="BK439" s="592"/>
      <c r="BL439" s="592"/>
      <c r="BM439" s="592"/>
      <c r="BN439" s="592"/>
      <c r="BO439" s="592"/>
      <c r="BP439" s="592"/>
      <c r="BQ439" s="592"/>
    </row>
    <row r="440" spans="1:69" ht="12" customHeight="1" x14ac:dyDescent="0.15">
      <c r="A440" s="592"/>
      <c r="B440" s="658"/>
      <c r="C440" s="658"/>
      <c r="D440" s="658"/>
      <c r="E440" s="658"/>
      <c r="F440" s="658"/>
      <c r="G440" s="658"/>
      <c r="H440" s="658"/>
      <c r="I440" s="658"/>
      <c r="J440" s="658"/>
      <c r="K440" s="658"/>
      <c r="L440" s="658"/>
      <c r="M440" s="658"/>
      <c r="N440" s="658"/>
      <c r="O440" s="658"/>
      <c r="P440" s="658"/>
      <c r="Q440" s="658"/>
      <c r="R440" s="658"/>
      <c r="S440" s="658"/>
      <c r="T440" s="658"/>
      <c r="U440" s="658"/>
      <c r="V440" s="658"/>
      <c r="W440" s="658"/>
      <c r="X440" s="658"/>
      <c r="Y440" s="658"/>
      <c r="Z440" s="658"/>
      <c r="AA440" s="658"/>
      <c r="AB440" s="658"/>
      <c r="AC440" s="658"/>
      <c r="AD440" s="658"/>
      <c r="AE440" s="658"/>
      <c r="AF440" s="658"/>
      <c r="AG440" s="658"/>
      <c r="AH440" s="658"/>
      <c r="AI440" s="658"/>
      <c r="AJ440" s="658"/>
      <c r="AK440" s="658"/>
      <c r="AL440" s="658"/>
      <c r="AM440" s="658"/>
      <c r="AN440" s="658"/>
      <c r="AO440" s="658"/>
      <c r="AP440" s="658"/>
      <c r="AQ440" s="658"/>
      <c r="AR440" s="658"/>
      <c r="AS440" s="658"/>
      <c r="AT440" s="658"/>
      <c r="AU440" s="658"/>
      <c r="AV440" s="658"/>
      <c r="AW440" s="658"/>
      <c r="AX440" s="658"/>
      <c r="AY440" s="658"/>
      <c r="AZ440" s="658"/>
      <c r="BA440" s="658"/>
      <c r="BB440" s="658"/>
      <c r="BC440" s="658"/>
      <c r="BD440" s="658"/>
      <c r="BE440" s="658"/>
      <c r="BF440" s="658"/>
      <c r="BG440" s="658"/>
      <c r="BH440" s="592"/>
      <c r="BI440" s="592"/>
      <c r="BJ440" s="592"/>
      <c r="BK440" s="592"/>
      <c r="BL440" s="592"/>
      <c r="BM440" s="592"/>
      <c r="BN440" s="592"/>
      <c r="BO440" s="592"/>
      <c r="BP440" s="592"/>
      <c r="BQ440" s="592"/>
    </row>
    <row r="441" spans="1:69" ht="12" customHeight="1" x14ac:dyDescent="0.15">
      <c r="A441" s="592"/>
      <c r="B441" s="658"/>
      <c r="C441" s="658"/>
      <c r="D441" s="658"/>
      <c r="E441" s="658"/>
      <c r="F441" s="658"/>
      <c r="G441" s="658"/>
      <c r="H441" s="658"/>
      <c r="I441" s="658"/>
      <c r="J441" s="658"/>
      <c r="K441" s="658"/>
      <c r="L441" s="658"/>
      <c r="M441" s="658"/>
      <c r="N441" s="658"/>
      <c r="O441" s="658"/>
      <c r="P441" s="658"/>
      <c r="Q441" s="658"/>
      <c r="R441" s="658"/>
      <c r="S441" s="658"/>
      <c r="T441" s="658"/>
      <c r="U441" s="658"/>
      <c r="V441" s="658"/>
      <c r="W441" s="658"/>
      <c r="X441" s="658"/>
      <c r="Y441" s="658"/>
      <c r="Z441" s="658"/>
      <c r="AA441" s="658"/>
      <c r="AB441" s="658"/>
      <c r="AC441" s="658"/>
      <c r="AD441" s="658"/>
      <c r="AE441" s="658"/>
      <c r="AF441" s="658"/>
      <c r="AG441" s="658"/>
      <c r="AH441" s="658"/>
      <c r="AI441" s="658"/>
      <c r="AJ441" s="658"/>
      <c r="AK441" s="658"/>
      <c r="AL441" s="658"/>
      <c r="AM441" s="658"/>
      <c r="AN441" s="658"/>
      <c r="AO441" s="658"/>
      <c r="AP441" s="658"/>
      <c r="AQ441" s="658"/>
      <c r="AR441" s="658"/>
      <c r="AS441" s="658"/>
      <c r="AT441" s="658"/>
      <c r="AU441" s="658"/>
      <c r="AV441" s="658"/>
      <c r="AW441" s="658"/>
      <c r="AX441" s="658"/>
      <c r="AY441" s="658"/>
      <c r="AZ441" s="658"/>
      <c r="BA441" s="658"/>
      <c r="BB441" s="658"/>
      <c r="BC441" s="658"/>
      <c r="BD441" s="658"/>
      <c r="BE441" s="658"/>
      <c r="BF441" s="658"/>
      <c r="BG441" s="658"/>
      <c r="BH441" s="592"/>
      <c r="BI441" s="592"/>
      <c r="BJ441" s="592"/>
      <c r="BK441" s="592"/>
      <c r="BL441" s="592"/>
      <c r="BM441" s="592"/>
      <c r="BN441" s="592"/>
      <c r="BO441" s="592"/>
      <c r="BP441" s="592"/>
      <c r="BQ441" s="592"/>
    </row>
    <row r="442" spans="1:69" ht="12" customHeight="1" x14ac:dyDescent="0.15">
      <c r="A442" s="592"/>
      <c r="B442" s="658"/>
      <c r="C442" s="658"/>
      <c r="D442" s="658"/>
      <c r="E442" s="658"/>
      <c r="F442" s="658"/>
      <c r="G442" s="658"/>
      <c r="H442" s="658"/>
      <c r="I442" s="658"/>
      <c r="J442" s="658"/>
      <c r="K442" s="658"/>
      <c r="L442" s="658"/>
      <c r="M442" s="658"/>
      <c r="N442" s="658"/>
      <c r="O442" s="658"/>
      <c r="P442" s="658"/>
      <c r="Q442" s="658"/>
      <c r="R442" s="658"/>
      <c r="S442" s="658"/>
      <c r="T442" s="658"/>
      <c r="U442" s="658"/>
      <c r="V442" s="658"/>
      <c r="W442" s="658"/>
      <c r="X442" s="658"/>
      <c r="Y442" s="658"/>
      <c r="Z442" s="658"/>
      <c r="AA442" s="658"/>
      <c r="AB442" s="658"/>
      <c r="AC442" s="658"/>
      <c r="AD442" s="658"/>
      <c r="AE442" s="658"/>
      <c r="AF442" s="658"/>
      <c r="AG442" s="658"/>
      <c r="AH442" s="658"/>
      <c r="AI442" s="658"/>
      <c r="AJ442" s="658"/>
      <c r="AK442" s="658"/>
      <c r="AL442" s="658"/>
      <c r="AM442" s="658"/>
      <c r="AN442" s="658"/>
      <c r="AO442" s="658"/>
      <c r="AP442" s="658"/>
      <c r="AQ442" s="658"/>
      <c r="AR442" s="658"/>
      <c r="AS442" s="658"/>
      <c r="AT442" s="658"/>
      <c r="AU442" s="658"/>
      <c r="AV442" s="658"/>
      <c r="AW442" s="658"/>
      <c r="AX442" s="658"/>
      <c r="AY442" s="658"/>
      <c r="AZ442" s="658"/>
      <c r="BA442" s="658"/>
      <c r="BB442" s="658"/>
      <c r="BC442" s="658"/>
      <c r="BD442" s="658"/>
      <c r="BE442" s="658"/>
      <c r="BF442" s="658"/>
      <c r="BG442" s="658"/>
      <c r="BH442" s="592"/>
      <c r="BI442" s="592"/>
      <c r="BJ442" s="592"/>
      <c r="BK442" s="592"/>
      <c r="BL442" s="592"/>
      <c r="BM442" s="592"/>
      <c r="BN442" s="592"/>
      <c r="BO442" s="592"/>
      <c r="BP442" s="592"/>
      <c r="BQ442" s="592"/>
    </row>
    <row r="443" spans="1:69" ht="12" customHeight="1" x14ac:dyDescent="0.15">
      <c r="A443" s="592"/>
      <c r="B443" s="658"/>
      <c r="C443" s="658"/>
      <c r="D443" s="658"/>
      <c r="E443" s="658"/>
      <c r="F443" s="658"/>
      <c r="G443" s="658"/>
      <c r="H443" s="658"/>
      <c r="I443" s="658"/>
      <c r="J443" s="658"/>
      <c r="K443" s="658"/>
      <c r="L443" s="658"/>
      <c r="M443" s="658"/>
      <c r="N443" s="658"/>
      <c r="O443" s="658"/>
      <c r="P443" s="658"/>
      <c r="Q443" s="658"/>
      <c r="R443" s="658"/>
      <c r="S443" s="658"/>
      <c r="T443" s="658"/>
      <c r="U443" s="658"/>
      <c r="V443" s="658"/>
      <c r="W443" s="658"/>
      <c r="X443" s="658"/>
      <c r="Y443" s="658"/>
      <c r="Z443" s="658"/>
      <c r="AA443" s="658"/>
      <c r="AB443" s="658"/>
      <c r="AC443" s="658"/>
      <c r="AD443" s="658"/>
      <c r="AE443" s="658"/>
      <c r="AF443" s="658"/>
      <c r="AG443" s="658"/>
      <c r="AH443" s="658"/>
      <c r="AI443" s="658"/>
      <c r="AJ443" s="658"/>
      <c r="AK443" s="658"/>
      <c r="AL443" s="658"/>
      <c r="AM443" s="658"/>
      <c r="AN443" s="658"/>
      <c r="AO443" s="658"/>
      <c r="AP443" s="658"/>
      <c r="AQ443" s="658"/>
      <c r="AR443" s="658"/>
      <c r="AS443" s="658"/>
      <c r="AT443" s="658"/>
      <c r="AU443" s="658"/>
      <c r="AV443" s="658"/>
      <c r="AW443" s="658"/>
      <c r="AX443" s="658"/>
      <c r="AY443" s="658"/>
      <c r="AZ443" s="658"/>
      <c r="BA443" s="658"/>
      <c r="BB443" s="658"/>
      <c r="BC443" s="658"/>
      <c r="BD443" s="658"/>
      <c r="BE443" s="658"/>
      <c r="BF443" s="658"/>
      <c r="BG443" s="658"/>
      <c r="BH443" s="592"/>
      <c r="BI443" s="592"/>
      <c r="BJ443" s="592"/>
      <c r="BK443" s="592"/>
      <c r="BL443" s="592"/>
      <c r="BM443" s="592"/>
      <c r="BN443" s="592"/>
      <c r="BO443" s="592"/>
      <c r="BP443" s="592"/>
      <c r="BQ443" s="592"/>
    </row>
    <row r="444" spans="1:69" ht="12" customHeight="1" x14ac:dyDescent="0.15">
      <c r="A444" s="592"/>
      <c r="B444" s="658"/>
      <c r="C444" s="658"/>
      <c r="D444" s="658"/>
      <c r="E444" s="658"/>
      <c r="F444" s="658"/>
      <c r="G444" s="658"/>
      <c r="H444" s="658"/>
      <c r="I444" s="658"/>
      <c r="J444" s="658"/>
      <c r="K444" s="658"/>
      <c r="L444" s="658"/>
      <c r="M444" s="658"/>
      <c r="N444" s="658"/>
      <c r="O444" s="658"/>
      <c r="P444" s="658"/>
      <c r="Q444" s="658"/>
      <c r="R444" s="658"/>
      <c r="S444" s="658"/>
      <c r="T444" s="658"/>
      <c r="U444" s="658"/>
      <c r="V444" s="658"/>
      <c r="W444" s="658"/>
      <c r="X444" s="658"/>
      <c r="Y444" s="658"/>
      <c r="Z444" s="658"/>
      <c r="AA444" s="658"/>
      <c r="AB444" s="658"/>
      <c r="AC444" s="658"/>
      <c r="AD444" s="658"/>
      <c r="AE444" s="658"/>
      <c r="AF444" s="658"/>
      <c r="AG444" s="658"/>
      <c r="AH444" s="658"/>
      <c r="AI444" s="658"/>
      <c r="AJ444" s="658"/>
      <c r="AK444" s="658"/>
      <c r="AL444" s="658"/>
      <c r="AM444" s="658"/>
      <c r="AN444" s="658"/>
      <c r="AO444" s="658"/>
      <c r="AP444" s="658"/>
      <c r="AQ444" s="658"/>
      <c r="AR444" s="658"/>
      <c r="AS444" s="658"/>
      <c r="AT444" s="658"/>
      <c r="AU444" s="658"/>
      <c r="AV444" s="658"/>
      <c r="AW444" s="658"/>
      <c r="AX444" s="658"/>
      <c r="AY444" s="658"/>
      <c r="AZ444" s="658"/>
      <c r="BA444" s="658"/>
      <c r="BB444" s="658"/>
      <c r="BC444" s="658"/>
      <c r="BD444" s="658"/>
      <c r="BE444" s="658"/>
      <c r="BF444" s="658"/>
      <c r="BG444" s="658"/>
      <c r="BH444" s="592"/>
      <c r="BI444" s="592"/>
      <c r="BJ444" s="592"/>
      <c r="BK444" s="592"/>
      <c r="BL444" s="592"/>
      <c r="BM444" s="592"/>
      <c r="BN444" s="592"/>
      <c r="BO444" s="592"/>
      <c r="BP444" s="592"/>
      <c r="BQ444" s="592"/>
    </row>
    <row r="445" spans="1:69" ht="12" customHeight="1" x14ac:dyDescent="0.15">
      <c r="A445" s="592"/>
      <c r="B445" s="658"/>
      <c r="C445" s="658"/>
      <c r="D445" s="658"/>
      <c r="E445" s="658"/>
      <c r="F445" s="658"/>
      <c r="G445" s="658"/>
      <c r="H445" s="658"/>
      <c r="I445" s="658"/>
      <c r="J445" s="658"/>
      <c r="K445" s="658"/>
      <c r="L445" s="658"/>
      <c r="M445" s="658"/>
      <c r="N445" s="658"/>
      <c r="O445" s="658"/>
      <c r="P445" s="658"/>
      <c r="Q445" s="658"/>
      <c r="R445" s="658"/>
      <c r="S445" s="658"/>
      <c r="T445" s="658"/>
      <c r="U445" s="658"/>
      <c r="V445" s="658"/>
      <c r="W445" s="658"/>
      <c r="X445" s="658"/>
      <c r="Y445" s="658"/>
      <c r="Z445" s="658"/>
      <c r="AA445" s="658"/>
      <c r="AB445" s="658"/>
      <c r="AC445" s="658"/>
      <c r="AD445" s="658"/>
      <c r="AE445" s="658"/>
      <c r="AF445" s="658"/>
      <c r="AG445" s="658"/>
      <c r="AH445" s="658"/>
      <c r="AI445" s="658"/>
      <c r="AJ445" s="658"/>
      <c r="AK445" s="658"/>
      <c r="AL445" s="658"/>
      <c r="AM445" s="658"/>
      <c r="AN445" s="658"/>
      <c r="AO445" s="658"/>
      <c r="AP445" s="658"/>
      <c r="AQ445" s="658"/>
      <c r="AR445" s="658"/>
      <c r="AS445" s="658"/>
      <c r="AT445" s="658"/>
      <c r="AU445" s="658"/>
      <c r="AV445" s="658"/>
      <c r="AW445" s="658"/>
      <c r="AX445" s="658"/>
      <c r="AY445" s="658"/>
      <c r="AZ445" s="658"/>
      <c r="BA445" s="658"/>
      <c r="BB445" s="658"/>
      <c r="BC445" s="658"/>
      <c r="BD445" s="658"/>
      <c r="BE445" s="658"/>
      <c r="BF445" s="658"/>
      <c r="BG445" s="658"/>
      <c r="BH445" s="592"/>
      <c r="BI445" s="592"/>
      <c r="BJ445" s="592"/>
      <c r="BK445" s="592"/>
      <c r="BL445" s="592"/>
      <c r="BM445" s="592"/>
      <c r="BN445" s="592"/>
      <c r="BO445" s="592"/>
      <c r="BP445" s="592"/>
      <c r="BQ445" s="592"/>
    </row>
    <row r="446" spans="1:69" ht="12" customHeight="1" x14ac:dyDescent="0.15">
      <c r="A446" s="592"/>
      <c r="B446" s="658"/>
      <c r="C446" s="658"/>
      <c r="D446" s="658"/>
      <c r="E446" s="658"/>
      <c r="F446" s="658"/>
      <c r="G446" s="658"/>
      <c r="H446" s="658"/>
      <c r="I446" s="658"/>
      <c r="J446" s="658"/>
      <c r="K446" s="658"/>
      <c r="L446" s="658"/>
      <c r="M446" s="658"/>
      <c r="N446" s="658"/>
      <c r="O446" s="658"/>
      <c r="P446" s="658"/>
      <c r="Q446" s="658"/>
      <c r="R446" s="658"/>
      <c r="S446" s="658"/>
      <c r="T446" s="658"/>
      <c r="U446" s="658"/>
      <c r="V446" s="658"/>
      <c r="W446" s="658"/>
      <c r="X446" s="658"/>
      <c r="Y446" s="658"/>
      <c r="Z446" s="658"/>
      <c r="AA446" s="658"/>
      <c r="AB446" s="658"/>
      <c r="AC446" s="658"/>
      <c r="AD446" s="658"/>
      <c r="AE446" s="658"/>
      <c r="AF446" s="658"/>
      <c r="AG446" s="658"/>
      <c r="AH446" s="658"/>
      <c r="AI446" s="658"/>
      <c r="AJ446" s="658"/>
      <c r="AK446" s="658"/>
      <c r="AL446" s="658"/>
      <c r="AM446" s="658"/>
      <c r="AN446" s="658"/>
      <c r="AO446" s="658"/>
      <c r="AP446" s="658"/>
      <c r="AQ446" s="658"/>
      <c r="AR446" s="658"/>
      <c r="AS446" s="658"/>
      <c r="AT446" s="658"/>
      <c r="AU446" s="658"/>
      <c r="AV446" s="658"/>
      <c r="AW446" s="658"/>
      <c r="AX446" s="658"/>
      <c r="AY446" s="658"/>
      <c r="AZ446" s="658"/>
      <c r="BA446" s="658"/>
      <c r="BB446" s="658"/>
      <c r="BC446" s="658"/>
      <c r="BD446" s="658"/>
      <c r="BE446" s="658"/>
      <c r="BF446" s="658"/>
      <c r="BG446" s="658"/>
      <c r="BH446" s="592"/>
      <c r="BI446" s="592"/>
      <c r="BJ446" s="592"/>
      <c r="BK446" s="592"/>
      <c r="BL446" s="592"/>
      <c r="BM446" s="592"/>
      <c r="BN446" s="592"/>
      <c r="BO446" s="592"/>
      <c r="BP446" s="592"/>
      <c r="BQ446" s="592"/>
    </row>
    <row r="447" spans="1:69" ht="12" customHeight="1" x14ac:dyDescent="0.15">
      <c r="A447" s="592"/>
      <c r="B447" s="658"/>
      <c r="C447" s="658"/>
      <c r="D447" s="658"/>
      <c r="E447" s="658"/>
      <c r="F447" s="658"/>
      <c r="G447" s="658"/>
      <c r="H447" s="658"/>
      <c r="I447" s="658"/>
      <c r="J447" s="658"/>
      <c r="K447" s="658"/>
      <c r="L447" s="658"/>
      <c r="M447" s="658"/>
      <c r="N447" s="658"/>
      <c r="O447" s="658"/>
      <c r="P447" s="658"/>
      <c r="Q447" s="658"/>
      <c r="R447" s="658"/>
      <c r="S447" s="658"/>
      <c r="T447" s="658"/>
      <c r="U447" s="658"/>
      <c r="V447" s="658"/>
      <c r="W447" s="658"/>
      <c r="X447" s="658"/>
      <c r="Y447" s="658"/>
      <c r="Z447" s="658"/>
      <c r="AA447" s="658"/>
      <c r="AB447" s="658"/>
      <c r="AC447" s="658"/>
      <c r="AD447" s="658"/>
      <c r="AE447" s="658"/>
      <c r="AF447" s="658"/>
      <c r="AG447" s="658"/>
      <c r="AH447" s="658"/>
      <c r="AI447" s="658"/>
      <c r="AJ447" s="658"/>
      <c r="AK447" s="658"/>
      <c r="AL447" s="658"/>
      <c r="AM447" s="658"/>
      <c r="AN447" s="658"/>
      <c r="AO447" s="658"/>
      <c r="AP447" s="658"/>
      <c r="AQ447" s="658"/>
      <c r="AR447" s="658"/>
      <c r="AS447" s="658"/>
      <c r="AT447" s="658"/>
      <c r="AU447" s="658"/>
      <c r="AV447" s="658"/>
      <c r="AW447" s="658"/>
      <c r="AX447" s="658"/>
      <c r="AY447" s="658"/>
      <c r="AZ447" s="658"/>
      <c r="BA447" s="658"/>
      <c r="BB447" s="658"/>
      <c r="BC447" s="658"/>
      <c r="BD447" s="658"/>
      <c r="BE447" s="658"/>
      <c r="BF447" s="658"/>
      <c r="BG447" s="658"/>
      <c r="BH447" s="592"/>
      <c r="BI447" s="592"/>
      <c r="BJ447" s="592"/>
      <c r="BK447" s="592"/>
      <c r="BL447" s="592"/>
      <c r="BM447" s="592"/>
      <c r="BN447" s="592"/>
      <c r="BO447" s="592"/>
      <c r="BP447" s="592"/>
      <c r="BQ447" s="592"/>
    </row>
    <row r="448" spans="1:69" ht="12" customHeight="1" x14ac:dyDescent="0.15">
      <c r="A448" s="592"/>
      <c r="B448" s="658"/>
      <c r="C448" s="658"/>
      <c r="D448" s="658"/>
      <c r="E448" s="658"/>
      <c r="F448" s="658"/>
      <c r="G448" s="658"/>
      <c r="H448" s="658"/>
      <c r="I448" s="658"/>
      <c r="J448" s="658"/>
      <c r="K448" s="658"/>
      <c r="L448" s="658"/>
      <c r="M448" s="658"/>
      <c r="N448" s="658"/>
      <c r="O448" s="658"/>
      <c r="P448" s="658"/>
      <c r="Q448" s="658"/>
      <c r="R448" s="658"/>
      <c r="S448" s="658"/>
      <c r="T448" s="658"/>
      <c r="U448" s="658"/>
      <c r="V448" s="658"/>
      <c r="W448" s="658"/>
      <c r="X448" s="658"/>
      <c r="Y448" s="658"/>
      <c r="Z448" s="658"/>
      <c r="AA448" s="658"/>
      <c r="AB448" s="658"/>
      <c r="AC448" s="658"/>
      <c r="AD448" s="658"/>
      <c r="AE448" s="658"/>
      <c r="AF448" s="658"/>
      <c r="AG448" s="658"/>
      <c r="AH448" s="658"/>
      <c r="AI448" s="658"/>
      <c r="AJ448" s="658"/>
      <c r="AK448" s="658"/>
      <c r="AL448" s="658"/>
      <c r="AM448" s="658"/>
      <c r="AN448" s="658"/>
      <c r="AO448" s="658"/>
      <c r="AP448" s="658"/>
      <c r="AQ448" s="658"/>
      <c r="AR448" s="658"/>
      <c r="AS448" s="658"/>
      <c r="AT448" s="658"/>
      <c r="AU448" s="658"/>
      <c r="AV448" s="658"/>
      <c r="AW448" s="658"/>
      <c r="AX448" s="658"/>
      <c r="AY448" s="658"/>
      <c r="AZ448" s="658"/>
      <c r="BA448" s="658"/>
      <c r="BB448" s="658"/>
      <c r="BC448" s="658"/>
      <c r="BD448" s="658"/>
      <c r="BE448" s="658"/>
      <c r="BF448" s="658"/>
      <c r="BG448" s="658"/>
      <c r="BH448" s="592"/>
      <c r="BI448" s="592"/>
      <c r="BJ448" s="592"/>
      <c r="BK448" s="592"/>
      <c r="BL448" s="592"/>
      <c r="BM448" s="592"/>
      <c r="BN448" s="592"/>
      <c r="BO448" s="592"/>
      <c r="BP448" s="592"/>
      <c r="BQ448" s="592"/>
    </row>
    <row r="449" spans="1:69" ht="12" customHeight="1" x14ac:dyDescent="0.15">
      <c r="A449" s="592"/>
      <c r="B449" s="658"/>
      <c r="C449" s="658"/>
      <c r="D449" s="658"/>
      <c r="E449" s="658"/>
      <c r="F449" s="658"/>
      <c r="G449" s="658"/>
      <c r="H449" s="658"/>
      <c r="I449" s="658"/>
      <c r="J449" s="658"/>
      <c r="K449" s="658"/>
      <c r="L449" s="658"/>
      <c r="M449" s="658"/>
      <c r="N449" s="658"/>
      <c r="O449" s="658"/>
      <c r="P449" s="658"/>
      <c r="Q449" s="658"/>
      <c r="R449" s="658"/>
      <c r="S449" s="658"/>
      <c r="T449" s="658"/>
      <c r="U449" s="658"/>
      <c r="V449" s="658"/>
      <c r="W449" s="658"/>
      <c r="X449" s="658"/>
      <c r="Y449" s="658"/>
      <c r="Z449" s="658"/>
      <c r="AA449" s="658"/>
      <c r="AB449" s="658"/>
      <c r="AC449" s="658"/>
      <c r="AD449" s="658"/>
      <c r="AE449" s="658"/>
      <c r="AF449" s="658"/>
      <c r="AG449" s="658"/>
      <c r="AH449" s="658"/>
      <c r="AI449" s="658"/>
      <c r="AJ449" s="658"/>
      <c r="AK449" s="658"/>
      <c r="AL449" s="658"/>
      <c r="AM449" s="658"/>
      <c r="AN449" s="658"/>
      <c r="AO449" s="658"/>
      <c r="AP449" s="658"/>
      <c r="AQ449" s="658"/>
      <c r="AR449" s="658"/>
      <c r="AS449" s="658"/>
      <c r="AT449" s="658"/>
      <c r="AU449" s="658"/>
      <c r="AV449" s="658"/>
      <c r="AW449" s="658"/>
      <c r="AX449" s="658"/>
      <c r="AY449" s="658"/>
      <c r="AZ449" s="658"/>
      <c r="BA449" s="658"/>
      <c r="BB449" s="658"/>
      <c r="BC449" s="658"/>
      <c r="BD449" s="658"/>
      <c r="BE449" s="658"/>
      <c r="BF449" s="658"/>
      <c r="BG449" s="658"/>
      <c r="BH449" s="592"/>
      <c r="BI449" s="592"/>
      <c r="BJ449" s="592"/>
      <c r="BK449" s="592"/>
      <c r="BL449" s="592"/>
      <c r="BM449" s="592"/>
      <c r="BN449" s="592"/>
      <c r="BO449" s="592"/>
      <c r="BP449" s="592"/>
      <c r="BQ449" s="592"/>
    </row>
    <row r="450" spans="1:69" ht="12" customHeight="1" x14ac:dyDescent="0.15">
      <c r="A450" s="592"/>
      <c r="B450" s="658"/>
      <c r="C450" s="658"/>
      <c r="D450" s="658"/>
      <c r="E450" s="658"/>
      <c r="F450" s="658"/>
      <c r="G450" s="658"/>
      <c r="H450" s="658"/>
      <c r="I450" s="658"/>
      <c r="J450" s="658"/>
      <c r="K450" s="658"/>
      <c r="L450" s="658"/>
      <c r="M450" s="658"/>
      <c r="N450" s="658"/>
      <c r="O450" s="658"/>
      <c r="P450" s="658"/>
      <c r="Q450" s="658"/>
      <c r="R450" s="658"/>
      <c r="S450" s="658"/>
      <c r="T450" s="658"/>
      <c r="U450" s="658"/>
      <c r="V450" s="658"/>
      <c r="W450" s="658"/>
      <c r="X450" s="658"/>
      <c r="Y450" s="658"/>
      <c r="Z450" s="658"/>
      <c r="AA450" s="658"/>
      <c r="AB450" s="658"/>
      <c r="AC450" s="658"/>
      <c r="AD450" s="658"/>
      <c r="AE450" s="658"/>
      <c r="AF450" s="658"/>
      <c r="AG450" s="658"/>
      <c r="AH450" s="658"/>
      <c r="AI450" s="658"/>
      <c r="AJ450" s="658"/>
      <c r="AK450" s="658"/>
      <c r="AL450" s="658"/>
      <c r="AM450" s="658"/>
      <c r="AN450" s="658"/>
      <c r="AO450" s="658"/>
      <c r="AP450" s="658"/>
      <c r="AQ450" s="658"/>
      <c r="AR450" s="658"/>
      <c r="AS450" s="658"/>
      <c r="AT450" s="658"/>
      <c r="AU450" s="658"/>
      <c r="AV450" s="658"/>
      <c r="AW450" s="658"/>
      <c r="AX450" s="658"/>
      <c r="AY450" s="658"/>
      <c r="AZ450" s="658"/>
      <c r="BA450" s="658"/>
      <c r="BB450" s="658"/>
      <c r="BC450" s="658"/>
      <c r="BD450" s="658"/>
      <c r="BE450" s="658"/>
      <c r="BF450" s="658"/>
      <c r="BG450" s="658"/>
      <c r="BH450" s="592"/>
      <c r="BI450" s="592"/>
      <c r="BJ450" s="592"/>
      <c r="BK450" s="592"/>
      <c r="BL450" s="592"/>
      <c r="BM450" s="592"/>
      <c r="BN450" s="592"/>
      <c r="BO450" s="592"/>
      <c r="BP450" s="592"/>
      <c r="BQ450" s="592"/>
    </row>
    <row r="451" spans="1:69" ht="12" customHeight="1" x14ac:dyDescent="0.15">
      <c r="A451" s="592"/>
      <c r="B451" s="658"/>
      <c r="C451" s="658"/>
      <c r="D451" s="658"/>
      <c r="E451" s="658"/>
      <c r="F451" s="658"/>
      <c r="G451" s="658"/>
      <c r="H451" s="658"/>
      <c r="I451" s="658"/>
      <c r="J451" s="658"/>
      <c r="K451" s="658"/>
      <c r="L451" s="658"/>
      <c r="M451" s="658"/>
      <c r="N451" s="658"/>
      <c r="O451" s="658"/>
      <c r="P451" s="658"/>
      <c r="Q451" s="658"/>
      <c r="R451" s="658"/>
      <c r="S451" s="658"/>
      <c r="T451" s="658"/>
      <c r="U451" s="658"/>
      <c r="V451" s="658"/>
      <c r="W451" s="658"/>
      <c r="X451" s="658"/>
      <c r="Y451" s="658"/>
      <c r="Z451" s="658"/>
      <c r="AA451" s="658"/>
      <c r="AB451" s="658"/>
      <c r="AC451" s="658"/>
      <c r="AD451" s="658"/>
      <c r="AE451" s="658"/>
      <c r="AF451" s="658"/>
      <c r="AG451" s="658"/>
      <c r="AH451" s="658"/>
      <c r="AI451" s="658"/>
      <c r="AJ451" s="658"/>
      <c r="AK451" s="658"/>
      <c r="AL451" s="658"/>
      <c r="AM451" s="658"/>
      <c r="AN451" s="658"/>
      <c r="AO451" s="658"/>
      <c r="AP451" s="658"/>
      <c r="AQ451" s="658"/>
      <c r="AR451" s="658"/>
      <c r="AS451" s="658"/>
      <c r="AT451" s="658"/>
      <c r="AU451" s="658"/>
      <c r="AV451" s="658"/>
      <c r="AW451" s="658"/>
      <c r="AX451" s="658"/>
      <c r="AY451" s="658"/>
      <c r="AZ451" s="658"/>
      <c r="BA451" s="658"/>
      <c r="BB451" s="658"/>
      <c r="BC451" s="658"/>
      <c r="BD451" s="658"/>
      <c r="BE451" s="658"/>
      <c r="BF451" s="658"/>
      <c r="BG451" s="658"/>
      <c r="BH451" s="592"/>
      <c r="BI451" s="592"/>
      <c r="BJ451" s="592"/>
      <c r="BK451" s="592"/>
      <c r="BL451" s="592"/>
      <c r="BM451" s="592"/>
      <c r="BN451" s="592"/>
      <c r="BO451" s="592"/>
      <c r="BP451" s="592"/>
      <c r="BQ451" s="592"/>
    </row>
    <row r="452" spans="1:69" ht="12" customHeight="1" x14ac:dyDescent="0.15">
      <c r="A452" s="592"/>
      <c r="B452" s="658"/>
      <c r="C452" s="658"/>
      <c r="D452" s="658"/>
      <c r="E452" s="658"/>
      <c r="F452" s="658"/>
      <c r="G452" s="658"/>
      <c r="H452" s="658"/>
      <c r="I452" s="658"/>
      <c r="J452" s="658"/>
      <c r="K452" s="658"/>
      <c r="L452" s="658"/>
      <c r="M452" s="658"/>
      <c r="N452" s="658"/>
      <c r="O452" s="658"/>
      <c r="P452" s="658"/>
      <c r="Q452" s="658"/>
      <c r="R452" s="658"/>
      <c r="S452" s="658"/>
      <c r="T452" s="658"/>
      <c r="U452" s="658"/>
      <c r="V452" s="658"/>
      <c r="W452" s="658"/>
      <c r="X452" s="658"/>
      <c r="Y452" s="658"/>
      <c r="Z452" s="658"/>
      <c r="AA452" s="658"/>
      <c r="AB452" s="658"/>
      <c r="AC452" s="658"/>
      <c r="AD452" s="658"/>
      <c r="AE452" s="658"/>
      <c r="AF452" s="658"/>
      <c r="AG452" s="658"/>
      <c r="AH452" s="658"/>
      <c r="AI452" s="658"/>
      <c r="AJ452" s="658"/>
      <c r="AK452" s="658"/>
      <c r="AL452" s="658"/>
      <c r="AM452" s="658"/>
      <c r="AN452" s="658"/>
      <c r="AO452" s="658"/>
      <c r="AP452" s="658"/>
      <c r="AQ452" s="658"/>
      <c r="AR452" s="658"/>
      <c r="AS452" s="658"/>
      <c r="AT452" s="658"/>
      <c r="AU452" s="658"/>
      <c r="AV452" s="658"/>
      <c r="AW452" s="658"/>
      <c r="AX452" s="658"/>
      <c r="AY452" s="658"/>
      <c r="AZ452" s="658"/>
      <c r="BA452" s="658"/>
      <c r="BB452" s="658"/>
      <c r="BC452" s="658"/>
      <c r="BD452" s="658"/>
      <c r="BE452" s="658"/>
      <c r="BF452" s="658"/>
      <c r="BG452" s="658"/>
      <c r="BH452" s="592"/>
      <c r="BI452" s="592"/>
      <c r="BJ452" s="592"/>
      <c r="BK452" s="592"/>
      <c r="BL452" s="592"/>
      <c r="BM452" s="592"/>
      <c r="BN452" s="592"/>
      <c r="BO452" s="592"/>
      <c r="BP452" s="592"/>
      <c r="BQ452" s="592"/>
    </row>
    <row r="453" spans="1:69" ht="12" customHeight="1" x14ac:dyDescent="0.15">
      <c r="A453" s="592"/>
      <c r="B453" s="658"/>
      <c r="C453" s="658"/>
      <c r="D453" s="658"/>
      <c r="E453" s="658"/>
      <c r="F453" s="658"/>
      <c r="G453" s="658"/>
      <c r="H453" s="658"/>
      <c r="I453" s="658"/>
      <c r="J453" s="658"/>
      <c r="K453" s="658"/>
      <c r="L453" s="658"/>
      <c r="M453" s="658"/>
      <c r="N453" s="658"/>
      <c r="O453" s="658"/>
      <c r="P453" s="658"/>
      <c r="Q453" s="658"/>
      <c r="R453" s="658"/>
      <c r="S453" s="658"/>
      <c r="T453" s="658"/>
      <c r="U453" s="658"/>
      <c r="V453" s="658"/>
      <c r="W453" s="658"/>
      <c r="X453" s="658"/>
      <c r="Y453" s="658"/>
      <c r="Z453" s="658"/>
      <c r="AA453" s="658"/>
      <c r="AB453" s="658"/>
      <c r="AC453" s="658"/>
      <c r="AD453" s="658"/>
      <c r="AE453" s="658"/>
      <c r="AF453" s="658"/>
      <c r="AG453" s="658"/>
      <c r="AH453" s="658"/>
      <c r="AI453" s="658"/>
      <c r="AJ453" s="658"/>
      <c r="AK453" s="658"/>
      <c r="AL453" s="658"/>
      <c r="AM453" s="658"/>
      <c r="AN453" s="658"/>
      <c r="AO453" s="658"/>
      <c r="AP453" s="658"/>
      <c r="AQ453" s="658"/>
      <c r="AR453" s="658"/>
      <c r="AS453" s="658"/>
      <c r="AT453" s="658"/>
      <c r="AU453" s="658"/>
      <c r="AV453" s="658"/>
      <c r="AW453" s="658"/>
      <c r="AX453" s="658"/>
      <c r="AY453" s="658"/>
      <c r="AZ453" s="658"/>
      <c r="BA453" s="658"/>
      <c r="BB453" s="658"/>
      <c r="BC453" s="658"/>
      <c r="BD453" s="658"/>
      <c r="BE453" s="658"/>
      <c r="BF453" s="658"/>
      <c r="BG453" s="658"/>
      <c r="BH453" s="592"/>
      <c r="BI453" s="592"/>
      <c r="BJ453" s="592"/>
      <c r="BK453" s="592"/>
      <c r="BL453" s="592"/>
      <c r="BM453" s="592"/>
      <c r="BN453" s="592"/>
      <c r="BO453" s="592"/>
      <c r="BP453" s="592"/>
      <c r="BQ453" s="592"/>
    </row>
    <row r="454" spans="1:69" ht="12" customHeight="1" x14ac:dyDescent="0.15">
      <c r="A454" s="592"/>
      <c r="B454" s="658"/>
      <c r="C454" s="658"/>
      <c r="D454" s="658"/>
      <c r="E454" s="658"/>
      <c r="F454" s="658"/>
      <c r="G454" s="658"/>
      <c r="H454" s="658"/>
      <c r="I454" s="658"/>
      <c r="J454" s="658"/>
      <c r="K454" s="658"/>
      <c r="L454" s="658"/>
      <c r="M454" s="658"/>
      <c r="N454" s="658"/>
      <c r="O454" s="658"/>
      <c r="P454" s="658"/>
      <c r="Q454" s="658"/>
      <c r="R454" s="658"/>
      <c r="S454" s="658"/>
      <c r="T454" s="658"/>
      <c r="U454" s="658"/>
      <c r="V454" s="658"/>
      <c r="W454" s="658"/>
      <c r="X454" s="658"/>
      <c r="Y454" s="658"/>
      <c r="Z454" s="658"/>
      <c r="AA454" s="658"/>
      <c r="AB454" s="658"/>
      <c r="AC454" s="658"/>
      <c r="AD454" s="658"/>
      <c r="AE454" s="658"/>
      <c r="AF454" s="658"/>
      <c r="AG454" s="658"/>
      <c r="AH454" s="658"/>
      <c r="AI454" s="658"/>
      <c r="AJ454" s="658"/>
      <c r="AK454" s="658"/>
      <c r="AL454" s="658"/>
      <c r="AM454" s="658"/>
      <c r="AN454" s="658"/>
      <c r="AO454" s="658"/>
      <c r="AP454" s="658"/>
      <c r="AQ454" s="658"/>
      <c r="AR454" s="658"/>
      <c r="AS454" s="658"/>
      <c r="AT454" s="658"/>
      <c r="AU454" s="658"/>
      <c r="AV454" s="658"/>
      <c r="AW454" s="658"/>
      <c r="AX454" s="658"/>
      <c r="AY454" s="658"/>
      <c r="AZ454" s="658"/>
      <c r="BA454" s="658"/>
      <c r="BB454" s="658"/>
      <c r="BC454" s="658"/>
      <c r="BD454" s="658"/>
      <c r="BE454" s="658"/>
      <c r="BF454" s="658"/>
      <c r="BG454" s="658"/>
      <c r="BH454" s="592"/>
      <c r="BI454" s="592"/>
      <c r="BJ454" s="592"/>
      <c r="BK454" s="592"/>
      <c r="BL454" s="592"/>
      <c r="BM454" s="592"/>
      <c r="BN454" s="592"/>
      <c r="BO454" s="592"/>
      <c r="BP454" s="592"/>
      <c r="BQ454" s="592"/>
    </row>
    <row r="455" spans="1:69" ht="12" customHeight="1" x14ac:dyDescent="0.15">
      <c r="A455" s="592"/>
      <c r="B455" s="658"/>
      <c r="C455" s="658"/>
      <c r="D455" s="658"/>
      <c r="E455" s="658"/>
      <c r="F455" s="658"/>
      <c r="G455" s="658"/>
      <c r="H455" s="658"/>
      <c r="I455" s="658"/>
      <c r="J455" s="658"/>
      <c r="K455" s="658"/>
      <c r="L455" s="658"/>
      <c r="M455" s="658"/>
      <c r="N455" s="658"/>
      <c r="O455" s="658"/>
      <c r="P455" s="658"/>
      <c r="Q455" s="658"/>
      <c r="R455" s="658"/>
      <c r="S455" s="658"/>
      <c r="T455" s="658"/>
      <c r="U455" s="658"/>
      <c r="V455" s="658"/>
      <c r="W455" s="658"/>
      <c r="X455" s="658"/>
      <c r="Y455" s="658"/>
      <c r="Z455" s="658"/>
      <c r="AA455" s="658"/>
      <c r="AB455" s="658"/>
      <c r="AC455" s="658"/>
      <c r="AD455" s="658"/>
      <c r="AE455" s="658"/>
      <c r="AF455" s="658"/>
      <c r="AG455" s="658"/>
      <c r="AH455" s="658"/>
      <c r="AI455" s="658"/>
      <c r="AJ455" s="658"/>
      <c r="AK455" s="658"/>
      <c r="AL455" s="658"/>
      <c r="AM455" s="658"/>
      <c r="AN455" s="658"/>
      <c r="AO455" s="658"/>
      <c r="AP455" s="658"/>
      <c r="AQ455" s="658"/>
      <c r="AR455" s="658"/>
      <c r="AS455" s="658"/>
      <c r="AT455" s="658"/>
      <c r="AU455" s="658"/>
      <c r="AV455" s="658"/>
      <c r="AW455" s="658"/>
      <c r="AX455" s="658"/>
      <c r="AY455" s="658"/>
      <c r="AZ455" s="658"/>
      <c r="BA455" s="658"/>
      <c r="BB455" s="658"/>
      <c r="BC455" s="658"/>
      <c r="BD455" s="658"/>
      <c r="BE455" s="658"/>
      <c r="BF455" s="658"/>
      <c r="BG455" s="658"/>
      <c r="BH455" s="592"/>
      <c r="BI455" s="592"/>
      <c r="BJ455" s="592"/>
      <c r="BK455" s="592"/>
      <c r="BL455" s="592"/>
      <c r="BM455" s="592"/>
      <c r="BN455" s="592"/>
      <c r="BO455" s="592"/>
      <c r="BP455" s="592"/>
      <c r="BQ455" s="592"/>
    </row>
    <row r="456" spans="1:69" ht="12" customHeight="1" x14ac:dyDescent="0.15">
      <c r="A456" s="592"/>
      <c r="B456" s="658"/>
      <c r="C456" s="658"/>
      <c r="D456" s="658"/>
      <c r="E456" s="658"/>
      <c r="F456" s="658"/>
      <c r="G456" s="658"/>
      <c r="H456" s="658"/>
      <c r="I456" s="658"/>
      <c r="J456" s="658"/>
      <c r="K456" s="658"/>
      <c r="L456" s="658"/>
      <c r="M456" s="658"/>
      <c r="N456" s="658"/>
      <c r="O456" s="658"/>
      <c r="P456" s="658"/>
      <c r="Q456" s="658"/>
      <c r="R456" s="658"/>
      <c r="S456" s="658"/>
      <c r="T456" s="658"/>
      <c r="U456" s="658"/>
      <c r="V456" s="658"/>
      <c r="W456" s="658"/>
      <c r="X456" s="658"/>
      <c r="Y456" s="658"/>
      <c r="Z456" s="658"/>
      <c r="AA456" s="658"/>
      <c r="AB456" s="658"/>
      <c r="AC456" s="658"/>
      <c r="AD456" s="658"/>
      <c r="AE456" s="658"/>
      <c r="AF456" s="658"/>
      <c r="AG456" s="658"/>
      <c r="AH456" s="658"/>
      <c r="AI456" s="658"/>
      <c r="AJ456" s="658"/>
      <c r="AK456" s="658"/>
      <c r="AL456" s="658"/>
      <c r="AM456" s="658"/>
      <c r="AN456" s="658"/>
      <c r="AO456" s="658"/>
      <c r="AP456" s="658"/>
      <c r="AQ456" s="658"/>
      <c r="AR456" s="658"/>
      <c r="AS456" s="658"/>
      <c r="AT456" s="658"/>
      <c r="AU456" s="658"/>
      <c r="AV456" s="658"/>
      <c r="AW456" s="658"/>
      <c r="AX456" s="658"/>
      <c r="AY456" s="658"/>
      <c r="AZ456" s="658"/>
      <c r="BA456" s="658"/>
      <c r="BB456" s="658"/>
      <c r="BC456" s="658"/>
      <c r="BD456" s="658"/>
      <c r="BE456" s="658"/>
      <c r="BF456" s="658"/>
      <c r="BG456" s="658"/>
      <c r="BH456" s="592"/>
      <c r="BI456" s="592"/>
      <c r="BJ456" s="592"/>
      <c r="BK456" s="592"/>
      <c r="BL456" s="592"/>
      <c r="BM456" s="592"/>
      <c r="BN456" s="592"/>
      <c r="BO456" s="592"/>
      <c r="BP456" s="592"/>
      <c r="BQ456" s="592"/>
    </row>
    <row r="457" spans="1:69" ht="12" customHeight="1" x14ac:dyDescent="0.15">
      <c r="A457" s="592"/>
      <c r="B457" s="658"/>
      <c r="C457" s="658"/>
      <c r="D457" s="658"/>
      <c r="E457" s="658"/>
      <c r="F457" s="658"/>
      <c r="G457" s="658"/>
      <c r="H457" s="658"/>
      <c r="I457" s="658"/>
      <c r="J457" s="658"/>
      <c r="K457" s="658"/>
      <c r="L457" s="658"/>
      <c r="M457" s="658"/>
      <c r="N457" s="658"/>
      <c r="O457" s="658"/>
      <c r="P457" s="658"/>
      <c r="Q457" s="658"/>
      <c r="R457" s="658"/>
      <c r="S457" s="658"/>
      <c r="T457" s="658"/>
      <c r="U457" s="658"/>
      <c r="V457" s="658"/>
      <c r="W457" s="658"/>
      <c r="X457" s="658"/>
      <c r="Y457" s="658"/>
      <c r="Z457" s="658"/>
      <c r="AA457" s="658"/>
      <c r="AB457" s="658"/>
      <c r="AC457" s="658"/>
      <c r="AD457" s="658"/>
      <c r="AE457" s="658"/>
      <c r="AF457" s="658"/>
      <c r="AG457" s="658"/>
      <c r="AH457" s="658"/>
      <c r="AI457" s="658"/>
      <c r="AJ457" s="658"/>
      <c r="AK457" s="658"/>
      <c r="AL457" s="658"/>
      <c r="AM457" s="658"/>
      <c r="AN457" s="658"/>
      <c r="AO457" s="658"/>
      <c r="AP457" s="658"/>
      <c r="AQ457" s="658"/>
      <c r="AR457" s="658"/>
      <c r="AS457" s="658"/>
      <c r="AT457" s="658"/>
      <c r="AU457" s="658"/>
      <c r="AV457" s="658"/>
      <c r="AW457" s="658"/>
      <c r="AX457" s="658"/>
      <c r="AY457" s="658"/>
      <c r="AZ457" s="658"/>
      <c r="BA457" s="658"/>
      <c r="BB457" s="658"/>
      <c r="BC457" s="658"/>
      <c r="BD457" s="658"/>
      <c r="BE457" s="658"/>
      <c r="BF457" s="658"/>
      <c r="BG457" s="658"/>
      <c r="BH457" s="592"/>
      <c r="BI457" s="592"/>
      <c r="BJ457" s="592"/>
      <c r="BK457" s="592"/>
      <c r="BL457" s="592"/>
      <c r="BM457" s="592"/>
      <c r="BN457" s="592"/>
      <c r="BO457" s="592"/>
      <c r="BP457" s="592"/>
      <c r="BQ457" s="592"/>
    </row>
    <row r="458" spans="1:69" ht="12" customHeight="1" x14ac:dyDescent="0.15">
      <c r="A458" s="592"/>
      <c r="B458" s="658"/>
      <c r="C458" s="658"/>
      <c r="D458" s="658"/>
      <c r="E458" s="658"/>
      <c r="F458" s="658"/>
      <c r="G458" s="658"/>
      <c r="H458" s="658"/>
      <c r="I458" s="658"/>
      <c r="J458" s="658"/>
      <c r="K458" s="658"/>
      <c r="L458" s="658"/>
      <c r="M458" s="658"/>
      <c r="N458" s="658"/>
      <c r="O458" s="658"/>
      <c r="P458" s="658"/>
      <c r="Q458" s="658"/>
      <c r="R458" s="658"/>
      <c r="S458" s="658"/>
      <c r="T458" s="658"/>
      <c r="U458" s="658"/>
      <c r="V458" s="658"/>
      <c r="W458" s="658"/>
      <c r="X458" s="658"/>
      <c r="Y458" s="658"/>
      <c r="Z458" s="658"/>
      <c r="AA458" s="658"/>
      <c r="AB458" s="658"/>
      <c r="AC458" s="658"/>
      <c r="AD458" s="658"/>
      <c r="AE458" s="658"/>
      <c r="AF458" s="658"/>
      <c r="AG458" s="658"/>
      <c r="AH458" s="658"/>
      <c r="AI458" s="658"/>
      <c r="AJ458" s="658"/>
      <c r="AK458" s="658"/>
      <c r="AL458" s="658"/>
      <c r="AM458" s="658"/>
      <c r="AN458" s="658"/>
      <c r="AO458" s="658"/>
      <c r="AP458" s="658"/>
      <c r="AQ458" s="658"/>
      <c r="AR458" s="658"/>
      <c r="AS458" s="658"/>
      <c r="AT458" s="658"/>
      <c r="AU458" s="658"/>
      <c r="AV458" s="658"/>
      <c r="AW458" s="658"/>
      <c r="AX458" s="658"/>
      <c r="AY458" s="658"/>
      <c r="AZ458" s="658"/>
      <c r="BA458" s="658"/>
      <c r="BB458" s="658"/>
      <c r="BC458" s="658"/>
      <c r="BD458" s="658"/>
      <c r="BE458" s="658"/>
      <c r="BF458" s="658"/>
      <c r="BG458" s="658"/>
      <c r="BH458" s="592"/>
      <c r="BI458" s="592"/>
      <c r="BJ458" s="592"/>
      <c r="BK458" s="592"/>
      <c r="BL458" s="592"/>
      <c r="BM458" s="592"/>
      <c r="BN458" s="592"/>
      <c r="BO458" s="592"/>
      <c r="BP458" s="592"/>
      <c r="BQ458" s="592"/>
    </row>
    <row r="459" spans="1:69" ht="12" customHeight="1" x14ac:dyDescent="0.15">
      <c r="A459" s="592"/>
      <c r="B459" s="658"/>
      <c r="C459" s="658"/>
      <c r="D459" s="658"/>
      <c r="E459" s="658"/>
      <c r="F459" s="658"/>
      <c r="G459" s="658"/>
      <c r="H459" s="658"/>
      <c r="I459" s="658"/>
      <c r="J459" s="658"/>
      <c r="K459" s="658"/>
      <c r="L459" s="658"/>
      <c r="M459" s="658"/>
      <c r="N459" s="658"/>
      <c r="O459" s="658"/>
      <c r="P459" s="658"/>
      <c r="Q459" s="658"/>
      <c r="R459" s="658"/>
      <c r="S459" s="658"/>
      <c r="T459" s="658"/>
      <c r="U459" s="658"/>
      <c r="V459" s="658"/>
      <c r="W459" s="658"/>
      <c r="X459" s="658"/>
      <c r="Y459" s="658"/>
      <c r="Z459" s="658"/>
      <c r="AA459" s="658"/>
      <c r="AB459" s="658"/>
      <c r="AC459" s="658"/>
      <c r="AD459" s="658"/>
      <c r="AE459" s="658"/>
      <c r="AF459" s="658"/>
      <c r="AG459" s="658"/>
      <c r="AH459" s="658"/>
      <c r="AI459" s="658"/>
      <c r="AJ459" s="658"/>
      <c r="AK459" s="658"/>
      <c r="AL459" s="658"/>
      <c r="AM459" s="658"/>
      <c r="AN459" s="658"/>
      <c r="AO459" s="658"/>
      <c r="AP459" s="658"/>
      <c r="AQ459" s="658"/>
      <c r="AR459" s="658"/>
      <c r="AS459" s="658"/>
      <c r="AT459" s="658"/>
      <c r="AU459" s="658"/>
      <c r="AV459" s="658"/>
      <c r="AW459" s="658"/>
      <c r="AX459" s="658"/>
      <c r="AY459" s="658"/>
      <c r="AZ459" s="658"/>
      <c r="BA459" s="658"/>
      <c r="BB459" s="658"/>
      <c r="BC459" s="658"/>
      <c r="BD459" s="658"/>
      <c r="BE459" s="658"/>
      <c r="BF459" s="658"/>
      <c r="BG459" s="658"/>
      <c r="BH459" s="592"/>
      <c r="BI459" s="592"/>
      <c r="BJ459" s="592"/>
      <c r="BK459" s="592"/>
      <c r="BL459" s="592"/>
      <c r="BM459" s="592"/>
      <c r="BN459" s="592"/>
      <c r="BO459" s="592"/>
      <c r="BP459" s="592"/>
      <c r="BQ459" s="592"/>
    </row>
    <row r="460" spans="1:69" ht="12" customHeight="1" x14ac:dyDescent="0.15">
      <c r="A460" s="592"/>
      <c r="B460" s="658"/>
      <c r="C460" s="658"/>
      <c r="D460" s="658"/>
      <c r="E460" s="658"/>
      <c r="F460" s="658"/>
      <c r="G460" s="658"/>
      <c r="H460" s="658"/>
      <c r="I460" s="658"/>
      <c r="J460" s="658"/>
      <c r="K460" s="658"/>
      <c r="L460" s="658"/>
      <c r="M460" s="658"/>
      <c r="N460" s="658"/>
      <c r="O460" s="658"/>
      <c r="P460" s="658"/>
      <c r="Q460" s="658"/>
      <c r="R460" s="658"/>
      <c r="S460" s="658"/>
      <c r="T460" s="658"/>
      <c r="U460" s="658"/>
      <c r="V460" s="658"/>
      <c r="W460" s="658"/>
      <c r="X460" s="658"/>
      <c r="Y460" s="658"/>
      <c r="Z460" s="658"/>
      <c r="AA460" s="658"/>
      <c r="AB460" s="658"/>
      <c r="AC460" s="658"/>
      <c r="AD460" s="658"/>
      <c r="AE460" s="658"/>
      <c r="AF460" s="658"/>
      <c r="AG460" s="658"/>
      <c r="AH460" s="658"/>
      <c r="AI460" s="658"/>
      <c r="AJ460" s="658"/>
      <c r="AK460" s="658"/>
      <c r="AL460" s="658"/>
      <c r="AM460" s="658"/>
      <c r="AN460" s="658"/>
      <c r="AO460" s="658"/>
      <c r="AP460" s="658"/>
      <c r="AQ460" s="658"/>
      <c r="AR460" s="658"/>
      <c r="AS460" s="658"/>
      <c r="AT460" s="658"/>
      <c r="AU460" s="658"/>
      <c r="AV460" s="658"/>
      <c r="AW460" s="658"/>
      <c r="AX460" s="658"/>
      <c r="AY460" s="658"/>
      <c r="AZ460" s="658"/>
      <c r="BA460" s="658"/>
      <c r="BB460" s="658"/>
      <c r="BC460" s="658"/>
      <c r="BD460" s="658"/>
      <c r="BE460" s="658"/>
      <c r="BF460" s="658"/>
      <c r="BG460" s="658"/>
      <c r="BH460" s="592"/>
      <c r="BI460" s="592"/>
      <c r="BJ460" s="592"/>
      <c r="BK460" s="592"/>
      <c r="BL460" s="592"/>
      <c r="BM460" s="592"/>
      <c r="BN460" s="592"/>
      <c r="BO460" s="592"/>
      <c r="BP460" s="592"/>
      <c r="BQ460" s="592"/>
    </row>
    <row r="461" spans="1:69" ht="12" customHeight="1" x14ac:dyDescent="0.15">
      <c r="A461" s="592"/>
      <c r="B461" s="658"/>
      <c r="C461" s="658"/>
      <c r="D461" s="658"/>
      <c r="E461" s="658"/>
      <c r="F461" s="658"/>
      <c r="G461" s="658"/>
      <c r="H461" s="658"/>
      <c r="I461" s="658"/>
      <c r="J461" s="658"/>
      <c r="K461" s="658"/>
      <c r="L461" s="658"/>
      <c r="M461" s="658"/>
      <c r="N461" s="658"/>
      <c r="O461" s="658"/>
      <c r="P461" s="658"/>
      <c r="Q461" s="658"/>
      <c r="R461" s="658"/>
      <c r="S461" s="658"/>
      <c r="T461" s="658"/>
      <c r="U461" s="658"/>
      <c r="V461" s="658"/>
      <c r="W461" s="658"/>
      <c r="X461" s="658"/>
      <c r="Y461" s="658"/>
      <c r="Z461" s="658"/>
      <c r="AA461" s="658"/>
      <c r="AB461" s="658"/>
      <c r="AC461" s="658"/>
      <c r="AD461" s="658"/>
      <c r="AE461" s="658"/>
      <c r="AF461" s="658"/>
      <c r="AG461" s="658"/>
      <c r="AH461" s="658"/>
      <c r="AI461" s="658"/>
      <c r="AJ461" s="658"/>
      <c r="AK461" s="658"/>
      <c r="AL461" s="658"/>
      <c r="AM461" s="658"/>
      <c r="AN461" s="658"/>
      <c r="AO461" s="658"/>
      <c r="AP461" s="658"/>
      <c r="AQ461" s="658"/>
      <c r="AR461" s="658"/>
      <c r="AS461" s="658"/>
      <c r="AT461" s="658"/>
      <c r="AU461" s="658"/>
      <c r="AV461" s="658"/>
      <c r="AW461" s="658"/>
      <c r="AX461" s="658"/>
      <c r="AY461" s="658"/>
      <c r="AZ461" s="658"/>
      <c r="BA461" s="658"/>
      <c r="BB461" s="658"/>
      <c r="BC461" s="658"/>
      <c r="BD461" s="658"/>
      <c r="BE461" s="658"/>
      <c r="BF461" s="658"/>
      <c r="BG461" s="658"/>
      <c r="BH461" s="592"/>
      <c r="BI461" s="592"/>
      <c r="BJ461" s="592"/>
      <c r="BK461" s="592"/>
      <c r="BL461" s="592"/>
      <c r="BM461" s="592"/>
      <c r="BN461" s="592"/>
      <c r="BO461" s="592"/>
      <c r="BP461" s="592"/>
      <c r="BQ461" s="592"/>
    </row>
    <row r="462" spans="1:69" ht="12" customHeight="1" x14ac:dyDescent="0.15">
      <c r="A462" s="592"/>
      <c r="B462" s="658"/>
      <c r="C462" s="658"/>
      <c r="D462" s="658"/>
      <c r="E462" s="658"/>
      <c r="F462" s="658"/>
      <c r="G462" s="658"/>
      <c r="H462" s="658"/>
      <c r="I462" s="658"/>
      <c r="J462" s="658"/>
      <c r="K462" s="658"/>
      <c r="L462" s="658"/>
      <c r="M462" s="658"/>
      <c r="N462" s="658"/>
      <c r="O462" s="658"/>
      <c r="P462" s="658"/>
      <c r="Q462" s="658"/>
      <c r="R462" s="658"/>
      <c r="S462" s="658"/>
      <c r="T462" s="658"/>
      <c r="U462" s="658"/>
      <c r="V462" s="658"/>
      <c r="W462" s="658"/>
      <c r="X462" s="658"/>
      <c r="Y462" s="658"/>
      <c r="Z462" s="658"/>
      <c r="AA462" s="658"/>
      <c r="AB462" s="658"/>
      <c r="AC462" s="658"/>
      <c r="AD462" s="658"/>
      <c r="AE462" s="658"/>
      <c r="AF462" s="658"/>
      <c r="AG462" s="658"/>
      <c r="AH462" s="658"/>
      <c r="AI462" s="658"/>
      <c r="AJ462" s="658"/>
      <c r="AK462" s="658"/>
      <c r="AL462" s="658"/>
      <c r="AM462" s="658"/>
      <c r="AN462" s="658"/>
      <c r="AO462" s="658"/>
      <c r="AP462" s="658"/>
      <c r="AQ462" s="658"/>
      <c r="AR462" s="658"/>
      <c r="AS462" s="658"/>
      <c r="AT462" s="658"/>
      <c r="AU462" s="658"/>
      <c r="AV462" s="658"/>
      <c r="AW462" s="658"/>
      <c r="AX462" s="658"/>
      <c r="AY462" s="658"/>
      <c r="AZ462" s="658"/>
      <c r="BA462" s="658"/>
      <c r="BB462" s="658"/>
      <c r="BC462" s="658"/>
      <c r="BD462" s="658"/>
      <c r="BE462" s="658"/>
      <c r="BF462" s="658"/>
      <c r="BG462" s="658"/>
      <c r="BH462" s="592"/>
      <c r="BI462" s="592"/>
      <c r="BJ462" s="592"/>
      <c r="BK462" s="592"/>
      <c r="BL462" s="592"/>
      <c r="BM462" s="592"/>
      <c r="BN462" s="592"/>
      <c r="BO462" s="592"/>
      <c r="BP462" s="592"/>
      <c r="BQ462" s="592"/>
    </row>
    <row r="463" spans="1:69" ht="12" customHeight="1" x14ac:dyDescent="0.15">
      <c r="A463" s="592"/>
      <c r="B463" s="658"/>
      <c r="C463" s="658"/>
      <c r="D463" s="658"/>
      <c r="E463" s="658"/>
      <c r="F463" s="658"/>
      <c r="G463" s="658"/>
      <c r="H463" s="658"/>
      <c r="I463" s="658"/>
      <c r="J463" s="658"/>
      <c r="K463" s="658"/>
      <c r="L463" s="658"/>
      <c r="M463" s="658"/>
      <c r="N463" s="658"/>
      <c r="O463" s="658"/>
      <c r="P463" s="658"/>
      <c r="Q463" s="658"/>
      <c r="R463" s="658"/>
      <c r="S463" s="658"/>
      <c r="T463" s="658"/>
      <c r="U463" s="658"/>
      <c r="V463" s="658"/>
      <c r="W463" s="658"/>
      <c r="X463" s="658"/>
      <c r="Y463" s="658"/>
      <c r="Z463" s="658"/>
      <c r="AA463" s="658"/>
      <c r="AB463" s="658"/>
      <c r="AC463" s="658"/>
      <c r="AD463" s="658"/>
      <c r="AE463" s="658"/>
      <c r="AF463" s="658"/>
      <c r="AG463" s="658"/>
      <c r="AH463" s="658"/>
      <c r="AI463" s="658"/>
      <c r="AJ463" s="658"/>
      <c r="AK463" s="658"/>
      <c r="AL463" s="658"/>
      <c r="AM463" s="658"/>
      <c r="AN463" s="658"/>
      <c r="AO463" s="658"/>
      <c r="AP463" s="658"/>
      <c r="AQ463" s="658"/>
      <c r="AR463" s="658"/>
      <c r="AS463" s="658"/>
      <c r="AT463" s="658"/>
      <c r="AU463" s="658"/>
      <c r="AV463" s="658"/>
      <c r="AW463" s="658"/>
      <c r="AX463" s="658"/>
      <c r="AY463" s="658"/>
      <c r="AZ463" s="658"/>
      <c r="BA463" s="658"/>
      <c r="BB463" s="658"/>
      <c r="BC463" s="658"/>
      <c r="BD463" s="658"/>
      <c r="BE463" s="658"/>
      <c r="BF463" s="658"/>
      <c r="BG463" s="658"/>
      <c r="BH463" s="592"/>
      <c r="BI463" s="592"/>
      <c r="BJ463" s="592"/>
      <c r="BK463" s="592"/>
      <c r="BL463" s="592"/>
      <c r="BM463" s="592"/>
      <c r="BN463" s="592"/>
      <c r="BO463" s="592"/>
      <c r="BP463" s="592"/>
      <c r="BQ463" s="592"/>
    </row>
    <row r="464" spans="1:69" ht="12" customHeight="1" x14ac:dyDescent="0.15">
      <c r="A464" s="592"/>
      <c r="B464" s="658"/>
      <c r="C464" s="658"/>
      <c r="D464" s="658"/>
      <c r="E464" s="658"/>
      <c r="F464" s="658"/>
      <c r="G464" s="658"/>
      <c r="H464" s="658"/>
      <c r="I464" s="658"/>
      <c r="J464" s="658"/>
      <c r="K464" s="658"/>
      <c r="L464" s="658"/>
      <c r="M464" s="658"/>
      <c r="N464" s="658"/>
      <c r="O464" s="658"/>
      <c r="P464" s="658"/>
      <c r="Q464" s="658"/>
      <c r="R464" s="658"/>
      <c r="S464" s="658"/>
      <c r="T464" s="658"/>
      <c r="U464" s="658"/>
      <c r="V464" s="658"/>
      <c r="W464" s="658"/>
      <c r="X464" s="658"/>
      <c r="Y464" s="658"/>
      <c r="Z464" s="658"/>
      <c r="AA464" s="658"/>
      <c r="AB464" s="658"/>
      <c r="AC464" s="658"/>
      <c r="AD464" s="658"/>
      <c r="AE464" s="658"/>
      <c r="AF464" s="658"/>
      <c r="AG464" s="658"/>
      <c r="AH464" s="658"/>
      <c r="AI464" s="658"/>
      <c r="AJ464" s="658"/>
      <c r="AK464" s="658"/>
      <c r="AL464" s="658"/>
      <c r="AM464" s="658"/>
      <c r="AN464" s="658"/>
      <c r="AO464" s="658"/>
      <c r="AP464" s="658"/>
      <c r="AQ464" s="658"/>
      <c r="AR464" s="658"/>
      <c r="AS464" s="658"/>
      <c r="AT464" s="658"/>
      <c r="AU464" s="658"/>
      <c r="AV464" s="658"/>
      <c r="AW464" s="658"/>
      <c r="AX464" s="658"/>
      <c r="AY464" s="658"/>
      <c r="AZ464" s="658"/>
      <c r="BA464" s="658"/>
      <c r="BB464" s="658"/>
      <c r="BC464" s="658"/>
      <c r="BD464" s="658"/>
      <c r="BE464" s="658"/>
      <c r="BF464" s="658"/>
      <c r="BG464" s="658"/>
      <c r="BH464" s="592"/>
      <c r="BI464" s="592"/>
      <c r="BJ464" s="592"/>
      <c r="BK464" s="592"/>
      <c r="BL464" s="592"/>
      <c r="BM464" s="592"/>
      <c r="BN464" s="592"/>
      <c r="BO464" s="592"/>
      <c r="BP464" s="592"/>
      <c r="BQ464" s="592"/>
    </row>
    <row r="465" spans="1:69" ht="12" customHeight="1" x14ac:dyDescent="0.15">
      <c r="A465" s="592"/>
      <c r="B465" s="658"/>
      <c r="C465" s="658"/>
      <c r="D465" s="658"/>
      <c r="E465" s="658"/>
      <c r="F465" s="658"/>
      <c r="G465" s="658"/>
      <c r="H465" s="658"/>
      <c r="I465" s="658"/>
      <c r="J465" s="658"/>
      <c r="K465" s="658"/>
      <c r="L465" s="658"/>
      <c r="M465" s="658"/>
      <c r="N465" s="658"/>
      <c r="O465" s="658"/>
      <c r="P465" s="658"/>
      <c r="Q465" s="658"/>
      <c r="R465" s="658"/>
      <c r="S465" s="658"/>
      <c r="T465" s="658"/>
      <c r="U465" s="658"/>
      <c r="V465" s="658"/>
      <c r="W465" s="658"/>
      <c r="X465" s="658"/>
      <c r="Y465" s="658"/>
      <c r="Z465" s="658"/>
      <c r="AA465" s="658"/>
      <c r="AB465" s="658"/>
      <c r="AC465" s="658"/>
      <c r="AD465" s="658"/>
      <c r="AE465" s="658"/>
      <c r="AF465" s="658"/>
      <c r="AG465" s="658"/>
      <c r="AH465" s="658"/>
      <c r="AI465" s="658"/>
      <c r="AJ465" s="658"/>
      <c r="AK465" s="658"/>
      <c r="AL465" s="658"/>
      <c r="AM465" s="658"/>
      <c r="AN465" s="658"/>
      <c r="AO465" s="658"/>
      <c r="AP465" s="658"/>
      <c r="AQ465" s="658"/>
      <c r="AR465" s="658"/>
      <c r="AS465" s="658"/>
      <c r="AT465" s="658"/>
      <c r="AU465" s="658"/>
      <c r="AV465" s="658"/>
      <c r="AW465" s="658"/>
      <c r="AX465" s="658"/>
      <c r="AY465" s="658"/>
      <c r="AZ465" s="658"/>
      <c r="BA465" s="658"/>
      <c r="BB465" s="658"/>
      <c r="BC465" s="658"/>
      <c r="BD465" s="658"/>
      <c r="BE465" s="658"/>
      <c r="BF465" s="658"/>
      <c r="BG465" s="658"/>
      <c r="BH465" s="592"/>
      <c r="BI465" s="592"/>
      <c r="BJ465" s="592"/>
      <c r="BK465" s="592"/>
      <c r="BL465" s="592"/>
      <c r="BM465" s="592"/>
      <c r="BN465" s="592"/>
      <c r="BO465" s="592"/>
      <c r="BP465" s="592"/>
      <c r="BQ465" s="592"/>
    </row>
    <row r="466" spans="1:69" ht="12" customHeight="1" x14ac:dyDescent="0.15">
      <c r="A466" s="592"/>
      <c r="B466" s="658"/>
      <c r="C466" s="658"/>
      <c r="D466" s="658"/>
      <c r="E466" s="658"/>
      <c r="F466" s="658"/>
      <c r="G466" s="658"/>
      <c r="H466" s="658"/>
      <c r="I466" s="658"/>
      <c r="J466" s="658"/>
      <c r="K466" s="658"/>
      <c r="L466" s="658"/>
      <c r="M466" s="658"/>
      <c r="N466" s="658"/>
      <c r="O466" s="658"/>
      <c r="P466" s="658"/>
      <c r="Q466" s="658"/>
      <c r="R466" s="658"/>
      <c r="S466" s="658"/>
      <c r="T466" s="658"/>
      <c r="U466" s="658"/>
      <c r="V466" s="658"/>
      <c r="W466" s="658"/>
      <c r="X466" s="658"/>
      <c r="Y466" s="658"/>
      <c r="Z466" s="658"/>
      <c r="AA466" s="658"/>
      <c r="AB466" s="658"/>
      <c r="AC466" s="658"/>
      <c r="AD466" s="658"/>
      <c r="AE466" s="658"/>
      <c r="AF466" s="658"/>
      <c r="AG466" s="658"/>
      <c r="AH466" s="658"/>
      <c r="AI466" s="658"/>
      <c r="AJ466" s="658"/>
      <c r="AK466" s="658"/>
      <c r="AL466" s="658"/>
      <c r="AM466" s="658"/>
      <c r="AN466" s="658"/>
      <c r="AO466" s="658"/>
      <c r="AP466" s="658"/>
      <c r="AQ466" s="658"/>
      <c r="AR466" s="658"/>
      <c r="AS466" s="658"/>
      <c r="AT466" s="658"/>
      <c r="AU466" s="658"/>
      <c r="AV466" s="658"/>
      <c r="AW466" s="658"/>
      <c r="AX466" s="658"/>
      <c r="AY466" s="658"/>
      <c r="AZ466" s="658"/>
      <c r="BA466" s="658"/>
      <c r="BB466" s="658"/>
      <c r="BC466" s="658"/>
      <c r="BD466" s="658"/>
      <c r="BE466" s="658"/>
      <c r="BF466" s="658"/>
      <c r="BG466" s="658"/>
      <c r="BH466" s="592"/>
      <c r="BI466" s="592"/>
      <c r="BJ466" s="592"/>
      <c r="BK466" s="592"/>
      <c r="BL466" s="592"/>
      <c r="BM466" s="592"/>
      <c r="BN466" s="592"/>
      <c r="BO466" s="592"/>
      <c r="BP466" s="592"/>
      <c r="BQ466" s="592"/>
    </row>
    <row r="467" spans="1:69" ht="12" customHeight="1" x14ac:dyDescent="0.15">
      <c r="A467" s="592"/>
      <c r="B467" s="658"/>
      <c r="C467" s="658"/>
      <c r="D467" s="658"/>
      <c r="E467" s="658"/>
      <c r="F467" s="658"/>
      <c r="G467" s="658"/>
      <c r="H467" s="658"/>
      <c r="I467" s="658"/>
      <c r="J467" s="658"/>
      <c r="K467" s="658"/>
      <c r="L467" s="658"/>
      <c r="M467" s="658"/>
      <c r="N467" s="658"/>
      <c r="O467" s="658"/>
      <c r="P467" s="658"/>
      <c r="Q467" s="658"/>
      <c r="R467" s="658"/>
      <c r="S467" s="658"/>
      <c r="T467" s="658"/>
      <c r="U467" s="658"/>
      <c r="V467" s="658"/>
      <c r="W467" s="658"/>
      <c r="X467" s="658"/>
      <c r="Y467" s="658"/>
      <c r="Z467" s="658"/>
      <c r="AA467" s="658"/>
      <c r="AB467" s="658"/>
      <c r="AC467" s="658"/>
      <c r="AD467" s="658"/>
      <c r="AE467" s="658"/>
      <c r="AF467" s="658"/>
      <c r="AG467" s="658"/>
      <c r="AH467" s="658"/>
      <c r="AI467" s="658"/>
      <c r="AJ467" s="658"/>
      <c r="AK467" s="658"/>
      <c r="AL467" s="658"/>
      <c r="AM467" s="658"/>
      <c r="AN467" s="658"/>
      <c r="AO467" s="658"/>
      <c r="AP467" s="658"/>
      <c r="AQ467" s="658"/>
      <c r="AR467" s="658"/>
      <c r="AS467" s="658"/>
      <c r="AT467" s="658"/>
      <c r="AU467" s="658"/>
      <c r="AV467" s="658"/>
      <c r="AW467" s="658"/>
      <c r="AX467" s="658"/>
      <c r="AY467" s="658"/>
      <c r="AZ467" s="658"/>
      <c r="BA467" s="658"/>
      <c r="BB467" s="658"/>
      <c r="BC467" s="658"/>
      <c r="BD467" s="658"/>
      <c r="BE467" s="658"/>
      <c r="BF467" s="658"/>
      <c r="BG467" s="658"/>
      <c r="BH467" s="592"/>
      <c r="BI467" s="592"/>
      <c r="BJ467" s="592"/>
      <c r="BK467" s="592"/>
      <c r="BL467" s="592"/>
      <c r="BM467" s="592"/>
      <c r="BN467" s="592"/>
      <c r="BO467" s="592"/>
      <c r="BP467" s="592"/>
      <c r="BQ467" s="592"/>
    </row>
    <row r="468" spans="1:69" ht="12" customHeight="1" x14ac:dyDescent="0.15">
      <c r="A468" s="592"/>
      <c r="B468" s="658"/>
      <c r="C468" s="658"/>
      <c r="D468" s="658"/>
      <c r="E468" s="658"/>
      <c r="F468" s="658"/>
      <c r="G468" s="658"/>
      <c r="H468" s="658"/>
      <c r="I468" s="658"/>
      <c r="J468" s="658"/>
      <c r="K468" s="658"/>
      <c r="L468" s="658"/>
      <c r="M468" s="658"/>
      <c r="N468" s="658"/>
      <c r="O468" s="658"/>
      <c r="P468" s="658"/>
      <c r="Q468" s="658"/>
      <c r="R468" s="658"/>
      <c r="S468" s="658"/>
      <c r="T468" s="658"/>
      <c r="U468" s="658"/>
      <c r="V468" s="658"/>
      <c r="W468" s="658"/>
      <c r="X468" s="658"/>
      <c r="Y468" s="658"/>
      <c r="Z468" s="658"/>
      <c r="AA468" s="658"/>
      <c r="AB468" s="658"/>
      <c r="AC468" s="658"/>
      <c r="AD468" s="658"/>
      <c r="AE468" s="658"/>
      <c r="AF468" s="658"/>
      <c r="AG468" s="658"/>
      <c r="AH468" s="658"/>
      <c r="AI468" s="658"/>
      <c r="AJ468" s="658"/>
      <c r="AK468" s="658"/>
      <c r="AL468" s="658"/>
      <c r="AM468" s="658"/>
      <c r="AN468" s="658"/>
      <c r="AO468" s="658"/>
      <c r="AP468" s="658"/>
      <c r="AQ468" s="658"/>
      <c r="AR468" s="658"/>
      <c r="AS468" s="658"/>
      <c r="AT468" s="658"/>
      <c r="AU468" s="658"/>
      <c r="AV468" s="658"/>
      <c r="AW468" s="658"/>
      <c r="AX468" s="658"/>
      <c r="AY468" s="658"/>
      <c r="AZ468" s="658"/>
      <c r="BA468" s="658"/>
      <c r="BB468" s="658"/>
      <c r="BC468" s="658"/>
      <c r="BD468" s="658"/>
      <c r="BE468" s="658"/>
      <c r="BF468" s="658"/>
      <c r="BG468" s="658"/>
      <c r="BH468" s="592"/>
      <c r="BI468" s="592"/>
      <c r="BJ468" s="592"/>
      <c r="BK468" s="592"/>
      <c r="BL468" s="592"/>
      <c r="BM468" s="592"/>
      <c r="BN468" s="592"/>
      <c r="BO468" s="592"/>
      <c r="BP468" s="592"/>
      <c r="BQ468" s="592"/>
    </row>
    <row r="469" spans="1:69" ht="12" customHeight="1" x14ac:dyDescent="0.15">
      <c r="A469" s="592"/>
      <c r="B469" s="658"/>
      <c r="C469" s="658"/>
      <c r="D469" s="658"/>
      <c r="E469" s="658"/>
      <c r="F469" s="658"/>
      <c r="G469" s="658"/>
      <c r="H469" s="658"/>
      <c r="I469" s="658"/>
      <c r="J469" s="658"/>
      <c r="K469" s="658"/>
      <c r="L469" s="658"/>
      <c r="M469" s="658"/>
      <c r="N469" s="658"/>
      <c r="O469" s="658"/>
      <c r="P469" s="658"/>
      <c r="Q469" s="658"/>
      <c r="R469" s="658"/>
      <c r="S469" s="658"/>
      <c r="T469" s="658"/>
      <c r="U469" s="658"/>
      <c r="V469" s="658"/>
      <c r="W469" s="658"/>
      <c r="X469" s="658"/>
      <c r="Y469" s="658"/>
      <c r="Z469" s="658"/>
      <c r="AA469" s="658"/>
      <c r="AB469" s="658"/>
      <c r="AC469" s="658"/>
      <c r="AD469" s="658"/>
      <c r="AE469" s="658"/>
      <c r="AF469" s="658"/>
      <c r="AG469" s="658"/>
      <c r="AH469" s="658"/>
      <c r="AI469" s="658"/>
      <c r="AJ469" s="658"/>
      <c r="AK469" s="658"/>
      <c r="AL469" s="658"/>
      <c r="AM469" s="658"/>
      <c r="AN469" s="658"/>
      <c r="AO469" s="658"/>
      <c r="AP469" s="658"/>
      <c r="AQ469" s="658"/>
      <c r="AR469" s="658"/>
      <c r="AS469" s="658"/>
      <c r="AT469" s="658"/>
      <c r="AU469" s="658"/>
      <c r="AV469" s="658"/>
      <c r="AW469" s="658"/>
      <c r="AX469" s="658"/>
      <c r="AY469" s="658"/>
      <c r="AZ469" s="658"/>
      <c r="BA469" s="658"/>
      <c r="BB469" s="658"/>
      <c r="BC469" s="658"/>
      <c r="BD469" s="658"/>
      <c r="BE469" s="658"/>
      <c r="BF469" s="658"/>
      <c r="BG469" s="658"/>
      <c r="BH469" s="592"/>
      <c r="BI469" s="592"/>
      <c r="BJ469" s="592"/>
      <c r="BK469" s="592"/>
      <c r="BL469" s="592"/>
      <c r="BM469" s="592"/>
      <c r="BN469" s="592"/>
      <c r="BO469" s="592"/>
      <c r="BP469" s="592"/>
      <c r="BQ469" s="592"/>
    </row>
    <row r="470" spans="1:69" ht="12" customHeight="1" x14ac:dyDescent="0.15">
      <c r="A470" s="592"/>
      <c r="B470" s="658"/>
      <c r="C470" s="658"/>
      <c r="D470" s="658"/>
      <c r="E470" s="658"/>
      <c r="F470" s="658"/>
      <c r="G470" s="658"/>
      <c r="H470" s="658"/>
      <c r="I470" s="658"/>
      <c r="J470" s="658"/>
      <c r="K470" s="658"/>
      <c r="L470" s="658"/>
      <c r="M470" s="658"/>
      <c r="N470" s="658"/>
      <c r="O470" s="658"/>
      <c r="P470" s="658"/>
      <c r="Q470" s="658"/>
      <c r="R470" s="658"/>
      <c r="S470" s="658"/>
      <c r="T470" s="658"/>
      <c r="U470" s="658"/>
      <c r="V470" s="658"/>
      <c r="W470" s="658"/>
      <c r="X470" s="658"/>
      <c r="Y470" s="658"/>
      <c r="Z470" s="658"/>
      <c r="AA470" s="658"/>
      <c r="AB470" s="658"/>
      <c r="AC470" s="658"/>
      <c r="AD470" s="658"/>
      <c r="AE470" s="658"/>
      <c r="AF470" s="658"/>
      <c r="AG470" s="658"/>
      <c r="AH470" s="658"/>
      <c r="AI470" s="658"/>
      <c r="AJ470" s="658"/>
      <c r="AK470" s="658"/>
      <c r="AL470" s="658"/>
      <c r="AM470" s="658"/>
      <c r="AN470" s="658"/>
      <c r="AO470" s="658"/>
      <c r="AP470" s="658"/>
      <c r="AQ470" s="658"/>
      <c r="AR470" s="658"/>
      <c r="AS470" s="658"/>
      <c r="AT470" s="658"/>
      <c r="AU470" s="658"/>
      <c r="AV470" s="658"/>
      <c r="AW470" s="658"/>
      <c r="AX470" s="658"/>
      <c r="AY470" s="658"/>
      <c r="AZ470" s="658"/>
      <c r="BA470" s="658"/>
      <c r="BB470" s="658"/>
      <c r="BC470" s="658"/>
      <c r="BD470" s="658"/>
      <c r="BE470" s="658"/>
      <c r="BF470" s="658"/>
      <c r="BG470" s="658"/>
      <c r="BH470" s="592"/>
      <c r="BI470" s="592"/>
      <c r="BJ470" s="592"/>
      <c r="BK470" s="592"/>
      <c r="BL470" s="592"/>
      <c r="BM470" s="592"/>
      <c r="BN470" s="592"/>
      <c r="BO470" s="592"/>
      <c r="BP470" s="592"/>
      <c r="BQ470" s="592"/>
    </row>
    <row r="471" spans="1:69" ht="12" customHeight="1" x14ac:dyDescent="0.15">
      <c r="A471" s="592"/>
      <c r="B471" s="658"/>
      <c r="C471" s="658"/>
      <c r="D471" s="658"/>
      <c r="E471" s="658"/>
      <c r="F471" s="658"/>
      <c r="G471" s="658"/>
      <c r="H471" s="658"/>
      <c r="I471" s="658"/>
      <c r="J471" s="658"/>
      <c r="K471" s="658"/>
      <c r="L471" s="658"/>
      <c r="M471" s="658"/>
      <c r="N471" s="658"/>
      <c r="O471" s="658"/>
      <c r="P471" s="658"/>
      <c r="Q471" s="658"/>
      <c r="R471" s="658"/>
      <c r="S471" s="658"/>
      <c r="T471" s="658"/>
      <c r="U471" s="658"/>
      <c r="V471" s="658"/>
      <c r="W471" s="658"/>
      <c r="X471" s="658"/>
      <c r="Y471" s="658"/>
      <c r="Z471" s="658"/>
      <c r="AA471" s="658"/>
      <c r="AB471" s="658"/>
      <c r="AC471" s="658"/>
      <c r="AD471" s="658"/>
      <c r="AE471" s="658"/>
      <c r="AF471" s="658"/>
      <c r="AG471" s="658"/>
      <c r="AH471" s="658"/>
      <c r="AI471" s="658"/>
      <c r="AJ471" s="658"/>
      <c r="AK471" s="658"/>
      <c r="AL471" s="658"/>
      <c r="AM471" s="658"/>
      <c r="AN471" s="658"/>
      <c r="AO471" s="658"/>
      <c r="AP471" s="658"/>
      <c r="AQ471" s="658"/>
      <c r="AR471" s="658"/>
      <c r="AS471" s="658"/>
      <c r="AT471" s="658"/>
      <c r="AU471" s="658"/>
      <c r="AV471" s="658"/>
      <c r="AW471" s="658"/>
      <c r="AX471" s="658"/>
      <c r="AY471" s="658"/>
      <c r="AZ471" s="658"/>
      <c r="BA471" s="658"/>
      <c r="BB471" s="658"/>
      <c r="BC471" s="658"/>
      <c r="BD471" s="658"/>
      <c r="BE471" s="658"/>
      <c r="BF471" s="658"/>
      <c r="BG471" s="658"/>
      <c r="BH471" s="592"/>
      <c r="BI471" s="592"/>
      <c r="BJ471" s="592"/>
      <c r="BK471" s="592"/>
      <c r="BL471" s="592"/>
      <c r="BM471" s="592"/>
      <c r="BN471" s="592"/>
      <c r="BO471" s="592"/>
      <c r="BP471" s="592"/>
      <c r="BQ471" s="592"/>
    </row>
    <row r="472" spans="1:69" ht="12" customHeight="1" x14ac:dyDescent="0.15">
      <c r="A472" s="592"/>
      <c r="B472" s="658"/>
      <c r="C472" s="658"/>
      <c r="D472" s="658"/>
      <c r="E472" s="658"/>
      <c r="F472" s="658"/>
      <c r="G472" s="658"/>
      <c r="H472" s="658"/>
      <c r="I472" s="658"/>
      <c r="J472" s="658"/>
      <c r="K472" s="658"/>
      <c r="L472" s="658"/>
      <c r="M472" s="658"/>
      <c r="N472" s="658"/>
      <c r="O472" s="658"/>
      <c r="P472" s="658"/>
      <c r="Q472" s="658"/>
      <c r="R472" s="658"/>
      <c r="S472" s="658"/>
      <c r="T472" s="658"/>
      <c r="U472" s="658"/>
      <c r="V472" s="658"/>
      <c r="W472" s="658"/>
      <c r="X472" s="658"/>
      <c r="Y472" s="658"/>
      <c r="Z472" s="658"/>
      <c r="AA472" s="658"/>
      <c r="AB472" s="658"/>
      <c r="AC472" s="658"/>
      <c r="AD472" s="658"/>
      <c r="AE472" s="658"/>
      <c r="AF472" s="658"/>
      <c r="AG472" s="658"/>
      <c r="AH472" s="658"/>
      <c r="AI472" s="658"/>
      <c r="AJ472" s="658"/>
      <c r="AK472" s="658"/>
      <c r="AL472" s="658"/>
      <c r="AM472" s="658"/>
      <c r="AN472" s="658"/>
      <c r="AO472" s="658"/>
      <c r="AP472" s="658"/>
      <c r="AQ472" s="658"/>
      <c r="AR472" s="658"/>
      <c r="AS472" s="658"/>
      <c r="AT472" s="658"/>
      <c r="AU472" s="658"/>
      <c r="AV472" s="658"/>
      <c r="AW472" s="658"/>
      <c r="AX472" s="658"/>
      <c r="AY472" s="658"/>
      <c r="AZ472" s="658"/>
      <c r="BA472" s="658"/>
      <c r="BB472" s="658"/>
      <c r="BC472" s="658"/>
      <c r="BD472" s="658"/>
      <c r="BE472" s="658"/>
      <c r="BF472" s="658"/>
      <c r="BG472" s="658"/>
      <c r="BH472" s="592"/>
      <c r="BI472" s="592"/>
      <c r="BJ472" s="592"/>
      <c r="BK472" s="592"/>
      <c r="BL472" s="592"/>
      <c r="BM472" s="592"/>
      <c r="BN472" s="592"/>
      <c r="BO472" s="592"/>
      <c r="BP472" s="592"/>
      <c r="BQ472" s="592"/>
    </row>
    <row r="473" spans="1:69" ht="12" customHeight="1" x14ac:dyDescent="0.15">
      <c r="A473" s="592"/>
      <c r="B473" s="658"/>
      <c r="C473" s="658"/>
      <c r="D473" s="658"/>
      <c r="E473" s="658"/>
      <c r="F473" s="658"/>
      <c r="G473" s="658"/>
      <c r="H473" s="658"/>
      <c r="I473" s="658"/>
      <c r="J473" s="658"/>
      <c r="K473" s="658"/>
      <c r="L473" s="658"/>
      <c r="M473" s="658"/>
      <c r="N473" s="658"/>
      <c r="O473" s="658"/>
      <c r="P473" s="658"/>
      <c r="Q473" s="658"/>
      <c r="R473" s="658"/>
      <c r="S473" s="658"/>
      <c r="T473" s="658"/>
      <c r="U473" s="658"/>
      <c r="V473" s="658"/>
      <c r="W473" s="658"/>
      <c r="X473" s="658"/>
      <c r="Y473" s="658"/>
      <c r="Z473" s="658"/>
      <c r="AA473" s="658"/>
      <c r="AB473" s="658"/>
      <c r="AC473" s="658"/>
      <c r="AD473" s="658"/>
      <c r="AE473" s="658"/>
      <c r="AF473" s="658"/>
      <c r="AG473" s="658"/>
      <c r="AH473" s="658"/>
      <c r="AI473" s="658"/>
      <c r="AJ473" s="658"/>
      <c r="AK473" s="658"/>
      <c r="AL473" s="658"/>
      <c r="AM473" s="658"/>
      <c r="AN473" s="658"/>
      <c r="AO473" s="658"/>
      <c r="AP473" s="658"/>
      <c r="AQ473" s="658"/>
      <c r="AR473" s="658"/>
      <c r="AS473" s="658"/>
      <c r="AT473" s="658"/>
      <c r="AU473" s="658"/>
      <c r="AV473" s="658"/>
      <c r="AW473" s="658"/>
      <c r="AX473" s="658"/>
      <c r="AY473" s="658"/>
      <c r="AZ473" s="658"/>
      <c r="BA473" s="658"/>
      <c r="BB473" s="658"/>
      <c r="BC473" s="658"/>
      <c r="BD473" s="658"/>
      <c r="BE473" s="658"/>
      <c r="BF473" s="658"/>
      <c r="BG473" s="658"/>
      <c r="BH473" s="592"/>
      <c r="BI473" s="592"/>
      <c r="BJ473" s="592"/>
      <c r="BK473" s="592"/>
      <c r="BL473" s="592"/>
      <c r="BM473" s="592"/>
      <c r="BN473" s="592"/>
      <c r="BO473" s="592"/>
      <c r="BP473" s="592"/>
      <c r="BQ473" s="592"/>
    </row>
    <row r="474" spans="1:69" ht="12" customHeight="1" x14ac:dyDescent="0.15">
      <c r="A474" s="592"/>
      <c r="B474" s="658"/>
      <c r="C474" s="658"/>
      <c r="D474" s="658"/>
      <c r="E474" s="658"/>
      <c r="F474" s="658"/>
      <c r="G474" s="658"/>
      <c r="H474" s="658"/>
      <c r="I474" s="658"/>
      <c r="J474" s="658"/>
      <c r="K474" s="658"/>
      <c r="L474" s="658"/>
      <c r="M474" s="658"/>
      <c r="N474" s="658"/>
      <c r="O474" s="658"/>
      <c r="P474" s="658"/>
      <c r="Q474" s="658"/>
      <c r="R474" s="658"/>
      <c r="S474" s="658"/>
      <c r="T474" s="658"/>
      <c r="U474" s="658"/>
      <c r="V474" s="658"/>
      <c r="W474" s="658"/>
      <c r="X474" s="658"/>
      <c r="Y474" s="658"/>
      <c r="Z474" s="658"/>
      <c r="AA474" s="658"/>
      <c r="AB474" s="658"/>
      <c r="AC474" s="658"/>
      <c r="AD474" s="658"/>
      <c r="AE474" s="658"/>
      <c r="AF474" s="658"/>
      <c r="AG474" s="658"/>
      <c r="AH474" s="658"/>
      <c r="AI474" s="658"/>
      <c r="AJ474" s="658"/>
      <c r="AK474" s="658"/>
      <c r="AL474" s="658"/>
      <c r="AM474" s="658"/>
      <c r="AN474" s="658"/>
      <c r="AO474" s="658"/>
      <c r="AP474" s="658"/>
      <c r="AQ474" s="658"/>
      <c r="AR474" s="658"/>
      <c r="AS474" s="658"/>
      <c r="AT474" s="658"/>
      <c r="AU474" s="658"/>
      <c r="AV474" s="658"/>
      <c r="AW474" s="658"/>
      <c r="AX474" s="658"/>
      <c r="AY474" s="658"/>
      <c r="AZ474" s="658"/>
      <c r="BA474" s="658"/>
      <c r="BB474" s="658"/>
      <c r="BC474" s="658"/>
      <c r="BD474" s="658"/>
      <c r="BE474" s="658"/>
      <c r="BF474" s="658"/>
      <c r="BG474" s="658"/>
      <c r="BH474" s="592"/>
      <c r="BI474" s="592"/>
      <c r="BJ474" s="592"/>
      <c r="BK474" s="592"/>
      <c r="BL474" s="592"/>
      <c r="BM474" s="592"/>
      <c r="BN474" s="592"/>
      <c r="BO474" s="592"/>
      <c r="BP474" s="592"/>
      <c r="BQ474" s="592"/>
    </row>
    <row r="475" spans="1:69" ht="12" customHeight="1" x14ac:dyDescent="0.15">
      <c r="A475" s="592"/>
      <c r="B475" s="658"/>
      <c r="C475" s="658"/>
      <c r="D475" s="658"/>
      <c r="E475" s="658"/>
      <c r="F475" s="658"/>
      <c r="G475" s="658"/>
      <c r="H475" s="658"/>
      <c r="I475" s="658"/>
      <c r="J475" s="658"/>
      <c r="K475" s="658"/>
      <c r="L475" s="658"/>
      <c r="M475" s="658"/>
      <c r="N475" s="658"/>
      <c r="O475" s="658"/>
      <c r="P475" s="658"/>
      <c r="Q475" s="658"/>
      <c r="R475" s="658"/>
      <c r="S475" s="658"/>
      <c r="T475" s="658"/>
      <c r="U475" s="658"/>
      <c r="V475" s="658"/>
      <c r="W475" s="658"/>
      <c r="X475" s="658"/>
      <c r="Y475" s="658"/>
      <c r="Z475" s="658"/>
      <c r="AA475" s="658"/>
      <c r="AB475" s="658"/>
      <c r="AC475" s="658"/>
      <c r="AD475" s="658"/>
      <c r="AE475" s="658"/>
      <c r="AF475" s="658"/>
      <c r="AG475" s="658"/>
      <c r="AH475" s="658"/>
      <c r="AI475" s="658"/>
      <c r="AJ475" s="658"/>
      <c r="AK475" s="658"/>
      <c r="AL475" s="658"/>
      <c r="AM475" s="658"/>
      <c r="AN475" s="658"/>
      <c r="AO475" s="658"/>
      <c r="AP475" s="658"/>
      <c r="AQ475" s="658"/>
      <c r="AR475" s="658"/>
      <c r="AS475" s="658"/>
      <c r="AT475" s="658"/>
      <c r="AU475" s="658"/>
      <c r="AV475" s="658"/>
      <c r="AW475" s="658"/>
      <c r="AX475" s="658"/>
      <c r="AY475" s="658"/>
      <c r="AZ475" s="658"/>
      <c r="BA475" s="658"/>
      <c r="BB475" s="658"/>
      <c r="BC475" s="658"/>
      <c r="BD475" s="658"/>
      <c r="BE475" s="658"/>
      <c r="BF475" s="658"/>
      <c r="BG475" s="658"/>
      <c r="BH475" s="592"/>
      <c r="BI475" s="592"/>
      <c r="BJ475" s="592"/>
      <c r="BK475" s="592"/>
      <c r="BL475" s="592"/>
      <c r="BM475" s="592"/>
      <c r="BN475" s="592"/>
      <c r="BO475" s="592"/>
      <c r="BP475" s="592"/>
      <c r="BQ475" s="592"/>
    </row>
    <row r="476" spans="1:69" ht="12" customHeight="1" x14ac:dyDescent="0.15">
      <c r="A476" s="592"/>
      <c r="B476" s="658"/>
      <c r="C476" s="658"/>
      <c r="D476" s="658"/>
      <c r="E476" s="658"/>
      <c r="F476" s="658"/>
      <c r="G476" s="658"/>
      <c r="H476" s="658"/>
      <c r="I476" s="658"/>
      <c r="J476" s="658"/>
      <c r="K476" s="658"/>
      <c r="L476" s="658"/>
      <c r="M476" s="658"/>
      <c r="N476" s="658"/>
      <c r="O476" s="658"/>
      <c r="P476" s="658"/>
      <c r="Q476" s="658"/>
      <c r="R476" s="658"/>
      <c r="S476" s="658"/>
      <c r="T476" s="658"/>
      <c r="U476" s="658"/>
      <c r="V476" s="658"/>
      <c r="W476" s="658"/>
      <c r="X476" s="658"/>
      <c r="Y476" s="658"/>
      <c r="Z476" s="658"/>
      <c r="AA476" s="658"/>
      <c r="AB476" s="658"/>
      <c r="AC476" s="658"/>
      <c r="AD476" s="658"/>
      <c r="AE476" s="658"/>
      <c r="AF476" s="658"/>
      <c r="AG476" s="658"/>
      <c r="AH476" s="658"/>
      <c r="AI476" s="658"/>
      <c r="AJ476" s="658"/>
      <c r="AK476" s="658"/>
      <c r="AL476" s="658"/>
      <c r="AM476" s="658"/>
      <c r="AN476" s="658"/>
      <c r="AO476" s="658"/>
      <c r="AP476" s="658"/>
      <c r="AQ476" s="658"/>
      <c r="AR476" s="658"/>
      <c r="AS476" s="658"/>
      <c r="AT476" s="658"/>
      <c r="AU476" s="658"/>
      <c r="AV476" s="658"/>
      <c r="AW476" s="658"/>
      <c r="AX476" s="658"/>
      <c r="AY476" s="658"/>
      <c r="AZ476" s="658"/>
      <c r="BA476" s="658"/>
      <c r="BB476" s="658"/>
      <c r="BC476" s="658"/>
      <c r="BD476" s="658"/>
      <c r="BE476" s="658"/>
      <c r="BF476" s="658"/>
      <c r="BG476" s="658"/>
      <c r="BH476" s="592"/>
      <c r="BI476" s="592"/>
      <c r="BJ476" s="592"/>
      <c r="BK476" s="592"/>
      <c r="BL476" s="592"/>
      <c r="BM476" s="592"/>
      <c r="BN476" s="592"/>
      <c r="BO476" s="592"/>
      <c r="BP476" s="592"/>
      <c r="BQ476" s="592"/>
    </row>
    <row r="477" spans="1:69" ht="12" customHeight="1" x14ac:dyDescent="0.15">
      <c r="A477" s="592"/>
      <c r="B477" s="658"/>
      <c r="C477" s="658"/>
      <c r="D477" s="658"/>
      <c r="E477" s="658"/>
      <c r="F477" s="658"/>
      <c r="G477" s="658"/>
      <c r="H477" s="658"/>
      <c r="I477" s="658"/>
      <c r="J477" s="658"/>
      <c r="K477" s="658"/>
      <c r="L477" s="658"/>
      <c r="M477" s="658"/>
      <c r="N477" s="658"/>
      <c r="O477" s="658"/>
      <c r="P477" s="658"/>
      <c r="Q477" s="658"/>
      <c r="R477" s="658"/>
      <c r="S477" s="658"/>
      <c r="T477" s="658"/>
      <c r="U477" s="658"/>
      <c r="V477" s="658"/>
      <c r="W477" s="658"/>
      <c r="X477" s="658"/>
      <c r="Y477" s="658"/>
      <c r="Z477" s="658"/>
      <c r="AA477" s="658"/>
      <c r="AB477" s="658"/>
      <c r="AC477" s="658"/>
      <c r="AD477" s="658"/>
      <c r="AE477" s="658"/>
      <c r="AF477" s="658"/>
      <c r="AG477" s="658"/>
      <c r="AH477" s="658"/>
      <c r="AI477" s="658"/>
      <c r="AJ477" s="658"/>
      <c r="AK477" s="658"/>
      <c r="AL477" s="658"/>
      <c r="AM477" s="658"/>
      <c r="AN477" s="658"/>
      <c r="AO477" s="658"/>
      <c r="AP477" s="658"/>
      <c r="AQ477" s="658"/>
      <c r="AR477" s="658"/>
      <c r="AS477" s="658"/>
      <c r="AT477" s="658"/>
      <c r="AU477" s="658"/>
      <c r="AV477" s="658"/>
      <c r="AW477" s="658"/>
      <c r="AX477" s="658"/>
      <c r="AY477" s="658"/>
      <c r="AZ477" s="658"/>
      <c r="BA477" s="658"/>
      <c r="BB477" s="658"/>
      <c r="BC477" s="658"/>
      <c r="BD477" s="658"/>
      <c r="BE477" s="658"/>
      <c r="BF477" s="658"/>
      <c r="BG477" s="658"/>
      <c r="BH477" s="592"/>
      <c r="BI477" s="592"/>
      <c r="BJ477" s="592"/>
      <c r="BK477" s="592"/>
      <c r="BL477" s="592"/>
      <c r="BM477" s="592"/>
      <c r="BN477" s="592"/>
      <c r="BO477" s="592"/>
      <c r="BP477" s="592"/>
      <c r="BQ477" s="592"/>
    </row>
    <row r="478" spans="1:69" ht="12" customHeight="1" x14ac:dyDescent="0.15">
      <c r="A478" s="592"/>
      <c r="B478" s="658"/>
      <c r="C478" s="658"/>
      <c r="D478" s="658"/>
      <c r="E478" s="658"/>
      <c r="F478" s="658"/>
      <c r="G478" s="658"/>
      <c r="H478" s="658"/>
      <c r="I478" s="658"/>
      <c r="J478" s="658"/>
      <c r="K478" s="658"/>
      <c r="L478" s="658"/>
      <c r="M478" s="658"/>
      <c r="N478" s="658"/>
      <c r="O478" s="658"/>
      <c r="P478" s="658"/>
      <c r="Q478" s="658"/>
      <c r="R478" s="658"/>
      <c r="S478" s="658"/>
      <c r="T478" s="658"/>
      <c r="U478" s="658"/>
      <c r="V478" s="658"/>
      <c r="W478" s="658"/>
      <c r="X478" s="658"/>
      <c r="Y478" s="658"/>
      <c r="Z478" s="658"/>
      <c r="AA478" s="658"/>
      <c r="AB478" s="658"/>
      <c r="AC478" s="658"/>
      <c r="AD478" s="658"/>
      <c r="AE478" s="658"/>
      <c r="AF478" s="658"/>
      <c r="AG478" s="658"/>
      <c r="AH478" s="658"/>
      <c r="AI478" s="658"/>
      <c r="AJ478" s="658"/>
      <c r="AK478" s="658"/>
      <c r="AL478" s="658"/>
      <c r="AM478" s="658"/>
      <c r="AN478" s="658"/>
      <c r="AO478" s="658"/>
      <c r="AP478" s="658"/>
      <c r="AQ478" s="658"/>
      <c r="AR478" s="658"/>
      <c r="AS478" s="658"/>
      <c r="AT478" s="658"/>
      <c r="AU478" s="658"/>
      <c r="AV478" s="658"/>
      <c r="AW478" s="658"/>
      <c r="AX478" s="658"/>
      <c r="AY478" s="658"/>
      <c r="AZ478" s="658"/>
      <c r="BA478" s="658"/>
      <c r="BB478" s="658"/>
      <c r="BC478" s="658"/>
      <c r="BD478" s="658"/>
      <c r="BE478" s="658"/>
      <c r="BF478" s="658"/>
      <c r="BG478" s="658"/>
      <c r="BH478" s="592"/>
      <c r="BI478" s="592"/>
      <c r="BJ478" s="592"/>
      <c r="BK478" s="592"/>
      <c r="BL478" s="592"/>
      <c r="BM478" s="592"/>
      <c r="BN478" s="592"/>
      <c r="BO478" s="592"/>
      <c r="BP478" s="592"/>
      <c r="BQ478" s="592"/>
    </row>
    <row r="479" spans="1:69" ht="12" customHeight="1" x14ac:dyDescent="0.15">
      <c r="A479" s="592"/>
      <c r="B479" s="658"/>
      <c r="C479" s="658"/>
      <c r="D479" s="658"/>
      <c r="E479" s="658"/>
      <c r="F479" s="658"/>
      <c r="G479" s="658"/>
      <c r="H479" s="658"/>
      <c r="I479" s="658"/>
      <c r="J479" s="658"/>
      <c r="K479" s="658"/>
      <c r="L479" s="658"/>
      <c r="M479" s="658"/>
      <c r="N479" s="658"/>
      <c r="O479" s="658"/>
      <c r="P479" s="658"/>
      <c r="Q479" s="658"/>
      <c r="R479" s="658"/>
      <c r="S479" s="658"/>
      <c r="T479" s="658"/>
      <c r="U479" s="658"/>
      <c r="V479" s="658"/>
      <c r="W479" s="658"/>
      <c r="X479" s="658"/>
      <c r="Y479" s="658"/>
      <c r="Z479" s="658"/>
      <c r="AA479" s="658"/>
      <c r="AB479" s="658"/>
      <c r="AC479" s="658"/>
      <c r="AD479" s="658"/>
      <c r="AE479" s="658"/>
      <c r="AF479" s="658"/>
      <c r="AG479" s="658"/>
      <c r="AH479" s="658"/>
      <c r="AI479" s="658"/>
      <c r="AJ479" s="658"/>
      <c r="AK479" s="658"/>
      <c r="AL479" s="658"/>
      <c r="AM479" s="658"/>
      <c r="AN479" s="658"/>
      <c r="AO479" s="658"/>
      <c r="AP479" s="658"/>
      <c r="AQ479" s="658"/>
      <c r="AR479" s="658"/>
      <c r="AS479" s="658"/>
      <c r="AT479" s="658"/>
      <c r="AU479" s="658"/>
      <c r="AV479" s="658"/>
      <c r="AW479" s="658"/>
      <c r="AX479" s="658"/>
      <c r="AY479" s="658"/>
      <c r="AZ479" s="658"/>
      <c r="BA479" s="658"/>
      <c r="BB479" s="658"/>
      <c r="BC479" s="658"/>
      <c r="BD479" s="658"/>
      <c r="BE479" s="658"/>
      <c r="BF479" s="658"/>
      <c r="BG479" s="658"/>
      <c r="BH479" s="592"/>
      <c r="BI479" s="592"/>
      <c r="BJ479" s="592"/>
      <c r="BK479" s="592"/>
      <c r="BL479" s="592"/>
      <c r="BM479" s="592"/>
      <c r="BN479" s="592"/>
      <c r="BO479" s="592"/>
      <c r="BP479" s="592"/>
      <c r="BQ479" s="592"/>
    </row>
    <row r="480" spans="1:69" ht="12" customHeight="1" x14ac:dyDescent="0.15">
      <c r="A480" s="592"/>
      <c r="B480" s="658"/>
      <c r="C480" s="658"/>
      <c r="D480" s="658"/>
      <c r="E480" s="658"/>
      <c r="F480" s="658"/>
      <c r="G480" s="658"/>
      <c r="H480" s="658"/>
      <c r="I480" s="658"/>
      <c r="J480" s="658"/>
      <c r="K480" s="658"/>
      <c r="L480" s="658"/>
      <c r="M480" s="658"/>
      <c r="N480" s="658"/>
      <c r="O480" s="658"/>
      <c r="P480" s="658"/>
      <c r="Q480" s="658"/>
      <c r="R480" s="658"/>
      <c r="S480" s="658"/>
      <c r="T480" s="658"/>
      <c r="U480" s="658"/>
      <c r="V480" s="658"/>
      <c r="W480" s="658"/>
      <c r="X480" s="658"/>
      <c r="Y480" s="658"/>
      <c r="Z480" s="658"/>
      <c r="AA480" s="658"/>
      <c r="AB480" s="658"/>
      <c r="AC480" s="658"/>
      <c r="AD480" s="658"/>
      <c r="AE480" s="658"/>
      <c r="AF480" s="658"/>
      <c r="AG480" s="658"/>
      <c r="AH480" s="658"/>
      <c r="AI480" s="658"/>
      <c r="AJ480" s="658"/>
      <c r="AK480" s="658"/>
      <c r="AL480" s="658"/>
      <c r="AM480" s="658"/>
      <c r="AN480" s="658"/>
      <c r="AO480" s="658"/>
      <c r="AP480" s="658"/>
      <c r="AQ480" s="658"/>
      <c r="AR480" s="658"/>
      <c r="AS480" s="658"/>
      <c r="AT480" s="658"/>
      <c r="AU480" s="658"/>
      <c r="AV480" s="658"/>
      <c r="AW480" s="658"/>
      <c r="AX480" s="658"/>
      <c r="AY480" s="658"/>
      <c r="AZ480" s="658"/>
      <c r="BA480" s="658"/>
      <c r="BB480" s="658"/>
      <c r="BC480" s="658"/>
      <c r="BD480" s="658"/>
      <c r="BE480" s="658"/>
      <c r="BF480" s="658"/>
      <c r="BG480" s="658"/>
      <c r="BH480" s="592"/>
      <c r="BI480" s="592"/>
      <c r="BJ480" s="592"/>
      <c r="BK480" s="592"/>
      <c r="BL480" s="592"/>
      <c r="BM480" s="592"/>
      <c r="BN480" s="592"/>
      <c r="BO480" s="592"/>
      <c r="BP480" s="592"/>
      <c r="BQ480" s="592"/>
    </row>
    <row r="481" spans="1:69" ht="12" customHeight="1" x14ac:dyDescent="0.15">
      <c r="A481" s="592"/>
      <c r="B481" s="658"/>
      <c r="C481" s="658"/>
      <c r="D481" s="658"/>
      <c r="E481" s="658"/>
      <c r="F481" s="658"/>
      <c r="G481" s="658"/>
      <c r="H481" s="658"/>
      <c r="I481" s="658"/>
      <c r="J481" s="658"/>
      <c r="K481" s="658"/>
      <c r="L481" s="658"/>
      <c r="M481" s="658"/>
      <c r="N481" s="658"/>
      <c r="O481" s="658"/>
      <c r="P481" s="658"/>
      <c r="Q481" s="658"/>
      <c r="R481" s="658"/>
      <c r="S481" s="658"/>
      <c r="T481" s="658"/>
      <c r="U481" s="658"/>
      <c r="V481" s="658"/>
      <c r="W481" s="658"/>
      <c r="X481" s="658"/>
      <c r="Y481" s="658"/>
      <c r="Z481" s="658"/>
      <c r="AA481" s="658"/>
      <c r="AB481" s="658"/>
      <c r="AC481" s="658"/>
      <c r="AD481" s="658"/>
      <c r="AE481" s="658"/>
      <c r="AF481" s="658"/>
      <c r="AG481" s="658"/>
      <c r="AH481" s="658"/>
      <c r="AI481" s="658"/>
      <c r="AJ481" s="658"/>
      <c r="AK481" s="658"/>
      <c r="AL481" s="658"/>
      <c r="AM481" s="658"/>
      <c r="AN481" s="658"/>
      <c r="AO481" s="658"/>
      <c r="AP481" s="658"/>
      <c r="AQ481" s="658"/>
      <c r="AR481" s="658"/>
      <c r="AS481" s="658"/>
      <c r="AT481" s="658"/>
      <c r="AU481" s="658"/>
      <c r="AV481" s="658"/>
      <c r="AW481" s="658"/>
      <c r="AX481" s="658"/>
      <c r="AY481" s="658"/>
      <c r="AZ481" s="658"/>
      <c r="BA481" s="658"/>
      <c r="BB481" s="658"/>
      <c r="BC481" s="658"/>
      <c r="BD481" s="658"/>
      <c r="BE481" s="658"/>
      <c r="BF481" s="658"/>
      <c r="BG481" s="658"/>
      <c r="BH481" s="592"/>
      <c r="BI481" s="592"/>
      <c r="BJ481" s="592"/>
      <c r="BK481" s="592"/>
      <c r="BL481" s="592"/>
      <c r="BM481" s="592"/>
      <c r="BN481" s="592"/>
      <c r="BO481" s="592"/>
      <c r="BP481" s="592"/>
      <c r="BQ481" s="592"/>
    </row>
    <row r="482" spans="1:69" ht="12" customHeight="1" x14ac:dyDescent="0.15">
      <c r="A482" s="592"/>
      <c r="B482" s="658"/>
      <c r="C482" s="658"/>
      <c r="D482" s="658"/>
      <c r="E482" s="658"/>
      <c r="F482" s="658"/>
      <c r="G482" s="658"/>
      <c r="H482" s="658"/>
      <c r="I482" s="658"/>
      <c r="J482" s="658"/>
      <c r="K482" s="658"/>
      <c r="L482" s="658"/>
      <c r="M482" s="658"/>
      <c r="N482" s="658"/>
      <c r="O482" s="658"/>
      <c r="P482" s="658"/>
      <c r="Q482" s="658"/>
      <c r="R482" s="658"/>
      <c r="S482" s="658"/>
      <c r="T482" s="658"/>
      <c r="U482" s="658"/>
      <c r="V482" s="658"/>
      <c r="W482" s="658"/>
      <c r="X482" s="658"/>
      <c r="Y482" s="658"/>
      <c r="Z482" s="658"/>
      <c r="AA482" s="658"/>
      <c r="AB482" s="658"/>
      <c r="AC482" s="658"/>
      <c r="AD482" s="658"/>
      <c r="AE482" s="658"/>
      <c r="AF482" s="658"/>
      <c r="AG482" s="658"/>
      <c r="AH482" s="658"/>
      <c r="AI482" s="658"/>
      <c r="AJ482" s="658"/>
      <c r="AK482" s="658"/>
      <c r="AL482" s="658"/>
      <c r="AM482" s="658"/>
      <c r="AN482" s="658"/>
      <c r="AO482" s="658"/>
      <c r="AP482" s="658"/>
      <c r="AQ482" s="658"/>
      <c r="AR482" s="658"/>
      <c r="AS482" s="658"/>
      <c r="AT482" s="658"/>
      <c r="AU482" s="658"/>
      <c r="AV482" s="658"/>
      <c r="AW482" s="658"/>
      <c r="AX482" s="658"/>
      <c r="AY482" s="658"/>
      <c r="AZ482" s="658"/>
      <c r="BA482" s="658"/>
      <c r="BB482" s="658"/>
      <c r="BC482" s="658"/>
      <c r="BD482" s="658"/>
      <c r="BE482" s="658"/>
      <c r="BF482" s="658"/>
      <c r="BG482" s="658"/>
      <c r="BH482" s="592"/>
      <c r="BI482" s="592"/>
      <c r="BJ482" s="592"/>
      <c r="BK482" s="592"/>
      <c r="BL482" s="592"/>
      <c r="BM482" s="592"/>
      <c r="BN482" s="592"/>
      <c r="BO482" s="592"/>
      <c r="BP482" s="592"/>
      <c r="BQ482" s="592"/>
    </row>
    <row r="483" spans="1:69" ht="12" customHeight="1" x14ac:dyDescent="0.15">
      <c r="A483" s="592"/>
      <c r="B483" s="658"/>
      <c r="C483" s="658"/>
      <c r="D483" s="658"/>
      <c r="E483" s="658"/>
      <c r="F483" s="658"/>
      <c r="G483" s="658"/>
      <c r="H483" s="658"/>
      <c r="I483" s="658"/>
      <c r="J483" s="658"/>
      <c r="K483" s="658"/>
      <c r="L483" s="658"/>
      <c r="M483" s="658"/>
      <c r="N483" s="658"/>
      <c r="O483" s="658"/>
      <c r="P483" s="658"/>
      <c r="Q483" s="658"/>
      <c r="R483" s="658"/>
      <c r="S483" s="658"/>
      <c r="T483" s="658"/>
      <c r="U483" s="658"/>
      <c r="V483" s="658"/>
      <c r="W483" s="658"/>
      <c r="X483" s="658"/>
      <c r="Y483" s="658"/>
      <c r="Z483" s="658"/>
      <c r="AA483" s="658"/>
      <c r="AB483" s="658"/>
      <c r="AC483" s="658"/>
      <c r="AD483" s="658"/>
      <c r="AE483" s="658"/>
      <c r="AF483" s="658"/>
      <c r="AG483" s="658"/>
      <c r="AH483" s="658"/>
      <c r="AI483" s="658"/>
      <c r="AJ483" s="658"/>
      <c r="AK483" s="658"/>
      <c r="AL483" s="658"/>
      <c r="AM483" s="658"/>
      <c r="AN483" s="658"/>
      <c r="AO483" s="658"/>
      <c r="AP483" s="658"/>
      <c r="AQ483" s="658"/>
      <c r="AR483" s="658"/>
      <c r="AS483" s="658"/>
      <c r="AT483" s="658"/>
      <c r="AU483" s="658"/>
      <c r="AV483" s="658"/>
      <c r="AW483" s="658"/>
      <c r="AX483" s="658"/>
      <c r="AY483" s="658"/>
      <c r="AZ483" s="658"/>
      <c r="BA483" s="658"/>
      <c r="BB483" s="658"/>
      <c r="BC483" s="658"/>
      <c r="BD483" s="658"/>
      <c r="BE483" s="658"/>
      <c r="BF483" s="658"/>
      <c r="BG483" s="658"/>
      <c r="BH483" s="592"/>
      <c r="BI483" s="592"/>
      <c r="BJ483" s="592"/>
      <c r="BK483" s="592"/>
      <c r="BL483" s="592"/>
      <c r="BM483" s="592"/>
      <c r="BN483" s="592"/>
      <c r="BO483" s="592"/>
      <c r="BP483" s="592"/>
      <c r="BQ483" s="592"/>
    </row>
    <row r="484" spans="1:69" ht="12" customHeight="1" x14ac:dyDescent="0.15">
      <c r="A484" s="592"/>
      <c r="B484" s="658"/>
      <c r="C484" s="658"/>
      <c r="D484" s="658"/>
      <c r="E484" s="658"/>
      <c r="F484" s="658"/>
      <c r="G484" s="658"/>
      <c r="H484" s="658"/>
      <c r="I484" s="658"/>
      <c r="J484" s="658"/>
      <c r="K484" s="658"/>
      <c r="L484" s="658"/>
      <c r="M484" s="658"/>
      <c r="N484" s="658"/>
      <c r="O484" s="658"/>
      <c r="P484" s="658"/>
      <c r="Q484" s="658"/>
      <c r="R484" s="658"/>
      <c r="S484" s="658"/>
      <c r="T484" s="658"/>
      <c r="U484" s="658"/>
      <c r="V484" s="658"/>
      <c r="W484" s="658"/>
      <c r="X484" s="658"/>
      <c r="Y484" s="658"/>
      <c r="Z484" s="658"/>
      <c r="AA484" s="658"/>
      <c r="AB484" s="658"/>
      <c r="AC484" s="658"/>
      <c r="AD484" s="658"/>
      <c r="AE484" s="658"/>
      <c r="AF484" s="658"/>
      <c r="AG484" s="658"/>
      <c r="AH484" s="658"/>
      <c r="AI484" s="658"/>
      <c r="AJ484" s="658"/>
      <c r="AK484" s="658"/>
      <c r="AL484" s="658"/>
      <c r="AM484" s="658"/>
      <c r="AN484" s="658"/>
      <c r="AO484" s="658"/>
      <c r="AP484" s="658"/>
      <c r="AQ484" s="658"/>
      <c r="AR484" s="658"/>
      <c r="AS484" s="658"/>
      <c r="AT484" s="658"/>
      <c r="AU484" s="658"/>
      <c r="AV484" s="658"/>
      <c r="AW484" s="658"/>
      <c r="AX484" s="658"/>
      <c r="AY484" s="658"/>
      <c r="AZ484" s="658"/>
      <c r="BA484" s="658"/>
      <c r="BB484" s="658"/>
      <c r="BC484" s="658"/>
      <c r="BD484" s="658"/>
      <c r="BE484" s="658"/>
      <c r="BF484" s="658"/>
      <c r="BG484" s="658"/>
      <c r="BH484" s="592"/>
      <c r="BI484" s="592"/>
      <c r="BJ484" s="592"/>
      <c r="BK484" s="592"/>
      <c r="BL484" s="592"/>
      <c r="BM484" s="592"/>
      <c r="BN484" s="592"/>
      <c r="BO484" s="592"/>
      <c r="BP484" s="592"/>
      <c r="BQ484" s="592"/>
    </row>
    <row r="485" spans="1:69" ht="12" customHeight="1" x14ac:dyDescent="0.15">
      <c r="A485" s="592"/>
      <c r="B485" s="658"/>
      <c r="C485" s="658"/>
      <c r="D485" s="658"/>
      <c r="E485" s="658"/>
      <c r="F485" s="658"/>
      <c r="G485" s="658"/>
      <c r="H485" s="658"/>
      <c r="I485" s="658"/>
      <c r="J485" s="658"/>
      <c r="K485" s="658"/>
      <c r="L485" s="658"/>
      <c r="M485" s="658"/>
      <c r="N485" s="658"/>
      <c r="O485" s="658"/>
      <c r="P485" s="658"/>
      <c r="Q485" s="658"/>
      <c r="R485" s="658"/>
      <c r="S485" s="658"/>
      <c r="T485" s="658"/>
      <c r="U485" s="658"/>
      <c r="V485" s="658"/>
      <c r="W485" s="658"/>
      <c r="X485" s="658"/>
      <c r="Y485" s="658"/>
      <c r="Z485" s="658"/>
      <c r="AA485" s="658"/>
      <c r="AB485" s="658"/>
      <c r="AC485" s="658"/>
      <c r="AD485" s="658"/>
      <c r="AE485" s="658"/>
      <c r="AF485" s="658"/>
      <c r="AG485" s="658"/>
      <c r="AH485" s="658"/>
      <c r="AI485" s="658"/>
      <c r="AJ485" s="658"/>
      <c r="AK485" s="658"/>
      <c r="AL485" s="658"/>
      <c r="AM485" s="658"/>
      <c r="AN485" s="658"/>
      <c r="AO485" s="658"/>
      <c r="AP485" s="658"/>
      <c r="AQ485" s="658"/>
      <c r="AR485" s="658"/>
      <c r="AS485" s="658"/>
      <c r="AT485" s="658"/>
      <c r="AU485" s="658"/>
      <c r="AV485" s="658"/>
      <c r="AW485" s="658"/>
      <c r="AX485" s="658"/>
      <c r="AY485" s="658"/>
      <c r="AZ485" s="658"/>
      <c r="BA485" s="658"/>
      <c r="BB485" s="658"/>
      <c r="BC485" s="658"/>
      <c r="BD485" s="658"/>
      <c r="BE485" s="658"/>
      <c r="BF485" s="658"/>
      <c r="BG485" s="658"/>
      <c r="BH485" s="592"/>
      <c r="BI485" s="592"/>
      <c r="BJ485" s="592"/>
      <c r="BK485" s="592"/>
      <c r="BL485" s="592"/>
      <c r="BM485" s="592"/>
      <c r="BN485" s="592"/>
      <c r="BO485" s="592"/>
      <c r="BP485" s="592"/>
      <c r="BQ485" s="592"/>
    </row>
    <row r="486" spans="1:69" ht="12" customHeight="1" x14ac:dyDescent="0.15">
      <c r="A486" s="592"/>
      <c r="B486" s="658"/>
      <c r="C486" s="658"/>
      <c r="D486" s="658"/>
      <c r="E486" s="658"/>
      <c r="F486" s="658"/>
      <c r="G486" s="658"/>
      <c r="H486" s="658"/>
      <c r="I486" s="658"/>
      <c r="J486" s="658"/>
      <c r="K486" s="658"/>
      <c r="L486" s="658"/>
      <c r="M486" s="658"/>
      <c r="N486" s="658"/>
      <c r="O486" s="658"/>
      <c r="P486" s="658"/>
      <c r="Q486" s="658"/>
      <c r="R486" s="658"/>
      <c r="S486" s="658"/>
      <c r="T486" s="658"/>
      <c r="U486" s="658"/>
      <c r="V486" s="658"/>
      <c r="W486" s="658"/>
      <c r="X486" s="658"/>
      <c r="Y486" s="658"/>
      <c r="Z486" s="658"/>
      <c r="AA486" s="658"/>
      <c r="AB486" s="658"/>
      <c r="AC486" s="658"/>
      <c r="AD486" s="658"/>
      <c r="AE486" s="658"/>
      <c r="AF486" s="658"/>
      <c r="AG486" s="658"/>
      <c r="AH486" s="658"/>
      <c r="AI486" s="658"/>
      <c r="AJ486" s="658"/>
      <c r="AK486" s="658"/>
      <c r="AL486" s="658"/>
      <c r="AM486" s="658"/>
      <c r="AN486" s="658"/>
      <c r="AO486" s="658"/>
      <c r="AP486" s="658"/>
      <c r="AQ486" s="658"/>
      <c r="AR486" s="658"/>
      <c r="AS486" s="658"/>
      <c r="AT486" s="658"/>
      <c r="AU486" s="658"/>
      <c r="AV486" s="658"/>
      <c r="AW486" s="658"/>
      <c r="AX486" s="658"/>
      <c r="AY486" s="658"/>
      <c r="AZ486" s="658"/>
      <c r="BA486" s="658"/>
      <c r="BB486" s="658"/>
      <c r="BC486" s="658"/>
      <c r="BD486" s="658"/>
      <c r="BE486" s="658"/>
      <c r="BF486" s="658"/>
      <c r="BG486" s="658"/>
      <c r="BH486" s="592"/>
      <c r="BI486" s="592"/>
      <c r="BJ486" s="592"/>
      <c r="BK486" s="592"/>
      <c r="BL486" s="592"/>
      <c r="BM486" s="592"/>
      <c r="BN486" s="592"/>
      <c r="BO486" s="592"/>
      <c r="BP486" s="592"/>
      <c r="BQ486" s="592"/>
    </row>
    <row r="487" spans="1:69" ht="12" customHeight="1" x14ac:dyDescent="0.15">
      <c r="A487" s="592"/>
      <c r="B487" s="658"/>
      <c r="C487" s="658"/>
      <c r="D487" s="658"/>
      <c r="E487" s="658"/>
      <c r="F487" s="658"/>
      <c r="G487" s="658"/>
      <c r="H487" s="658"/>
      <c r="I487" s="658"/>
      <c r="J487" s="658"/>
      <c r="K487" s="658"/>
      <c r="L487" s="658"/>
      <c r="M487" s="658"/>
      <c r="N487" s="658"/>
      <c r="O487" s="658"/>
      <c r="P487" s="658"/>
      <c r="Q487" s="658"/>
      <c r="R487" s="658"/>
      <c r="S487" s="658"/>
      <c r="T487" s="658"/>
      <c r="U487" s="658"/>
      <c r="V487" s="658"/>
      <c r="W487" s="658"/>
      <c r="X487" s="658"/>
      <c r="Y487" s="658"/>
      <c r="Z487" s="658"/>
      <c r="AA487" s="658"/>
      <c r="AB487" s="658"/>
      <c r="AC487" s="658"/>
      <c r="AD487" s="658"/>
      <c r="AE487" s="658"/>
      <c r="AF487" s="658"/>
      <c r="AG487" s="658"/>
      <c r="AH487" s="658"/>
      <c r="AI487" s="658"/>
      <c r="AJ487" s="658"/>
      <c r="AK487" s="658"/>
      <c r="AL487" s="658"/>
      <c r="AM487" s="658"/>
      <c r="AN487" s="658"/>
      <c r="AO487" s="658"/>
      <c r="AP487" s="658"/>
      <c r="AQ487" s="658"/>
      <c r="AR487" s="658"/>
      <c r="AS487" s="658"/>
      <c r="AT487" s="658"/>
      <c r="AU487" s="658"/>
      <c r="AV487" s="658"/>
      <c r="AW487" s="658"/>
      <c r="AX487" s="658"/>
      <c r="AY487" s="658"/>
      <c r="AZ487" s="658"/>
      <c r="BA487" s="658"/>
      <c r="BB487" s="658"/>
      <c r="BC487" s="658"/>
      <c r="BD487" s="658"/>
      <c r="BE487" s="658"/>
      <c r="BF487" s="658"/>
      <c r="BG487" s="658"/>
      <c r="BH487" s="592"/>
      <c r="BI487" s="592"/>
      <c r="BJ487" s="592"/>
      <c r="BK487" s="592"/>
      <c r="BL487" s="592"/>
      <c r="BM487" s="592"/>
      <c r="BN487" s="592"/>
      <c r="BO487" s="592"/>
      <c r="BP487" s="592"/>
      <c r="BQ487" s="592"/>
    </row>
    <row r="488" spans="1:69" ht="12" customHeight="1" x14ac:dyDescent="0.15">
      <c r="A488" s="592"/>
      <c r="B488" s="658"/>
      <c r="C488" s="658"/>
      <c r="D488" s="658"/>
      <c r="E488" s="658"/>
      <c r="F488" s="658"/>
      <c r="G488" s="658"/>
      <c r="H488" s="658"/>
      <c r="I488" s="658"/>
      <c r="J488" s="658"/>
      <c r="K488" s="658"/>
      <c r="L488" s="658"/>
      <c r="M488" s="658"/>
      <c r="N488" s="658"/>
      <c r="O488" s="658"/>
      <c r="P488" s="658"/>
      <c r="Q488" s="658"/>
      <c r="R488" s="658"/>
      <c r="S488" s="658"/>
      <c r="T488" s="658"/>
      <c r="U488" s="658"/>
      <c r="V488" s="658"/>
      <c r="W488" s="658"/>
      <c r="X488" s="658"/>
      <c r="Y488" s="658"/>
      <c r="Z488" s="658"/>
      <c r="AA488" s="658"/>
      <c r="AB488" s="658"/>
      <c r="AC488" s="658"/>
      <c r="AD488" s="658"/>
      <c r="AE488" s="658"/>
      <c r="AF488" s="658"/>
      <c r="AG488" s="658"/>
      <c r="AH488" s="658"/>
      <c r="AI488" s="658"/>
      <c r="AJ488" s="658"/>
      <c r="AK488" s="658"/>
      <c r="AL488" s="658"/>
      <c r="AM488" s="658"/>
      <c r="AN488" s="658"/>
      <c r="AO488" s="658"/>
      <c r="AP488" s="658"/>
      <c r="AQ488" s="658"/>
      <c r="AR488" s="658"/>
      <c r="AS488" s="658"/>
      <c r="AT488" s="658"/>
      <c r="AU488" s="658"/>
      <c r="AV488" s="658"/>
      <c r="AW488" s="658"/>
      <c r="AX488" s="658"/>
      <c r="AY488" s="658"/>
      <c r="AZ488" s="658"/>
      <c r="BA488" s="658"/>
      <c r="BB488" s="658"/>
      <c r="BC488" s="658"/>
      <c r="BD488" s="658"/>
      <c r="BE488" s="658"/>
      <c r="BF488" s="658"/>
      <c r="BG488" s="658"/>
      <c r="BH488" s="592"/>
      <c r="BI488" s="592"/>
      <c r="BJ488" s="592"/>
      <c r="BK488" s="592"/>
      <c r="BL488" s="592"/>
      <c r="BM488" s="592"/>
      <c r="BN488" s="592"/>
      <c r="BO488" s="592"/>
      <c r="BP488" s="592"/>
      <c r="BQ488" s="592"/>
    </row>
    <row r="489" spans="1:69" ht="12" customHeight="1" x14ac:dyDescent="0.15">
      <c r="A489" s="592"/>
      <c r="B489" s="658"/>
      <c r="C489" s="658"/>
      <c r="D489" s="658"/>
      <c r="E489" s="658"/>
      <c r="F489" s="658"/>
      <c r="G489" s="658"/>
      <c r="H489" s="658"/>
      <c r="I489" s="658"/>
      <c r="J489" s="658"/>
      <c r="K489" s="658"/>
      <c r="L489" s="658"/>
      <c r="M489" s="658"/>
      <c r="N489" s="658"/>
      <c r="O489" s="658"/>
      <c r="P489" s="658"/>
      <c r="Q489" s="658"/>
      <c r="R489" s="658"/>
      <c r="S489" s="658"/>
      <c r="T489" s="658"/>
      <c r="U489" s="658"/>
      <c r="V489" s="658"/>
      <c r="W489" s="658"/>
      <c r="X489" s="658"/>
      <c r="Y489" s="658"/>
      <c r="Z489" s="658"/>
      <c r="AA489" s="658"/>
      <c r="AB489" s="658"/>
      <c r="AC489" s="658"/>
      <c r="AD489" s="658"/>
      <c r="AE489" s="658"/>
      <c r="AF489" s="658"/>
      <c r="AG489" s="658"/>
      <c r="AH489" s="658"/>
      <c r="AI489" s="658"/>
      <c r="AJ489" s="658"/>
      <c r="AK489" s="658"/>
      <c r="AL489" s="658"/>
      <c r="AM489" s="658"/>
      <c r="AN489" s="658"/>
      <c r="AO489" s="658"/>
      <c r="AP489" s="658"/>
      <c r="AQ489" s="658"/>
      <c r="AR489" s="658"/>
      <c r="AS489" s="658"/>
      <c r="AT489" s="658"/>
      <c r="AU489" s="658"/>
      <c r="AV489" s="658"/>
      <c r="AW489" s="658"/>
      <c r="AX489" s="658"/>
      <c r="AY489" s="658"/>
      <c r="AZ489" s="658"/>
      <c r="BA489" s="658"/>
      <c r="BB489" s="658"/>
      <c r="BC489" s="658"/>
      <c r="BD489" s="658"/>
      <c r="BE489" s="658"/>
      <c r="BF489" s="658"/>
      <c r="BG489" s="658"/>
      <c r="BH489" s="592"/>
      <c r="BI489" s="592"/>
      <c r="BJ489" s="592"/>
      <c r="BK489" s="592"/>
      <c r="BL489" s="592"/>
      <c r="BM489" s="592"/>
      <c r="BN489" s="592"/>
      <c r="BO489" s="592"/>
      <c r="BP489" s="592"/>
      <c r="BQ489" s="592"/>
    </row>
    <row r="490" spans="1:69" ht="12" customHeight="1" x14ac:dyDescent="0.15">
      <c r="A490" s="592"/>
      <c r="B490" s="658"/>
      <c r="C490" s="658"/>
      <c r="D490" s="658"/>
      <c r="E490" s="658"/>
      <c r="F490" s="658"/>
      <c r="G490" s="658"/>
      <c r="H490" s="658"/>
      <c r="I490" s="658"/>
      <c r="J490" s="658"/>
      <c r="K490" s="658"/>
      <c r="L490" s="658"/>
      <c r="M490" s="658"/>
      <c r="N490" s="658"/>
      <c r="O490" s="658"/>
      <c r="P490" s="658"/>
      <c r="Q490" s="658"/>
      <c r="R490" s="658"/>
      <c r="S490" s="658"/>
      <c r="T490" s="658"/>
      <c r="U490" s="658"/>
      <c r="V490" s="658"/>
      <c r="W490" s="658"/>
      <c r="X490" s="658"/>
      <c r="Y490" s="658"/>
      <c r="Z490" s="658"/>
      <c r="AA490" s="658"/>
      <c r="AB490" s="658"/>
      <c r="AC490" s="658"/>
      <c r="AD490" s="658"/>
      <c r="AE490" s="658"/>
      <c r="AF490" s="658"/>
      <c r="AG490" s="658"/>
      <c r="AH490" s="658"/>
      <c r="AI490" s="658"/>
      <c r="AJ490" s="658"/>
      <c r="AK490" s="658"/>
      <c r="AL490" s="658"/>
      <c r="AM490" s="658"/>
      <c r="AN490" s="658"/>
      <c r="AO490" s="658"/>
      <c r="AP490" s="658"/>
      <c r="AQ490" s="658"/>
      <c r="AR490" s="658"/>
      <c r="AS490" s="658"/>
      <c r="AT490" s="658"/>
      <c r="AU490" s="658"/>
      <c r="AV490" s="658"/>
      <c r="AW490" s="658"/>
      <c r="AX490" s="658"/>
      <c r="AY490" s="658"/>
      <c r="AZ490" s="658"/>
      <c r="BA490" s="658"/>
      <c r="BB490" s="658"/>
      <c r="BC490" s="658"/>
      <c r="BD490" s="658"/>
      <c r="BE490" s="658"/>
      <c r="BF490" s="658"/>
      <c r="BG490" s="658"/>
      <c r="BH490" s="592"/>
      <c r="BI490" s="592"/>
      <c r="BJ490" s="592"/>
      <c r="BK490" s="592"/>
      <c r="BL490" s="592"/>
      <c r="BM490" s="592"/>
      <c r="BN490" s="592"/>
      <c r="BO490" s="592"/>
      <c r="BP490" s="592"/>
      <c r="BQ490" s="592"/>
    </row>
    <row r="491" spans="1:69" ht="12" customHeight="1" x14ac:dyDescent="0.15">
      <c r="A491" s="592"/>
      <c r="B491" s="658"/>
      <c r="C491" s="658"/>
      <c r="D491" s="658"/>
      <c r="E491" s="658"/>
      <c r="F491" s="658"/>
      <c r="G491" s="658"/>
      <c r="H491" s="658"/>
      <c r="I491" s="658"/>
      <c r="J491" s="658"/>
      <c r="K491" s="658"/>
      <c r="L491" s="658"/>
      <c r="M491" s="658"/>
      <c r="N491" s="658"/>
      <c r="O491" s="658"/>
      <c r="P491" s="658"/>
      <c r="Q491" s="658"/>
      <c r="R491" s="658"/>
      <c r="S491" s="658"/>
      <c r="T491" s="658"/>
      <c r="U491" s="658"/>
      <c r="V491" s="658"/>
      <c r="W491" s="658"/>
      <c r="X491" s="658"/>
      <c r="Y491" s="658"/>
      <c r="Z491" s="658"/>
      <c r="AA491" s="658"/>
      <c r="AB491" s="658"/>
      <c r="AC491" s="658"/>
      <c r="AD491" s="658"/>
      <c r="AE491" s="658"/>
      <c r="AF491" s="658"/>
      <c r="AG491" s="658"/>
      <c r="AH491" s="658"/>
      <c r="AI491" s="658"/>
      <c r="AJ491" s="658"/>
      <c r="AK491" s="658"/>
      <c r="AL491" s="658"/>
      <c r="AM491" s="658"/>
      <c r="AN491" s="658"/>
      <c r="AO491" s="658"/>
      <c r="AP491" s="658"/>
      <c r="AQ491" s="658"/>
      <c r="AR491" s="658"/>
      <c r="AS491" s="658"/>
      <c r="AT491" s="658"/>
      <c r="AU491" s="658"/>
      <c r="AV491" s="658"/>
      <c r="AW491" s="658"/>
      <c r="AX491" s="658"/>
      <c r="AY491" s="658"/>
      <c r="AZ491" s="658"/>
      <c r="BA491" s="658"/>
      <c r="BB491" s="658"/>
      <c r="BC491" s="658"/>
      <c r="BD491" s="658"/>
      <c r="BE491" s="658"/>
      <c r="BF491" s="658"/>
      <c r="BG491" s="658"/>
      <c r="BH491" s="592"/>
      <c r="BI491" s="592"/>
      <c r="BJ491" s="592"/>
      <c r="BK491" s="592"/>
      <c r="BL491" s="592"/>
      <c r="BM491" s="592"/>
      <c r="BN491" s="592"/>
      <c r="BO491" s="592"/>
      <c r="BP491" s="592"/>
      <c r="BQ491" s="592"/>
    </row>
    <row r="492" spans="1:69" ht="12" customHeight="1" x14ac:dyDescent="0.15">
      <c r="A492" s="592"/>
      <c r="B492" s="658"/>
      <c r="C492" s="658"/>
      <c r="D492" s="658"/>
      <c r="E492" s="658"/>
      <c r="F492" s="658"/>
      <c r="G492" s="658"/>
      <c r="H492" s="658"/>
      <c r="I492" s="658"/>
      <c r="J492" s="658"/>
      <c r="K492" s="658"/>
      <c r="L492" s="658"/>
      <c r="M492" s="658"/>
      <c r="N492" s="658"/>
      <c r="O492" s="658"/>
      <c r="P492" s="658"/>
      <c r="Q492" s="658"/>
      <c r="R492" s="658"/>
      <c r="S492" s="658"/>
      <c r="T492" s="658"/>
      <c r="U492" s="658"/>
      <c r="V492" s="658"/>
      <c r="W492" s="658"/>
      <c r="X492" s="658"/>
      <c r="Y492" s="658"/>
      <c r="Z492" s="658"/>
      <c r="AA492" s="658"/>
      <c r="AB492" s="658"/>
      <c r="AC492" s="658"/>
      <c r="AD492" s="658"/>
      <c r="AE492" s="658"/>
      <c r="AF492" s="658"/>
      <c r="AG492" s="658"/>
      <c r="AH492" s="658"/>
      <c r="AI492" s="658"/>
      <c r="AJ492" s="658"/>
      <c r="AK492" s="658"/>
      <c r="AL492" s="658"/>
      <c r="AM492" s="658"/>
      <c r="AN492" s="658"/>
      <c r="AO492" s="658"/>
      <c r="AP492" s="658"/>
      <c r="AQ492" s="658"/>
      <c r="AR492" s="658"/>
      <c r="AS492" s="658"/>
      <c r="AT492" s="658"/>
      <c r="AU492" s="658"/>
      <c r="AV492" s="658"/>
      <c r="AW492" s="658"/>
      <c r="AX492" s="658"/>
      <c r="AY492" s="658"/>
      <c r="AZ492" s="658"/>
      <c r="BA492" s="658"/>
      <c r="BB492" s="658"/>
      <c r="BC492" s="658"/>
      <c r="BD492" s="658"/>
      <c r="BE492" s="658"/>
      <c r="BF492" s="658"/>
      <c r="BG492" s="658"/>
      <c r="BH492" s="592"/>
      <c r="BI492" s="592"/>
      <c r="BJ492" s="592"/>
      <c r="BK492" s="592"/>
      <c r="BL492" s="592"/>
      <c r="BM492" s="592"/>
      <c r="BN492" s="592"/>
      <c r="BO492" s="592"/>
      <c r="BP492" s="592"/>
      <c r="BQ492" s="592"/>
    </row>
    <row r="493" spans="1:69" ht="12" customHeight="1" x14ac:dyDescent="0.15">
      <c r="A493" s="592"/>
      <c r="B493" s="658"/>
      <c r="C493" s="658"/>
      <c r="D493" s="658"/>
      <c r="E493" s="658"/>
      <c r="F493" s="658"/>
      <c r="G493" s="658"/>
      <c r="H493" s="658"/>
      <c r="I493" s="658"/>
      <c r="J493" s="658"/>
      <c r="K493" s="658"/>
      <c r="L493" s="658"/>
      <c r="M493" s="658"/>
      <c r="N493" s="658"/>
      <c r="O493" s="658"/>
      <c r="P493" s="658"/>
      <c r="Q493" s="658"/>
      <c r="R493" s="658"/>
      <c r="S493" s="658"/>
      <c r="T493" s="658"/>
      <c r="U493" s="658"/>
      <c r="V493" s="658"/>
      <c r="W493" s="658"/>
      <c r="X493" s="658"/>
      <c r="Y493" s="658"/>
      <c r="Z493" s="658"/>
      <c r="AA493" s="658"/>
      <c r="AB493" s="658"/>
      <c r="AC493" s="658"/>
      <c r="AD493" s="658"/>
      <c r="AE493" s="658"/>
      <c r="AF493" s="658"/>
      <c r="AG493" s="658"/>
      <c r="AH493" s="658"/>
      <c r="AI493" s="658"/>
      <c r="AJ493" s="658"/>
      <c r="AK493" s="658"/>
      <c r="AL493" s="658"/>
      <c r="AM493" s="658"/>
      <c r="AN493" s="658"/>
      <c r="AO493" s="658"/>
      <c r="AP493" s="658"/>
      <c r="AQ493" s="658"/>
      <c r="AR493" s="658"/>
      <c r="AS493" s="658"/>
      <c r="AT493" s="658"/>
      <c r="AU493" s="658"/>
      <c r="AV493" s="658"/>
      <c r="AW493" s="658"/>
      <c r="AX493" s="658"/>
      <c r="AY493" s="658"/>
      <c r="AZ493" s="658"/>
      <c r="BA493" s="658"/>
      <c r="BB493" s="658"/>
      <c r="BC493" s="658"/>
      <c r="BD493" s="658"/>
      <c r="BE493" s="658"/>
      <c r="BF493" s="658"/>
      <c r="BG493" s="658"/>
      <c r="BH493" s="592"/>
      <c r="BI493" s="592"/>
      <c r="BJ493" s="592"/>
      <c r="BK493" s="592"/>
      <c r="BL493" s="592"/>
      <c r="BM493" s="592"/>
      <c r="BN493" s="592"/>
      <c r="BO493" s="592"/>
      <c r="BP493" s="592"/>
      <c r="BQ493" s="592"/>
    </row>
    <row r="494" spans="1:69" ht="12" customHeight="1" x14ac:dyDescent="0.15">
      <c r="A494" s="592"/>
      <c r="B494" s="658"/>
      <c r="C494" s="658"/>
      <c r="D494" s="658"/>
      <c r="E494" s="658"/>
      <c r="F494" s="658"/>
      <c r="G494" s="658"/>
      <c r="H494" s="658"/>
      <c r="I494" s="658"/>
      <c r="J494" s="658"/>
      <c r="K494" s="658"/>
      <c r="L494" s="658"/>
      <c r="M494" s="658"/>
      <c r="N494" s="658"/>
      <c r="O494" s="658"/>
      <c r="P494" s="658"/>
      <c r="Q494" s="658"/>
      <c r="R494" s="658"/>
      <c r="S494" s="658"/>
      <c r="T494" s="658"/>
      <c r="U494" s="658"/>
      <c r="V494" s="658"/>
      <c r="W494" s="658"/>
      <c r="X494" s="658"/>
      <c r="Y494" s="658"/>
      <c r="Z494" s="658"/>
      <c r="AA494" s="658"/>
      <c r="AB494" s="658"/>
      <c r="AC494" s="658"/>
      <c r="AD494" s="658"/>
      <c r="AE494" s="658"/>
      <c r="AF494" s="658"/>
      <c r="AG494" s="658"/>
      <c r="AH494" s="658"/>
      <c r="AI494" s="658"/>
      <c r="AJ494" s="658"/>
      <c r="AK494" s="658"/>
      <c r="AL494" s="658"/>
      <c r="AM494" s="658"/>
      <c r="AN494" s="658"/>
      <c r="AO494" s="658"/>
      <c r="AP494" s="658"/>
      <c r="AQ494" s="658"/>
      <c r="AR494" s="658"/>
      <c r="AS494" s="658"/>
      <c r="AT494" s="658"/>
      <c r="AU494" s="658"/>
      <c r="AV494" s="658"/>
      <c r="AW494" s="658"/>
      <c r="AX494" s="658"/>
      <c r="AY494" s="658"/>
      <c r="AZ494" s="658"/>
      <c r="BA494" s="658"/>
      <c r="BB494" s="658"/>
      <c r="BC494" s="658"/>
      <c r="BD494" s="658"/>
      <c r="BE494" s="658"/>
      <c r="BF494" s="658"/>
      <c r="BG494" s="658"/>
      <c r="BH494" s="592"/>
      <c r="BI494" s="592"/>
      <c r="BJ494" s="592"/>
      <c r="BK494" s="592"/>
      <c r="BL494" s="592"/>
      <c r="BM494" s="592"/>
      <c r="BN494" s="592"/>
      <c r="BO494" s="592"/>
      <c r="BP494" s="592"/>
      <c r="BQ494" s="592"/>
    </row>
    <row r="495" spans="1:69" ht="12" customHeight="1" x14ac:dyDescent="0.15">
      <c r="A495" s="592"/>
      <c r="B495" s="658"/>
      <c r="C495" s="658"/>
      <c r="D495" s="658"/>
      <c r="E495" s="658"/>
      <c r="F495" s="658"/>
      <c r="G495" s="658"/>
      <c r="H495" s="658"/>
      <c r="I495" s="658"/>
      <c r="J495" s="658"/>
      <c r="K495" s="658"/>
      <c r="L495" s="658"/>
      <c r="M495" s="658"/>
      <c r="N495" s="658"/>
      <c r="O495" s="658"/>
      <c r="P495" s="658"/>
      <c r="Q495" s="658"/>
      <c r="R495" s="658"/>
      <c r="S495" s="658"/>
      <c r="T495" s="658"/>
      <c r="U495" s="658"/>
      <c r="V495" s="658"/>
      <c r="W495" s="658"/>
      <c r="X495" s="658"/>
      <c r="Y495" s="658"/>
      <c r="Z495" s="658"/>
      <c r="AA495" s="658"/>
      <c r="AB495" s="658"/>
      <c r="AC495" s="658"/>
      <c r="AD495" s="658"/>
      <c r="AE495" s="658"/>
      <c r="AF495" s="658"/>
      <c r="AG495" s="658"/>
      <c r="AH495" s="658"/>
      <c r="AI495" s="658"/>
      <c r="AJ495" s="658"/>
      <c r="AK495" s="658"/>
      <c r="AL495" s="658"/>
      <c r="AM495" s="658"/>
      <c r="AN495" s="658"/>
      <c r="AO495" s="658"/>
      <c r="AP495" s="658"/>
      <c r="AQ495" s="658"/>
      <c r="AR495" s="658"/>
      <c r="AS495" s="658"/>
      <c r="AT495" s="658"/>
      <c r="AU495" s="658"/>
      <c r="AV495" s="658"/>
      <c r="AW495" s="658"/>
      <c r="AX495" s="658"/>
      <c r="AY495" s="658"/>
      <c r="AZ495" s="658"/>
      <c r="BA495" s="658"/>
      <c r="BB495" s="658"/>
      <c r="BC495" s="658"/>
      <c r="BD495" s="658"/>
      <c r="BE495" s="658"/>
      <c r="BF495" s="658"/>
      <c r="BG495" s="658"/>
      <c r="BH495" s="592"/>
      <c r="BI495" s="592"/>
      <c r="BJ495" s="592"/>
      <c r="BK495" s="592"/>
      <c r="BL495" s="592"/>
      <c r="BM495" s="592"/>
      <c r="BN495" s="592"/>
      <c r="BO495" s="592"/>
      <c r="BP495" s="592"/>
      <c r="BQ495" s="592"/>
    </row>
    <row r="496" spans="1:69" ht="12" customHeight="1" x14ac:dyDescent="0.15">
      <c r="A496" s="592"/>
      <c r="B496" s="658"/>
      <c r="C496" s="658"/>
      <c r="D496" s="658"/>
      <c r="E496" s="658"/>
      <c r="F496" s="658"/>
      <c r="G496" s="658"/>
      <c r="H496" s="658"/>
      <c r="I496" s="658"/>
      <c r="J496" s="658"/>
      <c r="K496" s="658"/>
      <c r="L496" s="658"/>
      <c r="M496" s="658"/>
      <c r="N496" s="658"/>
      <c r="O496" s="658"/>
      <c r="P496" s="658"/>
      <c r="Q496" s="658"/>
      <c r="R496" s="658"/>
      <c r="S496" s="658"/>
      <c r="T496" s="658"/>
      <c r="U496" s="658"/>
      <c r="V496" s="658"/>
      <c r="W496" s="658"/>
      <c r="X496" s="658"/>
      <c r="Y496" s="658"/>
      <c r="Z496" s="658"/>
      <c r="AA496" s="658"/>
      <c r="AB496" s="658"/>
      <c r="AC496" s="658"/>
      <c r="AD496" s="658"/>
      <c r="AE496" s="658"/>
      <c r="AF496" s="658"/>
      <c r="AG496" s="658"/>
      <c r="AH496" s="658"/>
      <c r="AI496" s="658"/>
      <c r="AJ496" s="658"/>
      <c r="AK496" s="658"/>
      <c r="AL496" s="658"/>
      <c r="AM496" s="658"/>
      <c r="AN496" s="658"/>
      <c r="AO496" s="658"/>
      <c r="AP496" s="658"/>
      <c r="AQ496" s="658"/>
      <c r="AR496" s="658"/>
      <c r="AS496" s="658"/>
      <c r="AT496" s="658"/>
      <c r="AU496" s="658"/>
      <c r="AV496" s="658"/>
      <c r="AW496" s="658"/>
      <c r="AX496" s="658"/>
      <c r="AY496" s="658"/>
      <c r="AZ496" s="658"/>
      <c r="BA496" s="658"/>
      <c r="BB496" s="658"/>
      <c r="BC496" s="658"/>
      <c r="BD496" s="658"/>
      <c r="BE496" s="658"/>
      <c r="BF496" s="658"/>
      <c r="BG496" s="658"/>
      <c r="BH496" s="592"/>
      <c r="BI496" s="592"/>
      <c r="BJ496" s="592"/>
      <c r="BK496" s="592"/>
      <c r="BL496" s="592"/>
      <c r="BM496" s="592"/>
      <c r="BN496" s="592"/>
      <c r="BO496" s="592"/>
      <c r="BP496" s="592"/>
      <c r="BQ496" s="592"/>
    </row>
    <row r="497" spans="1:69" ht="12" customHeight="1" x14ac:dyDescent="0.15">
      <c r="A497" s="592"/>
      <c r="B497" s="658"/>
      <c r="C497" s="658"/>
      <c r="D497" s="658"/>
      <c r="E497" s="658"/>
      <c r="F497" s="658"/>
      <c r="G497" s="658"/>
      <c r="H497" s="658"/>
      <c r="I497" s="658"/>
      <c r="J497" s="658"/>
      <c r="K497" s="658"/>
      <c r="L497" s="658"/>
      <c r="M497" s="658"/>
      <c r="N497" s="658"/>
      <c r="O497" s="658"/>
      <c r="P497" s="658"/>
      <c r="Q497" s="658"/>
      <c r="R497" s="658"/>
      <c r="S497" s="658"/>
      <c r="T497" s="658"/>
      <c r="U497" s="658"/>
      <c r="V497" s="658"/>
      <c r="W497" s="658"/>
      <c r="X497" s="658"/>
      <c r="Y497" s="658"/>
      <c r="Z497" s="658"/>
      <c r="AA497" s="658"/>
      <c r="AB497" s="658"/>
      <c r="AC497" s="658"/>
      <c r="AD497" s="658"/>
      <c r="AE497" s="658"/>
      <c r="AF497" s="658"/>
      <c r="AG497" s="658"/>
      <c r="AH497" s="658"/>
      <c r="AI497" s="658"/>
      <c r="AJ497" s="658"/>
      <c r="AK497" s="658"/>
      <c r="AL497" s="658"/>
      <c r="AM497" s="658"/>
      <c r="AN497" s="658"/>
      <c r="AO497" s="658"/>
      <c r="AP497" s="658"/>
      <c r="AQ497" s="658"/>
      <c r="AR497" s="658"/>
      <c r="AS497" s="658"/>
      <c r="AT497" s="658"/>
      <c r="AU497" s="658"/>
      <c r="AV497" s="658"/>
      <c r="AW497" s="658"/>
      <c r="AX497" s="658"/>
      <c r="AY497" s="658"/>
      <c r="AZ497" s="658"/>
      <c r="BA497" s="658"/>
      <c r="BB497" s="658"/>
      <c r="BC497" s="658"/>
      <c r="BD497" s="658"/>
      <c r="BE497" s="658"/>
      <c r="BF497" s="658"/>
      <c r="BG497" s="658"/>
      <c r="BH497" s="592"/>
      <c r="BI497" s="592"/>
      <c r="BJ497" s="592"/>
      <c r="BK497" s="592"/>
      <c r="BL497" s="592"/>
      <c r="BM497" s="592"/>
      <c r="BN497" s="592"/>
      <c r="BO497" s="592"/>
      <c r="BP497" s="592"/>
      <c r="BQ497" s="592"/>
    </row>
    <row r="498" spans="1:69" ht="12" customHeight="1" x14ac:dyDescent="0.15">
      <c r="A498" s="592"/>
      <c r="B498" s="658"/>
      <c r="C498" s="658"/>
      <c r="D498" s="658"/>
      <c r="E498" s="658"/>
      <c r="F498" s="658"/>
      <c r="G498" s="658"/>
      <c r="H498" s="658"/>
      <c r="I498" s="658"/>
      <c r="J498" s="658"/>
      <c r="K498" s="658"/>
      <c r="L498" s="658"/>
      <c r="M498" s="658"/>
      <c r="N498" s="658"/>
      <c r="O498" s="658"/>
      <c r="P498" s="658"/>
      <c r="Q498" s="658"/>
      <c r="R498" s="658"/>
      <c r="S498" s="658"/>
      <c r="T498" s="658"/>
      <c r="U498" s="658"/>
      <c r="V498" s="658"/>
      <c r="W498" s="658"/>
      <c r="X498" s="658"/>
      <c r="Y498" s="658"/>
      <c r="Z498" s="658"/>
      <c r="AA498" s="658"/>
      <c r="AB498" s="658"/>
      <c r="AC498" s="658"/>
      <c r="AD498" s="658"/>
      <c r="AE498" s="658"/>
      <c r="AF498" s="658"/>
      <c r="AG498" s="658"/>
      <c r="AH498" s="658"/>
      <c r="AI498" s="658"/>
      <c r="AJ498" s="658"/>
      <c r="AK498" s="658"/>
      <c r="AL498" s="658"/>
      <c r="AM498" s="658"/>
      <c r="AN498" s="658"/>
      <c r="AO498" s="658"/>
      <c r="AP498" s="658"/>
      <c r="AQ498" s="658"/>
      <c r="AR498" s="658"/>
      <c r="AS498" s="658"/>
      <c r="AT498" s="658"/>
      <c r="AU498" s="658"/>
      <c r="AV498" s="658"/>
      <c r="AW498" s="658"/>
      <c r="AX498" s="658"/>
      <c r="AY498" s="658"/>
      <c r="AZ498" s="658"/>
      <c r="BA498" s="658"/>
      <c r="BB498" s="658"/>
      <c r="BC498" s="658"/>
      <c r="BD498" s="658"/>
      <c r="BE498" s="658"/>
      <c r="BF498" s="658"/>
      <c r="BG498" s="658"/>
      <c r="BH498" s="592"/>
      <c r="BI498" s="592"/>
      <c r="BJ498" s="592"/>
      <c r="BK498" s="592"/>
      <c r="BL498" s="592"/>
      <c r="BM498" s="592"/>
      <c r="BN498" s="592"/>
      <c r="BO498" s="592"/>
      <c r="BP498" s="592"/>
      <c r="BQ498" s="592"/>
    </row>
    <row r="499" spans="1:69" ht="12" customHeight="1" x14ac:dyDescent="0.15">
      <c r="A499" s="592"/>
      <c r="B499" s="658"/>
      <c r="C499" s="658"/>
      <c r="D499" s="658"/>
      <c r="E499" s="658"/>
      <c r="F499" s="658"/>
      <c r="G499" s="658"/>
      <c r="H499" s="658"/>
      <c r="I499" s="658"/>
      <c r="J499" s="658"/>
      <c r="K499" s="658"/>
      <c r="L499" s="658"/>
      <c r="M499" s="658"/>
      <c r="N499" s="658"/>
      <c r="O499" s="658"/>
      <c r="P499" s="658"/>
      <c r="Q499" s="658"/>
      <c r="R499" s="658"/>
      <c r="S499" s="658"/>
      <c r="T499" s="658"/>
      <c r="U499" s="658"/>
      <c r="V499" s="658"/>
      <c r="W499" s="658"/>
      <c r="X499" s="658"/>
      <c r="Y499" s="658"/>
      <c r="Z499" s="658"/>
      <c r="AA499" s="658"/>
      <c r="AB499" s="658"/>
      <c r="AC499" s="658"/>
      <c r="AD499" s="658"/>
      <c r="AE499" s="658"/>
      <c r="AF499" s="658"/>
      <c r="AG499" s="658"/>
      <c r="AH499" s="658"/>
      <c r="AI499" s="658"/>
      <c r="AJ499" s="658"/>
      <c r="AK499" s="658"/>
      <c r="AL499" s="658"/>
      <c r="AM499" s="658"/>
      <c r="AN499" s="658"/>
      <c r="AO499" s="658"/>
      <c r="AP499" s="658"/>
      <c r="AQ499" s="658"/>
      <c r="AR499" s="658"/>
      <c r="AS499" s="658"/>
      <c r="AT499" s="658"/>
      <c r="AU499" s="658"/>
      <c r="AV499" s="658"/>
      <c r="AW499" s="658"/>
      <c r="AX499" s="658"/>
      <c r="AY499" s="658"/>
      <c r="AZ499" s="658"/>
      <c r="BA499" s="658"/>
      <c r="BB499" s="658"/>
      <c r="BC499" s="658"/>
      <c r="BD499" s="658"/>
      <c r="BE499" s="658"/>
      <c r="BF499" s="658"/>
      <c r="BG499" s="658"/>
      <c r="BH499" s="592"/>
      <c r="BI499" s="592"/>
      <c r="BJ499" s="592"/>
      <c r="BK499" s="592"/>
      <c r="BL499" s="592"/>
      <c r="BM499" s="592"/>
      <c r="BN499" s="592"/>
      <c r="BO499" s="592"/>
      <c r="BP499" s="592"/>
      <c r="BQ499" s="592"/>
    </row>
    <row r="500" spans="1:69" ht="12" customHeight="1" x14ac:dyDescent="0.15">
      <c r="A500" s="592"/>
      <c r="B500" s="658"/>
      <c r="C500" s="658"/>
      <c r="D500" s="658"/>
      <c r="E500" s="658"/>
      <c r="F500" s="658"/>
      <c r="G500" s="658"/>
      <c r="H500" s="658"/>
      <c r="I500" s="658"/>
      <c r="J500" s="658"/>
      <c r="K500" s="658"/>
      <c r="L500" s="658"/>
      <c r="M500" s="658"/>
      <c r="N500" s="658"/>
      <c r="O500" s="658"/>
      <c r="P500" s="658"/>
      <c r="Q500" s="658"/>
      <c r="R500" s="658"/>
      <c r="S500" s="658"/>
      <c r="T500" s="658"/>
      <c r="U500" s="658"/>
      <c r="V500" s="658"/>
      <c r="W500" s="658"/>
      <c r="X500" s="658"/>
      <c r="Y500" s="658"/>
      <c r="Z500" s="658"/>
      <c r="AA500" s="658"/>
      <c r="AB500" s="658"/>
      <c r="AC500" s="658"/>
      <c r="AD500" s="658"/>
      <c r="AE500" s="658"/>
      <c r="AF500" s="658"/>
      <c r="AG500" s="658"/>
      <c r="AH500" s="658"/>
      <c r="AI500" s="658"/>
      <c r="AJ500" s="658"/>
      <c r="AK500" s="658"/>
      <c r="AL500" s="658"/>
      <c r="AM500" s="658"/>
      <c r="AN500" s="658"/>
      <c r="AO500" s="658"/>
      <c r="AP500" s="658"/>
      <c r="AQ500" s="658"/>
      <c r="AR500" s="658"/>
      <c r="AS500" s="658"/>
      <c r="AT500" s="658"/>
      <c r="AU500" s="658"/>
      <c r="AV500" s="658"/>
      <c r="AW500" s="658"/>
      <c r="AX500" s="658"/>
      <c r="AY500" s="658"/>
      <c r="AZ500" s="658"/>
      <c r="BA500" s="658"/>
      <c r="BB500" s="658"/>
      <c r="BC500" s="658"/>
      <c r="BD500" s="658"/>
      <c r="BE500" s="658"/>
      <c r="BF500" s="658"/>
      <c r="BG500" s="658"/>
      <c r="BH500" s="592"/>
      <c r="BI500" s="592"/>
      <c r="BJ500" s="592"/>
      <c r="BK500" s="592"/>
      <c r="BL500" s="592"/>
      <c r="BM500" s="592"/>
      <c r="BN500" s="592"/>
      <c r="BO500" s="592"/>
      <c r="BP500" s="592"/>
      <c r="BQ500" s="592"/>
    </row>
    <row r="501" spans="1:69" ht="12" customHeight="1" x14ac:dyDescent="0.15">
      <c r="A501" s="592"/>
      <c r="B501" s="658"/>
      <c r="C501" s="658"/>
      <c r="D501" s="658"/>
      <c r="E501" s="658"/>
      <c r="F501" s="658"/>
      <c r="G501" s="658"/>
      <c r="H501" s="658"/>
      <c r="I501" s="658"/>
      <c r="J501" s="658"/>
      <c r="K501" s="658"/>
      <c r="L501" s="658"/>
      <c r="M501" s="658"/>
      <c r="N501" s="658"/>
      <c r="O501" s="658"/>
      <c r="P501" s="658"/>
      <c r="Q501" s="658"/>
      <c r="R501" s="658"/>
      <c r="S501" s="658"/>
      <c r="T501" s="658"/>
      <c r="U501" s="658"/>
      <c r="V501" s="658"/>
      <c r="W501" s="658"/>
      <c r="X501" s="658"/>
      <c r="Y501" s="658"/>
      <c r="Z501" s="658"/>
      <c r="AA501" s="658"/>
      <c r="AB501" s="658"/>
      <c r="AC501" s="658"/>
      <c r="AD501" s="658"/>
      <c r="AE501" s="658"/>
      <c r="AF501" s="658"/>
      <c r="AG501" s="658"/>
      <c r="AH501" s="658"/>
      <c r="AI501" s="658"/>
      <c r="AJ501" s="658"/>
      <c r="AK501" s="658"/>
      <c r="AL501" s="658"/>
      <c r="AM501" s="658"/>
      <c r="AN501" s="658"/>
      <c r="AO501" s="658"/>
      <c r="AP501" s="658"/>
      <c r="AQ501" s="658"/>
      <c r="AR501" s="658"/>
      <c r="AS501" s="658"/>
      <c r="AT501" s="658"/>
      <c r="AU501" s="658"/>
      <c r="AV501" s="658"/>
      <c r="AW501" s="658"/>
      <c r="AX501" s="658"/>
      <c r="AY501" s="658"/>
      <c r="AZ501" s="658"/>
      <c r="BA501" s="658"/>
      <c r="BB501" s="658"/>
      <c r="BC501" s="658"/>
      <c r="BD501" s="658"/>
      <c r="BE501" s="658"/>
      <c r="BF501" s="658"/>
      <c r="BG501" s="658"/>
      <c r="BH501" s="592"/>
      <c r="BI501" s="592"/>
      <c r="BJ501" s="592"/>
      <c r="BK501" s="592"/>
      <c r="BL501" s="592"/>
      <c r="BM501" s="592"/>
      <c r="BN501" s="592"/>
      <c r="BO501" s="592"/>
      <c r="BP501" s="592"/>
      <c r="BQ501" s="592"/>
    </row>
    <row r="502" spans="1:69" ht="12" customHeight="1" x14ac:dyDescent="0.15">
      <c r="A502" s="592"/>
      <c r="B502" s="658"/>
      <c r="C502" s="658"/>
      <c r="D502" s="658"/>
      <c r="E502" s="658"/>
      <c r="F502" s="658"/>
      <c r="G502" s="658"/>
      <c r="H502" s="658"/>
      <c r="I502" s="658"/>
      <c r="J502" s="658"/>
      <c r="K502" s="658"/>
      <c r="L502" s="658"/>
      <c r="M502" s="658"/>
      <c r="N502" s="658"/>
      <c r="O502" s="658"/>
      <c r="P502" s="658"/>
      <c r="Q502" s="658"/>
      <c r="R502" s="658"/>
      <c r="S502" s="658"/>
      <c r="T502" s="658"/>
      <c r="U502" s="658"/>
      <c r="V502" s="658"/>
      <c r="W502" s="658"/>
      <c r="X502" s="658"/>
      <c r="Y502" s="658"/>
      <c r="Z502" s="658"/>
      <c r="AA502" s="658"/>
      <c r="AB502" s="658"/>
      <c r="AC502" s="658"/>
      <c r="AD502" s="658"/>
      <c r="AE502" s="658"/>
      <c r="AF502" s="658"/>
      <c r="AG502" s="658"/>
      <c r="AH502" s="658"/>
      <c r="AI502" s="658"/>
      <c r="AJ502" s="658"/>
      <c r="AK502" s="658"/>
      <c r="AL502" s="658"/>
      <c r="AM502" s="658"/>
      <c r="AN502" s="658"/>
      <c r="AO502" s="658"/>
      <c r="AP502" s="658"/>
      <c r="AQ502" s="658"/>
      <c r="AR502" s="658"/>
      <c r="AS502" s="658"/>
      <c r="AT502" s="658"/>
      <c r="AU502" s="658"/>
      <c r="AV502" s="658"/>
      <c r="AW502" s="658"/>
      <c r="AX502" s="658"/>
      <c r="AY502" s="658"/>
      <c r="AZ502" s="658"/>
      <c r="BA502" s="658"/>
      <c r="BB502" s="658"/>
      <c r="BC502" s="658"/>
      <c r="BD502" s="658"/>
      <c r="BE502" s="658"/>
      <c r="BF502" s="658"/>
      <c r="BG502" s="658"/>
      <c r="BH502" s="592"/>
      <c r="BI502" s="592"/>
      <c r="BJ502" s="592"/>
      <c r="BK502" s="592"/>
      <c r="BL502" s="592"/>
      <c r="BM502" s="592"/>
      <c r="BN502" s="592"/>
      <c r="BO502" s="592"/>
      <c r="BP502" s="592"/>
      <c r="BQ502" s="592"/>
    </row>
    <row r="503" spans="1:69" ht="12" customHeight="1" x14ac:dyDescent="0.15">
      <c r="A503" s="592"/>
      <c r="B503" s="658"/>
      <c r="C503" s="658"/>
      <c r="D503" s="658"/>
      <c r="E503" s="658"/>
      <c r="F503" s="658"/>
      <c r="G503" s="658"/>
      <c r="H503" s="658"/>
      <c r="I503" s="658"/>
      <c r="J503" s="658"/>
      <c r="K503" s="658"/>
      <c r="L503" s="658"/>
      <c r="M503" s="658"/>
      <c r="N503" s="658"/>
      <c r="O503" s="658"/>
      <c r="P503" s="658"/>
      <c r="Q503" s="658"/>
      <c r="R503" s="658"/>
      <c r="S503" s="658"/>
      <c r="T503" s="658"/>
      <c r="U503" s="658"/>
      <c r="V503" s="658"/>
      <c r="W503" s="658"/>
      <c r="X503" s="658"/>
      <c r="Y503" s="658"/>
      <c r="Z503" s="658"/>
      <c r="AA503" s="658"/>
      <c r="AB503" s="658"/>
      <c r="AC503" s="658"/>
      <c r="AD503" s="658"/>
      <c r="AE503" s="658"/>
      <c r="AF503" s="658"/>
      <c r="AG503" s="658"/>
      <c r="AH503" s="658"/>
      <c r="AI503" s="658"/>
      <c r="AJ503" s="658"/>
      <c r="AK503" s="658"/>
      <c r="AL503" s="658"/>
      <c r="AM503" s="658"/>
      <c r="AN503" s="658"/>
      <c r="AO503" s="658"/>
      <c r="AP503" s="658"/>
      <c r="AQ503" s="658"/>
      <c r="AR503" s="658"/>
      <c r="AS503" s="658"/>
      <c r="AT503" s="658"/>
      <c r="AU503" s="658"/>
      <c r="AV503" s="658"/>
      <c r="AW503" s="658"/>
      <c r="AX503" s="658"/>
      <c r="AY503" s="658"/>
      <c r="AZ503" s="658"/>
      <c r="BA503" s="658"/>
      <c r="BB503" s="658"/>
      <c r="BC503" s="658"/>
      <c r="BD503" s="658"/>
      <c r="BE503" s="658"/>
      <c r="BF503" s="658"/>
      <c r="BG503" s="658"/>
      <c r="BH503" s="592"/>
      <c r="BI503" s="592"/>
      <c r="BJ503" s="592"/>
      <c r="BK503" s="592"/>
      <c r="BL503" s="592"/>
      <c r="BM503" s="592"/>
      <c r="BN503" s="592"/>
      <c r="BO503" s="592"/>
      <c r="BP503" s="592"/>
      <c r="BQ503" s="592"/>
    </row>
    <row r="504" spans="1:69" ht="12" customHeight="1" x14ac:dyDescent="0.15">
      <c r="A504" s="592"/>
      <c r="B504" s="658"/>
      <c r="C504" s="658"/>
      <c r="D504" s="658"/>
      <c r="E504" s="658"/>
      <c r="F504" s="658"/>
      <c r="G504" s="658"/>
      <c r="H504" s="658"/>
      <c r="I504" s="658"/>
      <c r="J504" s="658"/>
      <c r="K504" s="658"/>
      <c r="L504" s="658"/>
      <c r="M504" s="658"/>
      <c r="N504" s="658"/>
      <c r="O504" s="658"/>
      <c r="P504" s="658"/>
      <c r="Q504" s="658"/>
      <c r="R504" s="658"/>
      <c r="S504" s="658"/>
      <c r="T504" s="658"/>
      <c r="U504" s="658"/>
      <c r="V504" s="658"/>
      <c r="W504" s="658"/>
      <c r="X504" s="658"/>
      <c r="Y504" s="658"/>
      <c r="Z504" s="658"/>
      <c r="AA504" s="658"/>
      <c r="AB504" s="658"/>
      <c r="AC504" s="658"/>
      <c r="AD504" s="658"/>
      <c r="AE504" s="658"/>
      <c r="AF504" s="658"/>
      <c r="AG504" s="658"/>
      <c r="AH504" s="658"/>
      <c r="AI504" s="658"/>
      <c r="AJ504" s="658"/>
      <c r="AK504" s="658"/>
      <c r="AL504" s="658"/>
      <c r="AM504" s="658"/>
      <c r="AN504" s="658"/>
      <c r="AO504" s="658"/>
      <c r="AP504" s="658"/>
      <c r="AQ504" s="658"/>
      <c r="AR504" s="658"/>
      <c r="AS504" s="658"/>
      <c r="AT504" s="658"/>
      <c r="AU504" s="658"/>
      <c r="AV504" s="658"/>
      <c r="AW504" s="658"/>
      <c r="AX504" s="658"/>
      <c r="AY504" s="658"/>
      <c r="AZ504" s="658"/>
      <c r="BA504" s="658"/>
      <c r="BB504" s="658"/>
      <c r="BC504" s="658"/>
      <c r="BD504" s="658"/>
      <c r="BE504" s="658"/>
      <c r="BF504" s="658"/>
      <c r="BG504" s="658"/>
      <c r="BH504" s="592"/>
      <c r="BI504" s="592"/>
      <c r="BJ504" s="592"/>
      <c r="BK504" s="592"/>
      <c r="BL504" s="592"/>
      <c r="BM504" s="592"/>
      <c r="BN504" s="592"/>
      <c r="BO504" s="592"/>
      <c r="BP504" s="592"/>
      <c r="BQ504" s="592"/>
    </row>
    <row r="505" spans="1:69" ht="12" customHeight="1" x14ac:dyDescent="0.15">
      <c r="A505" s="592"/>
      <c r="B505" s="658"/>
      <c r="C505" s="658"/>
      <c r="D505" s="658"/>
      <c r="E505" s="658"/>
      <c r="F505" s="658"/>
      <c r="G505" s="658"/>
      <c r="H505" s="658"/>
      <c r="I505" s="658"/>
      <c r="J505" s="658"/>
      <c r="K505" s="658"/>
      <c r="L505" s="658"/>
      <c r="M505" s="658"/>
      <c r="N505" s="658"/>
      <c r="O505" s="658"/>
      <c r="P505" s="658"/>
      <c r="Q505" s="658"/>
      <c r="R505" s="658"/>
      <c r="S505" s="658"/>
      <c r="T505" s="658"/>
      <c r="U505" s="658"/>
      <c r="V505" s="658"/>
      <c r="W505" s="658"/>
      <c r="X505" s="658"/>
      <c r="Y505" s="658"/>
      <c r="Z505" s="658"/>
      <c r="AA505" s="658"/>
      <c r="AB505" s="658"/>
      <c r="AC505" s="658"/>
      <c r="AD505" s="658"/>
      <c r="AE505" s="658"/>
      <c r="AF505" s="658"/>
      <c r="AG505" s="658"/>
      <c r="AH505" s="658"/>
      <c r="AI505" s="658"/>
      <c r="AJ505" s="658"/>
      <c r="AK505" s="658"/>
      <c r="AL505" s="658"/>
      <c r="AM505" s="658"/>
      <c r="AN505" s="658"/>
      <c r="AO505" s="658"/>
      <c r="AP505" s="658"/>
      <c r="AQ505" s="658"/>
      <c r="AR505" s="658"/>
      <c r="AS505" s="658"/>
      <c r="AT505" s="658"/>
      <c r="AU505" s="658"/>
      <c r="AV505" s="658"/>
      <c r="AW505" s="658"/>
      <c r="AX505" s="658"/>
      <c r="AY505" s="658"/>
      <c r="AZ505" s="658"/>
      <c r="BA505" s="658"/>
      <c r="BB505" s="658"/>
      <c r="BC505" s="658"/>
      <c r="BD505" s="658"/>
      <c r="BE505" s="658"/>
      <c r="BF505" s="658"/>
      <c r="BG505" s="658"/>
      <c r="BH505" s="592"/>
      <c r="BI505" s="592"/>
      <c r="BJ505" s="592"/>
      <c r="BK505" s="592"/>
      <c r="BL505" s="592"/>
      <c r="BM505" s="592"/>
      <c r="BN505" s="592"/>
      <c r="BO505" s="592"/>
      <c r="BP505" s="592"/>
      <c r="BQ505" s="592"/>
    </row>
    <row r="506" spans="1:69" ht="12" customHeight="1" x14ac:dyDescent="0.15">
      <c r="A506" s="592"/>
      <c r="B506" s="658"/>
      <c r="C506" s="658"/>
      <c r="D506" s="658"/>
      <c r="E506" s="658"/>
      <c r="F506" s="658"/>
      <c r="G506" s="658"/>
      <c r="H506" s="658"/>
      <c r="I506" s="658"/>
      <c r="J506" s="658"/>
      <c r="K506" s="658"/>
      <c r="L506" s="658"/>
      <c r="M506" s="658"/>
      <c r="N506" s="658"/>
      <c r="O506" s="658"/>
      <c r="P506" s="658"/>
      <c r="Q506" s="658"/>
      <c r="R506" s="658"/>
      <c r="S506" s="658"/>
      <c r="T506" s="658"/>
      <c r="U506" s="658"/>
      <c r="V506" s="658"/>
      <c r="W506" s="658"/>
      <c r="X506" s="658"/>
      <c r="Y506" s="658"/>
      <c r="Z506" s="658"/>
      <c r="AA506" s="658"/>
      <c r="AB506" s="658"/>
      <c r="AC506" s="658"/>
      <c r="AD506" s="658"/>
      <c r="AE506" s="658"/>
      <c r="AF506" s="658"/>
      <c r="AG506" s="658"/>
      <c r="AH506" s="658"/>
      <c r="AI506" s="658"/>
      <c r="AJ506" s="658"/>
      <c r="AK506" s="658"/>
      <c r="AL506" s="658"/>
      <c r="AM506" s="658"/>
      <c r="AN506" s="658"/>
      <c r="AO506" s="658"/>
      <c r="AP506" s="658"/>
      <c r="AQ506" s="658"/>
      <c r="AR506" s="658"/>
      <c r="AS506" s="658"/>
      <c r="AT506" s="658"/>
      <c r="AU506" s="658"/>
      <c r="AV506" s="658"/>
      <c r="AW506" s="658"/>
      <c r="AX506" s="658"/>
      <c r="AY506" s="658"/>
      <c r="AZ506" s="658"/>
      <c r="BA506" s="658"/>
      <c r="BB506" s="658"/>
      <c r="BC506" s="658"/>
      <c r="BD506" s="658"/>
      <c r="BE506" s="658"/>
      <c r="BF506" s="658"/>
      <c r="BG506" s="658"/>
      <c r="BH506" s="592"/>
      <c r="BI506" s="592"/>
      <c r="BJ506" s="592"/>
      <c r="BK506" s="592"/>
      <c r="BL506" s="592"/>
      <c r="BM506" s="592"/>
      <c r="BN506" s="592"/>
      <c r="BO506" s="592"/>
      <c r="BP506" s="592"/>
      <c r="BQ506" s="592"/>
    </row>
    <row r="507" spans="1:69" ht="12" customHeight="1" x14ac:dyDescent="0.15">
      <c r="A507" s="592"/>
      <c r="B507" s="658"/>
      <c r="C507" s="658"/>
      <c r="D507" s="658"/>
      <c r="E507" s="658"/>
      <c r="F507" s="658"/>
      <c r="G507" s="658"/>
      <c r="H507" s="658"/>
      <c r="I507" s="658"/>
      <c r="J507" s="658"/>
      <c r="K507" s="658"/>
      <c r="L507" s="658"/>
      <c r="M507" s="658"/>
      <c r="N507" s="658"/>
      <c r="O507" s="658"/>
      <c r="P507" s="658"/>
      <c r="Q507" s="658"/>
      <c r="R507" s="658"/>
      <c r="S507" s="658"/>
      <c r="T507" s="658"/>
      <c r="U507" s="658"/>
      <c r="V507" s="658"/>
      <c r="W507" s="658"/>
      <c r="X507" s="658"/>
      <c r="Y507" s="658"/>
      <c r="Z507" s="658"/>
      <c r="AA507" s="658"/>
      <c r="AB507" s="658"/>
      <c r="AC507" s="658"/>
      <c r="AD507" s="658"/>
      <c r="AE507" s="658"/>
      <c r="AF507" s="658"/>
      <c r="AG507" s="658"/>
      <c r="AH507" s="658"/>
      <c r="AI507" s="658"/>
      <c r="AJ507" s="658"/>
      <c r="AK507" s="658"/>
      <c r="AL507" s="658"/>
      <c r="AM507" s="658"/>
      <c r="AN507" s="658"/>
      <c r="AO507" s="658"/>
      <c r="AP507" s="658"/>
      <c r="AQ507" s="658"/>
      <c r="AR507" s="658"/>
      <c r="AS507" s="658"/>
      <c r="AT507" s="658"/>
      <c r="AU507" s="658"/>
      <c r="AV507" s="658"/>
      <c r="AW507" s="658"/>
      <c r="AX507" s="658"/>
      <c r="AY507" s="658"/>
      <c r="AZ507" s="658"/>
      <c r="BA507" s="658"/>
      <c r="BB507" s="658"/>
      <c r="BC507" s="658"/>
      <c r="BD507" s="658"/>
      <c r="BE507" s="658"/>
      <c r="BF507" s="658"/>
      <c r="BG507" s="658"/>
      <c r="BH507" s="592"/>
      <c r="BI507" s="592"/>
      <c r="BJ507" s="592"/>
      <c r="BK507" s="592"/>
      <c r="BL507" s="592"/>
      <c r="BM507" s="592"/>
      <c r="BN507" s="592"/>
      <c r="BO507" s="592"/>
      <c r="BP507" s="592"/>
      <c r="BQ507" s="592"/>
    </row>
    <row r="508" spans="1:69" ht="12" customHeight="1" x14ac:dyDescent="0.15">
      <c r="A508" s="592"/>
      <c r="B508" s="658"/>
      <c r="C508" s="658"/>
      <c r="D508" s="658"/>
      <c r="E508" s="658"/>
      <c r="F508" s="658"/>
      <c r="G508" s="658"/>
      <c r="H508" s="6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658"/>
      <c r="AE508" s="658"/>
      <c r="AF508" s="658"/>
      <c r="AG508" s="658"/>
      <c r="AH508" s="658"/>
      <c r="AI508" s="658"/>
      <c r="AJ508" s="658"/>
      <c r="AK508" s="658"/>
      <c r="AL508" s="658"/>
      <c r="AM508" s="658"/>
      <c r="AN508" s="658"/>
      <c r="AO508" s="658"/>
      <c r="AP508" s="658"/>
      <c r="AQ508" s="658"/>
      <c r="AR508" s="658"/>
      <c r="AS508" s="658"/>
      <c r="AT508" s="658"/>
      <c r="AU508" s="658"/>
      <c r="AV508" s="658"/>
      <c r="AW508" s="658"/>
      <c r="AX508" s="658"/>
      <c r="AY508" s="658"/>
      <c r="AZ508" s="658"/>
      <c r="BA508" s="658"/>
      <c r="BB508" s="658"/>
      <c r="BC508" s="658"/>
      <c r="BD508" s="658"/>
      <c r="BE508" s="658"/>
      <c r="BF508" s="658"/>
      <c r="BG508" s="658"/>
      <c r="BH508" s="592"/>
      <c r="BI508" s="592"/>
      <c r="BJ508" s="592"/>
      <c r="BK508" s="592"/>
      <c r="BL508" s="592"/>
      <c r="BM508" s="592"/>
      <c r="BN508" s="592"/>
      <c r="BO508" s="592"/>
      <c r="BP508" s="592"/>
      <c r="BQ508" s="592"/>
    </row>
    <row r="509" spans="1:69" ht="12" customHeight="1" x14ac:dyDescent="0.15">
      <c r="A509" s="592"/>
      <c r="B509" s="658"/>
      <c r="C509" s="658"/>
      <c r="D509" s="658"/>
      <c r="E509" s="658"/>
      <c r="F509" s="658"/>
      <c r="G509" s="658"/>
      <c r="H509" s="658"/>
      <c r="I509" s="658"/>
      <c r="J509" s="658"/>
      <c r="K509" s="658"/>
      <c r="L509" s="658"/>
      <c r="M509" s="658"/>
      <c r="N509" s="658"/>
      <c r="O509" s="658"/>
      <c r="P509" s="658"/>
      <c r="Q509" s="658"/>
      <c r="R509" s="658"/>
      <c r="S509" s="658"/>
      <c r="T509" s="658"/>
      <c r="U509" s="658"/>
      <c r="V509" s="658"/>
      <c r="W509" s="658"/>
      <c r="X509" s="658"/>
      <c r="Y509" s="658"/>
      <c r="Z509" s="658"/>
      <c r="AA509" s="658"/>
      <c r="AB509" s="658"/>
      <c r="AC509" s="658"/>
      <c r="AD509" s="658"/>
      <c r="AE509" s="658"/>
      <c r="AF509" s="658"/>
      <c r="AG509" s="658"/>
      <c r="AH509" s="658"/>
      <c r="AI509" s="658"/>
      <c r="AJ509" s="658"/>
      <c r="AK509" s="658"/>
      <c r="AL509" s="658"/>
      <c r="AM509" s="658"/>
      <c r="AN509" s="658"/>
      <c r="AO509" s="658"/>
      <c r="AP509" s="658"/>
      <c r="AQ509" s="658"/>
      <c r="AR509" s="658"/>
      <c r="AS509" s="658"/>
      <c r="AT509" s="658"/>
      <c r="AU509" s="658"/>
      <c r="AV509" s="658"/>
      <c r="AW509" s="658"/>
      <c r="AX509" s="658"/>
      <c r="AY509" s="658"/>
      <c r="AZ509" s="658"/>
      <c r="BA509" s="658"/>
      <c r="BB509" s="658"/>
      <c r="BC509" s="658"/>
      <c r="BD509" s="658"/>
      <c r="BE509" s="658"/>
      <c r="BF509" s="658"/>
      <c r="BG509" s="658"/>
      <c r="BH509" s="592"/>
      <c r="BI509" s="592"/>
      <c r="BJ509" s="592"/>
      <c r="BK509" s="592"/>
      <c r="BL509" s="592"/>
      <c r="BM509" s="592"/>
      <c r="BN509" s="592"/>
      <c r="BO509" s="592"/>
      <c r="BP509" s="592"/>
      <c r="BQ509" s="592"/>
    </row>
    <row r="510" spans="1:69" ht="12" customHeight="1" x14ac:dyDescent="0.15">
      <c r="A510" s="592"/>
      <c r="B510" s="658"/>
      <c r="C510" s="658"/>
      <c r="D510" s="658"/>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8"/>
      <c r="AL510" s="658"/>
      <c r="AM510" s="658"/>
      <c r="AN510" s="658"/>
      <c r="AO510" s="658"/>
      <c r="AP510" s="658"/>
      <c r="AQ510" s="658"/>
      <c r="AR510" s="658"/>
      <c r="AS510" s="658"/>
      <c r="AT510" s="658"/>
      <c r="AU510" s="658"/>
      <c r="AV510" s="658"/>
      <c r="AW510" s="658"/>
      <c r="AX510" s="658"/>
      <c r="AY510" s="658"/>
      <c r="AZ510" s="658"/>
      <c r="BA510" s="658"/>
      <c r="BB510" s="658"/>
      <c r="BC510" s="658"/>
      <c r="BD510" s="658"/>
      <c r="BE510" s="658"/>
      <c r="BF510" s="658"/>
      <c r="BG510" s="658"/>
      <c r="BH510" s="592"/>
      <c r="BI510" s="592"/>
      <c r="BJ510" s="592"/>
      <c r="BK510" s="592"/>
      <c r="BL510" s="592"/>
      <c r="BM510" s="592"/>
      <c r="BN510" s="592"/>
      <c r="BO510" s="592"/>
      <c r="BP510" s="592"/>
      <c r="BQ510" s="592"/>
    </row>
    <row r="511" spans="1:69" ht="12" customHeight="1" x14ac:dyDescent="0.15">
      <c r="A511" s="592"/>
      <c r="B511" s="658"/>
      <c r="C511" s="658"/>
      <c r="D511" s="658"/>
      <c r="E511" s="658"/>
      <c r="F511" s="658"/>
      <c r="G511" s="658"/>
      <c r="H511" s="658"/>
      <c r="I511" s="658"/>
      <c r="J511" s="658"/>
      <c r="K511" s="658"/>
      <c r="L511" s="658"/>
      <c r="M511" s="658"/>
      <c r="N511" s="658"/>
      <c r="O511" s="658"/>
      <c r="P511" s="658"/>
      <c r="Q511" s="658"/>
      <c r="R511" s="658"/>
      <c r="S511" s="658"/>
      <c r="T511" s="658"/>
      <c r="U511" s="658"/>
      <c r="V511" s="658"/>
      <c r="W511" s="658"/>
      <c r="X511" s="658"/>
      <c r="Y511" s="658"/>
      <c r="Z511" s="658"/>
      <c r="AA511" s="658"/>
      <c r="AB511" s="658"/>
      <c r="AC511" s="658"/>
      <c r="AD511" s="658"/>
      <c r="AE511" s="658"/>
      <c r="AF511" s="658"/>
      <c r="AG511" s="658"/>
      <c r="AH511" s="658"/>
      <c r="AI511" s="658"/>
      <c r="AJ511" s="658"/>
      <c r="AK511" s="658"/>
      <c r="AL511" s="658"/>
      <c r="AM511" s="658"/>
      <c r="AN511" s="658"/>
      <c r="AO511" s="658"/>
      <c r="AP511" s="658"/>
      <c r="AQ511" s="658"/>
      <c r="AR511" s="658"/>
      <c r="AS511" s="658"/>
      <c r="AT511" s="658"/>
      <c r="AU511" s="658"/>
      <c r="AV511" s="658"/>
      <c r="AW511" s="658"/>
      <c r="AX511" s="658"/>
      <c r="AY511" s="658"/>
      <c r="AZ511" s="658"/>
      <c r="BA511" s="658"/>
      <c r="BB511" s="658"/>
      <c r="BC511" s="658"/>
      <c r="BD511" s="658"/>
      <c r="BE511" s="658"/>
      <c r="BF511" s="658"/>
      <c r="BG511" s="658"/>
      <c r="BH511" s="592"/>
      <c r="BI511" s="592"/>
      <c r="BJ511" s="592"/>
      <c r="BK511" s="592"/>
      <c r="BL511" s="592"/>
      <c r="BM511" s="592"/>
      <c r="BN511" s="592"/>
      <c r="BO511" s="592"/>
      <c r="BP511" s="592"/>
      <c r="BQ511" s="592"/>
    </row>
    <row r="512" spans="1:69" ht="12" customHeight="1" x14ac:dyDescent="0.15">
      <c r="A512" s="592"/>
      <c r="B512" s="658"/>
      <c r="C512" s="658"/>
      <c r="D512" s="658"/>
      <c r="E512" s="658"/>
      <c r="F512" s="658"/>
      <c r="G512" s="658"/>
      <c r="H512" s="658"/>
      <c r="I512" s="658"/>
      <c r="J512" s="658"/>
      <c r="K512" s="658"/>
      <c r="L512" s="658"/>
      <c r="M512" s="658"/>
      <c r="N512" s="658"/>
      <c r="O512" s="658"/>
      <c r="P512" s="658"/>
      <c r="Q512" s="658"/>
      <c r="R512" s="658"/>
      <c r="S512" s="658"/>
      <c r="T512" s="658"/>
      <c r="U512" s="658"/>
      <c r="V512" s="658"/>
      <c r="W512" s="658"/>
      <c r="X512" s="658"/>
      <c r="Y512" s="658"/>
      <c r="Z512" s="658"/>
      <c r="AA512" s="658"/>
      <c r="AB512" s="658"/>
      <c r="AC512" s="658"/>
      <c r="AD512" s="658"/>
      <c r="AE512" s="658"/>
      <c r="AF512" s="658"/>
      <c r="AG512" s="658"/>
      <c r="AH512" s="658"/>
      <c r="AI512" s="658"/>
      <c r="AJ512" s="658"/>
      <c r="AK512" s="658"/>
      <c r="AL512" s="658"/>
      <c r="AM512" s="658"/>
      <c r="AN512" s="658"/>
      <c r="AO512" s="658"/>
      <c r="AP512" s="658"/>
      <c r="AQ512" s="658"/>
      <c r="AR512" s="658"/>
      <c r="AS512" s="658"/>
      <c r="AT512" s="658"/>
      <c r="AU512" s="658"/>
      <c r="AV512" s="658"/>
      <c r="AW512" s="658"/>
      <c r="AX512" s="658"/>
      <c r="AY512" s="658"/>
      <c r="AZ512" s="658"/>
      <c r="BA512" s="658"/>
      <c r="BB512" s="658"/>
      <c r="BC512" s="658"/>
      <c r="BD512" s="658"/>
      <c r="BE512" s="658"/>
      <c r="BF512" s="658"/>
      <c r="BG512" s="658"/>
      <c r="BH512" s="592"/>
      <c r="BI512" s="592"/>
      <c r="BJ512" s="592"/>
      <c r="BK512" s="592"/>
      <c r="BL512" s="592"/>
      <c r="BM512" s="592"/>
      <c r="BN512" s="592"/>
      <c r="BO512" s="592"/>
      <c r="BP512" s="592"/>
      <c r="BQ512" s="592"/>
    </row>
    <row r="513" spans="1:69" ht="12" customHeight="1" x14ac:dyDescent="0.15">
      <c r="A513" s="592"/>
      <c r="B513" s="658"/>
      <c r="C513" s="658"/>
      <c r="D513" s="658"/>
      <c r="E513" s="658"/>
      <c r="F513" s="658"/>
      <c r="G513" s="658"/>
      <c r="H513" s="658"/>
      <c r="I513" s="658"/>
      <c r="J513" s="658"/>
      <c r="K513" s="658"/>
      <c r="L513" s="658"/>
      <c r="M513" s="658"/>
      <c r="N513" s="658"/>
      <c r="O513" s="658"/>
      <c r="P513" s="658"/>
      <c r="Q513" s="658"/>
      <c r="R513" s="658"/>
      <c r="S513" s="658"/>
      <c r="T513" s="658"/>
      <c r="U513" s="658"/>
      <c r="V513" s="658"/>
      <c r="W513" s="658"/>
      <c r="X513" s="658"/>
      <c r="Y513" s="658"/>
      <c r="Z513" s="658"/>
      <c r="AA513" s="658"/>
      <c r="AB513" s="658"/>
      <c r="AC513" s="658"/>
      <c r="AD513" s="658"/>
      <c r="AE513" s="658"/>
      <c r="AF513" s="658"/>
      <c r="AG513" s="658"/>
      <c r="AH513" s="658"/>
      <c r="AI513" s="658"/>
      <c r="AJ513" s="658"/>
      <c r="AK513" s="658"/>
      <c r="AL513" s="658"/>
      <c r="AM513" s="658"/>
      <c r="AN513" s="658"/>
      <c r="AO513" s="658"/>
      <c r="AP513" s="658"/>
      <c r="AQ513" s="658"/>
      <c r="AR513" s="658"/>
      <c r="AS513" s="658"/>
      <c r="AT513" s="658"/>
      <c r="AU513" s="658"/>
      <c r="AV513" s="658"/>
      <c r="AW513" s="658"/>
      <c r="AX513" s="658"/>
      <c r="AY513" s="658"/>
      <c r="AZ513" s="658"/>
      <c r="BA513" s="658"/>
      <c r="BB513" s="658"/>
      <c r="BC513" s="658"/>
      <c r="BD513" s="658"/>
      <c r="BE513" s="658"/>
      <c r="BF513" s="658"/>
      <c r="BG513" s="658"/>
      <c r="BH513" s="592"/>
      <c r="BI513" s="592"/>
      <c r="BJ513" s="592"/>
      <c r="BK513" s="592"/>
      <c r="BL513" s="592"/>
      <c r="BM513" s="592"/>
      <c r="BN513" s="592"/>
      <c r="BO513" s="592"/>
      <c r="BP513" s="592"/>
      <c r="BQ513" s="592"/>
    </row>
    <row r="514" spans="1:69" ht="12" customHeight="1" x14ac:dyDescent="0.15">
      <c r="A514" s="592"/>
      <c r="B514" s="658"/>
      <c r="C514" s="658"/>
      <c r="D514" s="658"/>
      <c r="E514" s="658"/>
      <c r="F514" s="658"/>
      <c r="G514" s="658"/>
      <c r="H514" s="658"/>
      <c r="I514" s="658"/>
      <c r="J514" s="658"/>
      <c r="K514" s="658"/>
      <c r="L514" s="658"/>
      <c r="M514" s="658"/>
      <c r="N514" s="658"/>
      <c r="O514" s="658"/>
      <c r="P514" s="658"/>
      <c r="Q514" s="658"/>
      <c r="R514" s="658"/>
      <c r="S514" s="658"/>
      <c r="T514" s="658"/>
      <c r="U514" s="658"/>
      <c r="V514" s="658"/>
      <c r="W514" s="658"/>
      <c r="X514" s="658"/>
      <c r="Y514" s="658"/>
      <c r="Z514" s="658"/>
      <c r="AA514" s="658"/>
      <c r="AB514" s="658"/>
      <c r="AC514" s="658"/>
      <c r="AD514" s="658"/>
      <c r="AE514" s="658"/>
      <c r="AF514" s="658"/>
      <c r="AG514" s="658"/>
      <c r="AH514" s="658"/>
      <c r="AI514" s="658"/>
      <c r="AJ514" s="658"/>
      <c r="AK514" s="658"/>
      <c r="AL514" s="658"/>
      <c r="AM514" s="658"/>
      <c r="AN514" s="658"/>
      <c r="AO514" s="658"/>
      <c r="AP514" s="658"/>
      <c r="AQ514" s="658"/>
      <c r="AR514" s="658"/>
      <c r="AS514" s="658"/>
      <c r="AT514" s="658"/>
      <c r="AU514" s="658"/>
      <c r="AV514" s="658"/>
      <c r="AW514" s="658"/>
      <c r="AX514" s="658"/>
      <c r="AY514" s="658"/>
      <c r="AZ514" s="658"/>
      <c r="BA514" s="658"/>
      <c r="BB514" s="658"/>
      <c r="BC514" s="658"/>
      <c r="BD514" s="658"/>
      <c r="BE514" s="658"/>
      <c r="BF514" s="658"/>
      <c r="BG514" s="658"/>
      <c r="BH514" s="592"/>
      <c r="BI514" s="592"/>
      <c r="BJ514" s="592"/>
      <c r="BK514" s="592"/>
      <c r="BL514" s="592"/>
      <c r="BM514" s="592"/>
      <c r="BN514" s="592"/>
      <c r="BO514" s="592"/>
      <c r="BP514" s="592"/>
      <c r="BQ514" s="592"/>
    </row>
    <row r="515" spans="1:69" ht="12" customHeight="1" x14ac:dyDescent="0.15">
      <c r="A515" s="592"/>
      <c r="B515" s="658"/>
      <c r="C515" s="658"/>
      <c r="D515" s="658"/>
      <c r="E515" s="658"/>
      <c r="F515" s="658"/>
      <c r="G515" s="658"/>
      <c r="H515" s="658"/>
      <c r="I515" s="658"/>
      <c r="J515" s="658"/>
      <c r="K515" s="658"/>
      <c r="L515" s="658"/>
      <c r="M515" s="658"/>
      <c r="N515" s="658"/>
      <c r="O515" s="658"/>
      <c r="P515" s="658"/>
      <c r="Q515" s="658"/>
      <c r="R515" s="658"/>
      <c r="S515" s="658"/>
      <c r="T515" s="658"/>
      <c r="U515" s="658"/>
      <c r="V515" s="658"/>
      <c r="W515" s="658"/>
      <c r="X515" s="658"/>
      <c r="Y515" s="658"/>
      <c r="Z515" s="658"/>
      <c r="AA515" s="658"/>
      <c r="AB515" s="658"/>
      <c r="AC515" s="658"/>
      <c r="AD515" s="658"/>
      <c r="AE515" s="658"/>
      <c r="AF515" s="658"/>
      <c r="AG515" s="658"/>
      <c r="AH515" s="658"/>
      <c r="AI515" s="658"/>
      <c r="AJ515" s="658"/>
      <c r="AK515" s="658"/>
      <c r="AL515" s="658"/>
      <c r="AM515" s="658"/>
      <c r="AN515" s="658"/>
      <c r="AO515" s="658"/>
      <c r="AP515" s="658"/>
      <c r="AQ515" s="658"/>
      <c r="AR515" s="658"/>
      <c r="AS515" s="658"/>
      <c r="AT515" s="658"/>
      <c r="AU515" s="658"/>
      <c r="AV515" s="658"/>
      <c r="AW515" s="658"/>
      <c r="AX515" s="658"/>
      <c r="AY515" s="658"/>
      <c r="AZ515" s="658"/>
      <c r="BA515" s="658"/>
      <c r="BB515" s="658"/>
      <c r="BC515" s="658"/>
      <c r="BD515" s="658"/>
      <c r="BE515" s="658"/>
      <c r="BF515" s="658"/>
      <c r="BG515" s="658"/>
      <c r="BH515" s="592"/>
      <c r="BI515" s="592"/>
      <c r="BJ515" s="592"/>
      <c r="BK515" s="592"/>
      <c r="BL515" s="592"/>
      <c r="BM515" s="592"/>
      <c r="BN515" s="592"/>
      <c r="BO515" s="592"/>
      <c r="BP515" s="592"/>
      <c r="BQ515" s="592"/>
    </row>
    <row r="516" spans="1:69" ht="12" customHeight="1" x14ac:dyDescent="0.15">
      <c r="A516" s="592"/>
      <c r="B516" s="658"/>
      <c r="C516" s="658"/>
      <c r="D516" s="658"/>
      <c r="E516" s="658"/>
      <c r="F516" s="658"/>
      <c r="G516" s="658"/>
      <c r="H516" s="658"/>
      <c r="I516" s="658"/>
      <c r="J516" s="658"/>
      <c r="K516" s="658"/>
      <c r="L516" s="658"/>
      <c r="M516" s="658"/>
      <c r="N516" s="658"/>
      <c r="O516" s="658"/>
      <c r="P516" s="658"/>
      <c r="Q516" s="658"/>
      <c r="R516" s="658"/>
      <c r="S516" s="658"/>
      <c r="T516" s="658"/>
      <c r="U516" s="658"/>
      <c r="V516" s="658"/>
      <c r="W516" s="658"/>
      <c r="X516" s="658"/>
      <c r="Y516" s="658"/>
      <c r="Z516" s="658"/>
      <c r="AA516" s="658"/>
      <c r="AB516" s="658"/>
      <c r="AC516" s="658"/>
      <c r="AD516" s="658"/>
      <c r="AE516" s="658"/>
      <c r="AF516" s="658"/>
      <c r="AG516" s="658"/>
      <c r="AH516" s="658"/>
      <c r="AI516" s="658"/>
      <c r="AJ516" s="658"/>
      <c r="AK516" s="658"/>
      <c r="AL516" s="658"/>
      <c r="AM516" s="658"/>
      <c r="AN516" s="658"/>
      <c r="AO516" s="658"/>
      <c r="AP516" s="658"/>
      <c r="AQ516" s="658"/>
      <c r="AR516" s="658"/>
      <c r="AS516" s="658"/>
      <c r="AT516" s="658"/>
      <c r="AU516" s="658"/>
      <c r="AV516" s="658"/>
      <c r="AW516" s="658"/>
      <c r="AX516" s="658"/>
      <c r="AY516" s="658"/>
      <c r="AZ516" s="658"/>
      <c r="BA516" s="658"/>
      <c r="BB516" s="658"/>
      <c r="BC516" s="658"/>
      <c r="BD516" s="658"/>
      <c r="BE516" s="658"/>
      <c r="BF516" s="658"/>
      <c r="BG516" s="658"/>
      <c r="BH516" s="592"/>
      <c r="BI516" s="592"/>
      <c r="BJ516" s="592"/>
      <c r="BK516" s="592"/>
      <c r="BL516" s="592"/>
      <c r="BM516" s="592"/>
      <c r="BN516" s="592"/>
      <c r="BO516" s="592"/>
      <c r="BP516" s="592"/>
      <c r="BQ516" s="592"/>
    </row>
    <row r="517" spans="1:69" ht="12" customHeight="1" x14ac:dyDescent="0.15">
      <c r="A517" s="592"/>
      <c r="B517" s="658"/>
      <c r="C517" s="658"/>
      <c r="D517" s="658"/>
      <c r="E517" s="658"/>
      <c r="F517" s="658"/>
      <c r="G517" s="658"/>
      <c r="H517" s="658"/>
      <c r="I517" s="658"/>
      <c r="J517" s="658"/>
      <c r="K517" s="658"/>
      <c r="L517" s="658"/>
      <c r="M517" s="658"/>
      <c r="N517" s="658"/>
      <c r="O517" s="658"/>
      <c r="P517" s="658"/>
      <c r="Q517" s="658"/>
      <c r="R517" s="658"/>
      <c r="S517" s="658"/>
      <c r="T517" s="658"/>
      <c r="U517" s="658"/>
      <c r="V517" s="658"/>
      <c r="W517" s="658"/>
      <c r="X517" s="658"/>
      <c r="Y517" s="658"/>
      <c r="Z517" s="658"/>
      <c r="AA517" s="658"/>
      <c r="AB517" s="658"/>
      <c r="AC517" s="658"/>
      <c r="AD517" s="658"/>
      <c r="AE517" s="658"/>
      <c r="AF517" s="658"/>
      <c r="AG517" s="658"/>
      <c r="AH517" s="658"/>
      <c r="AI517" s="658"/>
      <c r="AJ517" s="658"/>
      <c r="AK517" s="658"/>
      <c r="AL517" s="658"/>
      <c r="AM517" s="658"/>
      <c r="AN517" s="658"/>
      <c r="AO517" s="658"/>
      <c r="AP517" s="658"/>
      <c r="AQ517" s="658"/>
      <c r="AR517" s="658"/>
      <c r="AS517" s="658"/>
      <c r="AT517" s="658"/>
      <c r="AU517" s="658"/>
      <c r="AV517" s="658"/>
      <c r="AW517" s="658"/>
      <c r="AX517" s="658"/>
      <c r="AY517" s="658"/>
      <c r="AZ517" s="658"/>
      <c r="BA517" s="658"/>
      <c r="BB517" s="658"/>
      <c r="BC517" s="658"/>
      <c r="BD517" s="658"/>
      <c r="BE517" s="658"/>
      <c r="BF517" s="658"/>
      <c r="BG517" s="658"/>
      <c r="BH517" s="592"/>
      <c r="BI517" s="592"/>
      <c r="BJ517" s="592"/>
      <c r="BK517" s="592"/>
      <c r="BL517" s="592"/>
      <c r="BM517" s="592"/>
      <c r="BN517" s="592"/>
      <c r="BO517" s="592"/>
      <c r="BP517" s="592"/>
      <c r="BQ517" s="592"/>
    </row>
    <row r="518" spans="1:69" ht="12" customHeight="1" x14ac:dyDescent="0.15">
      <c r="A518" s="592"/>
      <c r="B518" s="658"/>
      <c r="C518" s="658"/>
      <c r="D518" s="658"/>
      <c r="E518" s="658"/>
      <c r="F518" s="658"/>
      <c r="G518" s="658"/>
      <c r="H518" s="658"/>
      <c r="I518" s="658"/>
      <c r="J518" s="658"/>
      <c r="K518" s="658"/>
      <c r="L518" s="658"/>
      <c r="M518" s="658"/>
      <c r="N518" s="658"/>
      <c r="O518" s="658"/>
      <c r="P518" s="658"/>
      <c r="Q518" s="658"/>
      <c r="R518" s="658"/>
      <c r="S518" s="658"/>
      <c r="T518" s="658"/>
      <c r="U518" s="658"/>
      <c r="V518" s="658"/>
      <c r="W518" s="658"/>
      <c r="X518" s="658"/>
      <c r="Y518" s="658"/>
      <c r="Z518" s="658"/>
      <c r="AA518" s="658"/>
      <c r="AB518" s="658"/>
      <c r="AC518" s="658"/>
      <c r="AD518" s="658"/>
      <c r="AE518" s="658"/>
      <c r="AF518" s="658"/>
      <c r="AG518" s="658"/>
      <c r="AH518" s="658"/>
      <c r="AI518" s="658"/>
      <c r="AJ518" s="658"/>
      <c r="AK518" s="658"/>
      <c r="AL518" s="658"/>
      <c r="AM518" s="658"/>
      <c r="AN518" s="658"/>
      <c r="AO518" s="658"/>
      <c r="AP518" s="658"/>
      <c r="AQ518" s="658"/>
      <c r="AR518" s="658"/>
      <c r="AS518" s="658"/>
      <c r="AT518" s="658"/>
      <c r="AU518" s="658"/>
      <c r="AV518" s="658"/>
      <c r="AW518" s="658"/>
      <c r="AX518" s="658"/>
      <c r="AY518" s="658"/>
      <c r="AZ518" s="658"/>
      <c r="BA518" s="658"/>
      <c r="BB518" s="658"/>
      <c r="BC518" s="658"/>
      <c r="BD518" s="658"/>
      <c r="BE518" s="658"/>
      <c r="BF518" s="658"/>
      <c r="BG518" s="658"/>
      <c r="BH518" s="592"/>
      <c r="BI518" s="592"/>
      <c r="BJ518" s="592"/>
      <c r="BK518" s="592"/>
      <c r="BL518" s="592"/>
      <c r="BM518" s="592"/>
      <c r="BN518" s="592"/>
      <c r="BO518" s="592"/>
      <c r="BP518" s="592"/>
      <c r="BQ518" s="592"/>
    </row>
    <row r="519" spans="1:69" ht="12" customHeight="1" x14ac:dyDescent="0.15">
      <c r="A519" s="592"/>
      <c r="B519" s="658"/>
      <c r="C519" s="658"/>
      <c r="D519" s="658"/>
      <c r="E519" s="658"/>
      <c r="F519" s="658"/>
      <c r="G519" s="658"/>
      <c r="H519" s="658"/>
      <c r="I519" s="658"/>
      <c r="J519" s="658"/>
      <c r="K519" s="658"/>
      <c r="L519" s="658"/>
      <c r="M519" s="658"/>
      <c r="N519" s="658"/>
      <c r="O519" s="658"/>
      <c r="P519" s="658"/>
      <c r="Q519" s="658"/>
      <c r="R519" s="658"/>
      <c r="S519" s="658"/>
      <c r="T519" s="658"/>
      <c r="U519" s="658"/>
      <c r="V519" s="658"/>
      <c r="W519" s="658"/>
      <c r="X519" s="658"/>
      <c r="Y519" s="658"/>
      <c r="Z519" s="658"/>
      <c r="AA519" s="658"/>
      <c r="AB519" s="658"/>
      <c r="AC519" s="658"/>
      <c r="AD519" s="658"/>
      <c r="AE519" s="658"/>
      <c r="AF519" s="658"/>
      <c r="AG519" s="658"/>
      <c r="AH519" s="658"/>
      <c r="AI519" s="658"/>
      <c r="AJ519" s="658"/>
      <c r="AK519" s="658"/>
      <c r="AL519" s="658"/>
      <c r="AM519" s="658"/>
      <c r="AN519" s="658"/>
      <c r="AO519" s="658"/>
      <c r="AP519" s="658"/>
      <c r="AQ519" s="658"/>
      <c r="AR519" s="658"/>
      <c r="AS519" s="658"/>
      <c r="AT519" s="658"/>
      <c r="AU519" s="658"/>
      <c r="AV519" s="658"/>
      <c r="AW519" s="658"/>
      <c r="AX519" s="658"/>
      <c r="AY519" s="658"/>
      <c r="AZ519" s="658"/>
      <c r="BA519" s="658"/>
      <c r="BB519" s="658"/>
      <c r="BC519" s="658"/>
      <c r="BD519" s="658"/>
      <c r="BE519" s="658"/>
      <c r="BF519" s="658"/>
      <c r="BG519" s="658"/>
      <c r="BH519" s="592"/>
      <c r="BI519" s="592"/>
      <c r="BJ519" s="592"/>
      <c r="BK519" s="592"/>
      <c r="BL519" s="592"/>
      <c r="BM519" s="592"/>
      <c r="BN519" s="592"/>
      <c r="BO519" s="592"/>
      <c r="BP519" s="592"/>
      <c r="BQ519" s="592"/>
    </row>
    <row r="520" spans="1:69" ht="12" customHeight="1" x14ac:dyDescent="0.15">
      <c r="A520" s="592"/>
      <c r="B520" s="658"/>
      <c r="C520" s="658"/>
      <c r="D520" s="658"/>
      <c r="E520" s="658"/>
      <c r="F520" s="658"/>
      <c r="G520" s="658"/>
      <c r="H520" s="658"/>
      <c r="I520" s="658"/>
      <c r="J520" s="658"/>
      <c r="K520" s="658"/>
      <c r="L520" s="658"/>
      <c r="M520" s="658"/>
      <c r="N520" s="658"/>
      <c r="O520" s="658"/>
      <c r="P520" s="658"/>
      <c r="Q520" s="658"/>
      <c r="R520" s="658"/>
      <c r="S520" s="658"/>
      <c r="T520" s="658"/>
      <c r="U520" s="658"/>
      <c r="V520" s="658"/>
      <c r="W520" s="658"/>
      <c r="X520" s="658"/>
      <c r="Y520" s="658"/>
      <c r="Z520" s="658"/>
      <c r="AA520" s="658"/>
      <c r="AB520" s="658"/>
      <c r="AC520" s="658"/>
      <c r="AD520" s="658"/>
      <c r="AE520" s="658"/>
      <c r="AF520" s="658"/>
      <c r="AG520" s="658"/>
      <c r="AH520" s="658"/>
      <c r="AI520" s="658"/>
      <c r="AJ520" s="658"/>
      <c r="AK520" s="658"/>
      <c r="AL520" s="658"/>
      <c r="AM520" s="658"/>
      <c r="AN520" s="658"/>
      <c r="AO520" s="658"/>
      <c r="AP520" s="658"/>
      <c r="AQ520" s="658"/>
      <c r="AR520" s="658"/>
      <c r="AS520" s="658"/>
      <c r="AT520" s="658"/>
      <c r="AU520" s="658"/>
      <c r="AV520" s="658"/>
      <c r="AW520" s="658"/>
      <c r="AX520" s="658"/>
      <c r="AY520" s="658"/>
      <c r="AZ520" s="658"/>
      <c r="BA520" s="658"/>
      <c r="BB520" s="658"/>
      <c r="BC520" s="658"/>
      <c r="BD520" s="658"/>
      <c r="BE520" s="658"/>
      <c r="BF520" s="658"/>
      <c r="BG520" s="658"/>
      <c r="BH520" s="592"/>
      <c r="BI520" s="592"/>
      <c r="BJ520" s="592"/>
      <c r="BK520" s="592"/>
      <c r="BL520" s="592"/>
      <c r="BM520" s="592"/>
      <c r="BN520" s="592"/>
      <c r="BO520" s="592"/>
      <c r="BP520" s="592"/>
      <c r="BQ520" s="592"/>
    </row>
    <row r="521" spans="1:69" ht="12" customHeight="1" x14ac:dyDescent="0.15">
      <c r="A521" s="592"/>
      <c r="B521" s="658"/>
      <c r="C521" s="658"/>
      <c r="D521" s="658"/>
      <c r="E521" s="658"/>
      <c r="F521" s="658"/>
      <c r="G521" s="658"/>
      <c r="H521" s="658"/>
      <c r="I521" s="658"/>
      <c r="J521" s="658"/>
      <c r="K521" s="658"/>
      <c r="L521" s="658"/>
      <c r="M521" s="658"/>
      <c r="N521" s="658"/>
      <c r="O521" s="658"/>
      <c r="P521" s="658"/>
      <c r="Q521" s="658"/>
      <c r="R521" s="658"/>
      <c r="S521" s="658"/>
      <c r="T521" s="658"/>
      <c r="U521" s="658"/>
      <c r="V521" s="658"/>
      <c r="W521" s="658"/>
      <c r="X521" s="658"/>
      <c r="Y521" s="658"/>
      <c r="Z521" s="658"/>
      <c r="AA521" s="658"/>
      <c r="AB521" s="658"/>
      <c r="AC521" s="658"/>
      <c r="AD521" s="658"/>
      <c r="AE521" s="658"/>
      <c r="AF521" s="658"/>
      <c r="AG521" s="658"/>
      <c r="AH521" s="658"/>
      <c r="AI521" s="658"/>
      <c r="AJ521" s="658"/>
      <c r="AK521" s="658"/>
      <c r="AL521" s="658"/>
      <c r="AM521" s="658"/>
      <c r="AN521" s="658"/>
      <c r="AO521" s="658"/>
      <c r="AP521" s="658"/>
      <c r="AQ521" s="658"/>
      <c r="AR521" s="658"/>
      <c r="AS521" s="658"/>
      <c r="AT521" s="658"/>
      <c r="AU521" s="658"/>
      <c r="AV521" s="658"/>
      <c r="AW521" s="658"/>
      <c r="AX521" s="658"/>
      <c r="AY521" s="658"/>
      <c r="AZ521" s="658"/>
      <c r="BA521" s="658"/>
      <c r="BB521" s="658"/>
      <c r="BC521" s="658"/>
      <c r="BD521" s="658"/>
      <c r="BE521" s="658"/>
      <c r="BF521" s="658"/>
      <c r="BG521" s="658"/>
      <c r="BH521" s="592"/>
      <c r="BI521" s="592"/>
      <c r="BJ521" s="592"/>
      <c r="BK521" s="592"/>
      <c r="BL521" s="592"/>
      <c r="BM521" s="592"/>
      <c r="BN521" s="592"/>
      <c r="BO521" s="592"/>
      <c r="BP521" s="592"/>
      <c r="BQ521" s="592"/>
    </row>
    <row r="522" spans="1:69" ht="12" customHeight="1" x14ac:dyDescent="0.15">
      <c r="A522" s="592"/>
      <c r="B522" s="658"/>
      <c r="C522" s="658"/>
      <c r="D522" s="658"/>
      <c r="E522" s="658"/>
      <c r="F522" s="658"/>
      <c r="G522" s="658"/>
      <c r="H522" s="658"/>
      <c r="I522" s="658"/>
      <c r="J522" s="658"/>
      <c r="K522" s="658"/>
      <c r="L522" s="658"/>
      <c r="M522" s="658"/>
      <c r="N522" s="658"/>
      <c r="O522" s="658"/>
      <c r="P522" s="658"/>
      <c r="Q522" s="658"/>
      <c r="R522" s="658"/>
      <c r="S522" s="658"/>
      <c r="T522" s="658"/>
      <c r="U522" s="658"/>
      <c r="V522" s="658"/>
      <c r="W522" s="658"/>
      <c r="X522" s="658"/>
      <c r="Y522" s="658"/>
      <c r="Z522" s="658"/>
      <c r="AA522" s="658"/>
      <c r="AB522" s="658"/>
      <c r="AC522" s="658"/>
      <c r="AD522" s="658"/>
      <c r="AE522" s="658"/>
      <c r="AF522" s="658"/>
      <c r="AG522" s="658"/>
      <c r="AH522" s="658"/>
      <c r="AI522" s="658"/>
      <c r="AJ522" s="658"/>
      <c r="AK522" s="658"/>
      <c r="AL522" s="658"/>
      <c r="AM522" s="658"/>
      <c r="AN522" s="658"/>
      <c r="AO522" s="658"/>
      <c r="AP522" s="658"/>
      <c r="AQ522" s="658"/>
      <c r="AR522" s="658"/>
      <c r="AS522" s="658"/>
      <c r="AT522" s="658"/>
      <c r="AU522" s="658"/>
      <c r="AV522" s="658"/>
      <c r="AW522" s="658"/>
      <c r="AX522" s="658"/>
      <c r="AY522" s="658"/>
      <c r="AZ522" s="658"/>
      <c r="BA522" s="658"/>
      <c r="BB522" s="658"/>
      <c r="BC522" s="658"/>
      <c r="BD522" s="658"/>
      <c r="BE522" s="658"/>
      <c r="BF522" s="658"/>
      <c r="BG522" s="658"/>
      <c r="BH522" s="592"/>
      <c r="BI522" s="592"/>
      <c r="BJ522" s="592"/>
      <c r="BK522" s="592"/>
      <c r="BL522" s="592"/>
      <c r="BM522" s="592"/>
      <c r="BN522" s="592"/>
      <c r="BO522" s="592"/>
      <c r="BP522" s="592"/>
      <c r="BQ522" s="592"/>
    </row>
    <row r="523" spans="1:69" ht="12" customHeight="1" x14ac:dyDescent="0.15">
      <c r="A523" s="592"/>
      <c r="B523" s="658"/>
      <c r="C523" s="658"/>
      <c r="D523" s="658"/>
      <c r="E523" s="658"/>
      <c r="F523" s="658"/>
      <c r="G523" s="658"/>
      <c r="H523" s="658"/>
      <c r="I523" s="658"/>
      <c r="J523" s="658"/>
      <c r="K523" s="658"/>
      <c r="L523" s="658"/>
      <c r="M523" s="658"/>
      <c r="N523" s="658"/>
      <c r="O523" s="658"/>
      <c r="P523" s="658"/>
      <c r="Q523" s="658"/>
      <c r="R523" s="658"/>
      <c r="S523" s="658"/>
      <c r="T523" s="658"/>
      <c r="U523" s="658"/>
      <c r="V523" s="658"/>
      <c r="W523" s="658"/>
      <c r="X523" s="658"/>
      <c r="Y523" s="658"/>
      <c r="Z523" s="658"/>
      <c r="AA523" s="658"/>
      <c r="AB523" s="658"/>
      <c r="AC523" s="658"/>
      <c r="AD523" s="658"/>
      <c r="AE523" s="658"/>
      <c r="AF523" s="658"/>
      <c r="AG523" s="658"/>
      <c r="AH523" s="658"/>
      <c r="AI523" s="658"/>
      <c r="AJ523" s="658"/>
      <c r="AK523" s="658"/>
      <c r="AL523" s="658"/>
      <c r="AM523" s="658"/>
      <c r="AN523" s="658"/>
      <c r="AO523" s="658"/>
      <c r="AP523" s="658"/>
      <c r="AQ523" s="658"/>
      <c r="AR523" s="658"/>
      <c r="AS523" s="658"/>
      <c r="AT523" s="658"/>
      <c r="AU523" s="658"/>
      <c r="AV523" s="658"/>
      <c r="AW523" s="658"/>
      <c r="AX523" s="658"/>
      <c r="AY523" s="658"/>
      <c r="AZ523" s="658"/>
      <c r="BA523" s="658"/>
      <c r="BB523" s="658"/>
      <c r="BC523" s="658"/>
      <c r="BD523" s="658"/>
      <c r="BE523" s="658"/>
      <c r="BF523" s="658"/>
      <c r="BG523" s="658"/>
      <c r="BH523" s="592"/>
      <c r="BI523" s="592"/>
      <c r="BJ523" s="592"/>
      <c r="BK523" s="592"/>
      <c r="BL523" s="592"/>
      <c r="BM523" s="592"/>
      <c r="BN523" s="592"/>
      <c r="BO523" s="592"/>
      <c r="BP523" s="592"/>
      <c r="BQ523" s="592"/>
    </row>
    <row r="524" spans="1:69" ht="12" customHeight="1" x14ac:dyDescent="0.15">
      <c r="A524" s="592"/>
      <c r="B524" s="658"/>
      <c r="C524" s="658"/>
      <c r="D524" s="658"/>
      <c r="E524" s="658"/>
      <c r="F524" s="658"/>
      <c r="G524" s="658"/>
      <c r="H524" s="658"/>
      <c r="I524" s="658"/>
      <c r="J524" s="658"/>
      <c r="K524" s="658"/>
      <c r="L524" s="658"/>
      <c r="M524" s="658"/>
      <c r="N524" s="658"/>
      <c r="O524" s="658"/>
      <c r="P524" s="658"/>
      <c r="Q524" s="658"/>
      <c r="R524" s="658"/>
      <c r="S524" s="658"/>
      <c r="T524" s="658"/>
      <c r="U524" s="658"/>
      <c r="V524" s="658"/>
      <c r="W524" s="658"/>
      <c r="X524" s="658"/>
      <c r="Y524" s="658"/>
      <c r="Z524" s="658"/>
      <c r="AA524" s="658"/>
      <c r="AB524" s="658"/>
      <c r="AC524" s="658"/>
      <c r="AD524" s="658"/>
      <c r="AE524" s="658"/>
      <c r="AF524" s="658"/>
      <c r="AG524" s="658"/>
      <c r="AH524" s="658"/>
      <c r="AI524" s="658"/>
      <c r="AJ524" s="658"/>
      <c r="AK524" s="658"/>
      <c r="AL524" s="658"/>
      <c r="AM524" s="658"/>
      <c r="AN524" s="658"/>
      <c r="AO524" s="658"/>
      <c r="AP524" s="658"/>
      <c r="AQ524" s="658"/>
      <c r="AR524" s="658"/>
      <c r="AS524" s="658"/>
      <c r="AT524" s="658"/>
      <c r="AU524" s="658"/>
      <c r="AV524" s="658"/>
      <c r="AW524" s="658"/>
      <c r="AX524" s="658"/>
      <c r="AY524" s="658"/>
      <c r="AZ524" s="658"/>
      <c r="BA524" s="658"/>
      <c r="BB524" s="658"/>
      <c r="BC524" s="658"/>
      <c r="BD524" s="658"/>
      <c r="BE524" s="658"/>
      <c r="BF524" s="658"/>
      <c r="BG524" s="658"/>
      <c r="BH524" s="592"/>
      <c r="BI524" s="592"/>
      <c r="BJ524" s="592"/>
      <c r="BK524" s="592"/>
      <c r="BL524" s="592"/>
      <c r="BM524" s="592"/>
      <c r="BN524" s="592"/>
      <c r="BO524" s="592"/>
      <c r="BP524" s="592"/>
      <c r="BQ524" s="592"/>
    </row>
    <row r="525" spans="1:69" ht="12" customHeight="1" x14ac:dyDescent="0.15">
      <c r="A525" s="592"/>
      <c r="B525" s="658"/>
      <c r="C525" s="658"/>
      <c r="D525" s="658"/>
      <c r="E525" s="658"/>
      <c r="F525" s="658"/>
      <c r="G525" s="658"/>
      <c r="H525" s="658"/>
      <c r="I525" s="658"/>
      <c r="J525" s="658"/>
      <c r="K525" s="658"/>
      <c r="L525" s="658"/>
      <c r="M525" s="658"/>
      <c r="N525" s="658"/>
      <c r="O525" s="658"/>
      <c r="P525" s="658"/>
      <c r="Q525" s="658"/>
      <c r="R525" s="658"/>
      <c r="S525" s="658"/>
      <c r="T525" s="658"/>
      <c r="U525" s="658"/>
      <c r="V525" s="658"/>
      <c r="W525" s="658"/>
      <c r="X525" s="658"/>
      <c r="Y525" s="658"/>
      <c r="Z525" s="658"/>
      <c r="AA525" s="658"/>
      <c r="AB525" s="658"/>
      <c r="AC525" s="658"/>
      <c r="AD525" s="658"/>
      <c r="AE525" s="658"/>
      <c r="AF525" s="658"/>
      <c r="AG525" s="658"/>
      <c r="AH525" s="658"/>
      <c r="AI525" s="658"/>
      <c r="AJ525" s="658"/>
      <c r="AK525" s="658"/>
      <c r="AL525" s="658"/>
      <c r="AM525" s="658"/>
      <c r="AN525" s="658"/>
      <c r="AO525" s="658"/>
      <c r="AP525" s="658"/>
      <c r="AQ525" s="658"/>
      <c r="AR525" s="658"/>
      <c r="AS525" s="658"/>
      <c r="AT525" s="658"/>
      <c r="AU525" s="658"/>
      <c r="AV525" s="658"/>
      <c r="AW525" s="658"/>
      <c r="AX525" s="658"/>
      <c r="AY525" s="658"/>
      <c r="AZ525" s="658"/>
      <c r="BA525" s="658"/>
      <c r="BB525" s="658"/>
      <c r="BC525" s="658"/>
      <c r="BD525" s="658"/>
      <c r="BE525" s="658"/>
      <c r="BF525" s="658"/>
      <c r="BG525" s="658"/>
      <c r="BH525" s="592"/>
      <c r="BI525" s="592"/>
      <c r="BJ525" s="592"/>
      <c r="BK525" s="592"/>
      <c r="BL525" s="592"/>
      <c r="BM525" s="592"/>
      <c r="BN525" s="592"/>
      <c r="BO525" s="592"/>
      <c r="BP525" s="592"/>
      <c r="BQ525" s="592"/>
    </row>
    <row r="526" spans="1:69" ht="12" customHeight="1" x14ac:dyDescent="0.15">
      <c r="A526" s="592"/>
      <c r="B526" s="658"/>
      <c r="C526" s="658"/>
      <c r="D526" s="658"/>
      <c r="E526" s="658"/>
      <c r="F526" s="658"/>
      <c r="G526" s="658"/>
      <c r="H526" s="658"/>
      <c r="I526" s="658"/>
      <c r="J526" s="658"/>
      <c r="K526" s="658"/>
      <c r="L526" s="658"/>
      <c r="M526" s="658"/>
      <c r="N526" s="658"/>
      <c r="O526" s="658"/>
      <c r="P526" s="658"/>
      <c r="Q526" s="658"/>
      <c r="R526" s="658"/>
      <c r="S526" s="658"/>
      <c r="T526" s="658"/>
      <c r="U526" s="658"/>
      <c r="V526" s="658"/>
      <c r="W526" s="658"/>
      <c r="X526" s="658"/>
      <c r="Y526" s="658"/>
      <c r="Z526" s="658"/>
      <c r="AA526" s="658"/>
      <c r="AB526" s="658"/>
      <c r="AC526" s="658"/>
      <c r="AD526" s="658"/>
      <c r="AE526" s="658"/>
      <c r="AF526" s="658"/>
      <c r="AG526" s="658"/>
      <c r="AH526" s="658"/>
      <c r="AI526" s="658"/>
      <c r="AJ526" s="658"/>
      <c r="AK526" s="658"/>
      <c r="AL526" s="658"/>
      <c r="AM526" s="658"/>
      <c r="AN526" s="658"/>
      <c r="AO526" s="658"/>
      <c r="AP526" s="658"/>
      <c r="AQ526" s="658"/>
      <c r="AR526" s="658"/>
      <c r="AS526" s="658"/>
      <c r="AT526" s="658"/>
      <c r="AU526" s="658"/>
      <c r="AV526" s="658"/>
      <c r="AW526" s="658"/>
      <c r="AX526" s="658"/>
      <c r="AY526" s="658"/>
      <c r="AZ526" s="658"/>
      <c r="BA526" s="658"/>
      <c r="BB526" s="658"/>
      <c r="BC526" s="658"/>
      <c r="BD526" s="658"/>
      <c r="BE526" s="658"/>
      <c r="BF526" s="658"/>
      <c r="BG526" s="658"/>
      <c r="BH526" s="592"/>
      <c r="BI526" s="592"/>
      <c r="BJ526" s="592"/>
      <c r="BK526" s="592"/>
      <c r="BL526" s="592"/>
      <c r="BM526" s="592"/>
      <c r="BN526" s="592"/>
      <c r="BO526" s="592"/>
      <c r="BP526" s="592"/>
      <c r="BQ526" s="592"/>
    </row>
    <row r="527" spans="1:69" ht="12" customHeight="1" x14ac:dyDescent="0.15">
      <c r="A527" s="592"/>
      <c r="B527" s="658"/>
      <c r="C527" s="658"/>
      <c r="D527" s="658"/>
      <c r="E527" s="658"/>
      <c r="F527" s="658"/>
      <c r="G527" s="658"/>
      <c r="H527" s="658"/>
      <c r="I527" s="658"/>
      <c r="J527" s="658"/>
      <c r="K527" s="658"/>
      <c r="L527" s="658"/>
      <c r="M527" s="658"/>
      <c r="N527" s="658"/>
      <c r="O527" s="658"/>
      <c r="P527" s="658"/>
      <c r="Q527" s="658"/>
      <c r="R527" s="658"/>
      <c r="S527" s="658"/>
      <c r="T527" s="658"/>
      <c r="U527" s="658"/>
      <c r="V527" s="658"/>
      <c r="W527" s="658"/>
      <c r="X527" s="658"/>
      <c r="Y527" s="658"/>
      <c r="Z527" s="658"/>
      <c r="AA527" s="658"/>
      <c r="AB527" s="658"/>
      <c r="AC527" s="658"/>
      <c r="AD527" s="658"/>
      <c r="AE527" s="658"/>
      <c r="AF527" s="658"/>
      <c r="AG527" s="658"/>
      <c r="AH527" s="658"/>
      <c r="AI527" s="658"/>
      <c r="AJ527" s="658"/>
      <c r="AK527" s="658"/>
      <c r="AL527" s="658"/>
      <c r="AM527" s="658"/>
      <c r="AN527" s="658"/>
      <c r="AO527" s="658"/>
      <c r="AP527" s="658"/>
      <c r="AQ527" s="658"/>
      <c r="AR527" s="658"/>
      <c r="AS527" s="658"/>
      <c r="AT527" s="658"/>
      <c r="AU527" s="658"/>
      <c r="AV527" s="658"/>
      <c r="AW527" s="658"/>
      <c r="AX527" s="658"/>
      <c r="AY527" s="658"/>
      <c r="AZ527" s="658"/>
      <c r="BA527" s="658"/>
      <c r="BB527" s="658"/>
      <c r="BC527" s="658"/>
      <c r="BD527" s="658"/>
      <c r="BE527" s="658"/>
      <c r="BF527" s="658"/>
      <c r="BG527" s="658"/>
      <c r="BH527" s="592"/>
      <c r="BI527" s="592"/>
      <c r="BJ527" s="592"/>
      <c r="BK527" s="592"/>
      <c r="BL527" s="592"/>
      <c r="BM527" s="592"/>
      <c r="BN527" s="592"/>
      <c r="BO527" s="592"/>
      <c r="BP527" s="592"/>
      <c r="BQ527" s="592"/>
    </row>
    <row r="528" spans="1:69" ht="12" customHeight="1" x14ac:dyDescent="0.15">
      <c r="A528" s="592"/>
      <c r="B528" s="658"/>
      <c r="C528" s="658"/>
      <c r="D528" s="658"/>
      <c r="E528" s="658"/>
      <c r="F528" s="658"/>
      <c r="G528" s="658"/>
      <c r="H528" s="658"/>
      <c r="I528" s="658"/>
      <c r="J528" s="658"/>
      <c r="K528" s="658"/>
      <c r="L528" s="658"/>
      <c r="M528" s="658"/>
      <c r="N528" s="658"/>
      <c r="O528" s="658"/>
      <c r="P528" s="658"/>
      <c r="Q528" s="658"/>
      <c r="R528" s="658"/>
      <c r="S528" s="658"/>
      <c r="T528" s="658"/>
      <c r="U528" s="658"/>
      <c r="V528" s="658"/>
      <c r="W528" s="658"/>
      <c r="X528" s="658"/>
      <c r="Y528" s="658"/>
      <c r="Z528" s="658"/>
      <c r="AA528" s="658"/>
      <c r="AB528" s="658"/>
      <c r="AC528" s="658"/>
      <c r="AD528" s="658"/>
      <c r="AE528" s="658"/>
      <c r="AF528" s="658"/>
      <c r="AG528" s="658"/>
      <c r="AH528" s="658"/>
      <c r="AI528" s="658"/>
      <c r="AJ528" s="658"/>
      <c r="AK528" s="658"/>
      <c r="AL528" s="658"/>
      <c r="AM528" s="658"/>
      <c r="AN528" s="658"/>
      <c r="AO528" s="658"/>
      <c r="AP528" s="658"/>
      <c r="AQ528" s="658"/>
      <c r="AR528" s="658"/>
      <c r="AS528" s="658"/>
      <c r="AT528" s="658"/>
      <c r="AU528" s="658"/>
      <c r="AV528" s="658"/>
      <c r="AW528" s="658"/>
      <c r="AX528" s="658"/>
      <c r="AY528" s="658"/>
      <c r="AZ528" s="658"/>
      <c r="BA528" s="658"/>
      <c r="BB528" s="658"/>
      <c r="BC528" s="658"/>
      <c r="BD528" s="658"/>
      <c r="BE528" s="658"/>
      <c r="BF528" s="658"/>
      <c r="BG528" s="658"/>
      <c r="BH528" s="592"/>
      <c r="BI528" s="592"/>
      <c r="BJ528" s="592"/>
      <c r="BK528" s="592"/>
      <c r="BL528" s="592"/>
      <c r="BM528" s="592"/>
      <c r="BN528" s="592"/>
      <c r="BO528" s="592"/>
      <c r="BP528" s="592"/>
      <c r="BQ528" s="592"/>
    </row>
    <row r="529" spans="1:69" ht="12" customHeight="1" x14ac:dyDescent="0.15">
      <c r="A529" s="592"/>
      <c r="B529" s="658"/>
      <c r="C529" s="658"/>
      <c r="D529" s="658"/>
      <c r="E529" s="658"/>
      <c r="F529" s="658"/>
      <c r="G529" s="658"/>
      <c r="H529" s="658"/>
      <c r="I529" s="658"/>
      <c r="J529" s="658"/>
      <c r="K529" s="658"/>
      <c r="L529" s="658"/>
      <c r="M529" s="658"/>
      <c r="N529" s="658"/>
      <c r="O529" s="658"/>
      <c r="P529" s="658"/>
      <c r="Q529" s="658"/>
      <c r="R529" s="658"/>
      <c r="S529" s="658"/>
      <c r="T529" s="658"/>
      <c r="U529" s="658"/>
      <c r="V529" s="658"/>
      <c r="W529" s="658"/>
      <c r="X529" s="658"/>
      <c r="Y529" s="658"/>
      <c r="Z529" s="658"/>
      <c r="AA529" s="658"/>
      <c r="AB529" s="658"/>
      <c r="AC529" s="658"/>
      <c r="AD529" s="658"/>
      <c r="AE529" s="658"/>
      <c r="AF529" s="658"/>
      <c r="AG529" s="658"/>
      <c r="AH529" s="658"/>
      <c r="AI529" s="658"/>
      <c r="AJ529" s="658"/>
      <c r="AK529" s="658"/>
      <c r="AL529" s="658"/>
      <c r="AM529" s="658"/>
      <c r="AN529" s="658"/>
      <c r="AO529" s="658"/>
      <c r="AP529" s="658"/>
      <c r="AQ529" s="658"/>
      <c r="AR529" s="658"/>
      <c r="AS529" s="658"/>
      <c r="AT529" s="658"/>
      <c r="AU529" s="658"/>
      <c r="AV529" s="658"/>
      <c r="AW529" s="658"/>
      <c r="AX529" s="658"/>
      <c r="AY529" s="658"/>
      <c r="AZ529" s="658"/>
      <c r="BA529" s="658"/>
      <c r="BB529" s="658"/>
      <c r="BC529" s="658"/>
      <c r="BD529" s="658"/>
      <c r="BE529" s="658"/>
      <c r="BF529" s="658"/>
      <c r="BG529" s="658"/>
      <c r="BH529" s="592"/>
      <c r="BI529" s="592"/>
      <c r="BJ529" s="592"/>
      <c r="BK529" s="592"/>
      <c r="BL529" s="592"/>
      <c r="BM529" s="592"/>
      <c r="BN529" s="592"/>
      <c r="BO529" s="592"/>
      <c r="BP529" s="592"/>
      <c r="BQ529" s="592"/>
    </row>
    <row r="530" spans="1:69" ht="12" customHeight="1" x14ac:dyDescent="0.15">
      <c r="A530" s="592"/>
      <c r="B530" s="658"/>
      <c r="C530" s="658"/>
      <c r="D530" s="658"/>
      <c r="E530" s="658"/>
      <c r="F530" s="658"/>
      <c r="G530" s="658"/>
      <c r="H530" s="658"/>
      <c r="I530" s="658"/>
      <c r="J530" s="658"/>
      <c r="K530" s="658"/>
      <c r="L530" s="658"/>
      <c r="M530" s="658"/>
      <c r="N530" s="658"/>
      <c r="O530" s="658"/>
      <c r="P530" s="658"/>
      <c r="Q530" s="658"/>
      <c r="R530" s="658"/>
      <c r="S530" s="658"/>
      <c r="T530" s="658"/>
      <c r="U530" s="658"/>
      <c r="V530" s="658"/>
      <c r="W530" s="658"/>
      <c r="X530" s="658"/>
      <c r="Y530" s="658"/>
      <c r="Z530" s="658"/>
      <c r="AA530" s="658"/>
      <c r="AB530" s="658"/>
      <c r="AC530" s="658"/>
      <c r="AD530" s="658"/>
      <c r="AE530" s="658"/>
      <c r="AF530" s="658"/>
      <c r="AG530" s="658"/>
      <c r="AH530" s="658"/>
      <c r="AI530" s="658"/>
      <c r="AJ530" s="658"/>
      <c r="AK530" s="658"/>
      <c r="AL530" s="658"/>
      <c r="AM530" s="658"/>
      <c r="AN530" s="658"/>
      <c r="AO530" s="658"/>
      <c r="AP530" s="658"/>
      <c r="AQ530" s="658"/>
      <c r="AR530" s="658"/>
      <c r="AS530" s="658"/>
      <c r="AT530" s="658"/>
      <c r="AU530" s="658"/>
      <c r="AV530" s="658"/>
      <c r="AW530" s="658"/>
      <c r="AX530" s="658"/>
      <c r="AY530" s="658"/>
      <c r="AZ530" s="658"/>
      <c r="BA530" s="658"/>
      <c r="BB530" s="658"/>
      <c r="BC530" s="658"/>
      <c r="BD530" s="658"/>
      <c r="BE530" s="658"/>
      <c r="BF530" s="658"/>
      <c r="BG530" s="658"/>
      <c r="BH530" s="592"/>
      <c r="BI530" s="592"/>
      <c r="BJ530" s="592"/>
      <c r="BK530" s="592"/>
      <c r="BL530" s="592"/>
      <c r="BM530" s="592"/>
      <c r="BN530" s="592"/>
      <c r="BO530" s="592"/>
      <c r="BP530" s="592"/>
      <c r="BQ530" s="592"/>
    </row>
    <row r="531" spans="1:69" ht="12" customHeight="1" x14ac:dyDescent="0.15">
      <c r="A531" s="592"/>
      <c r="B531" s="658"/>
      <c r="C531" s="658"/>
      <c r="D531" s="658"/>
      <c r="E531" s="658"/>
      <c r="F531" s="658"/>
      <c r="G531" s="658"/>
      <c r="H531" s="658"/>
      <c r="I531" s="658"/>
      <c r="J531" s="658"/>
      <c r="K531" s="658"/>
      <c r="L531" s="658"/>
      <c r="M531" s="658"/>
      <c r="N531" s="658"/>
      <c r="O531" s="658"/>
      <c r="P531" s="658"/>
      <c r="Q531" s="658"/>
      <c r="R531" s="658"/>
      <c r="S531" s="658"/>
      <c r="T531" s="658"/>
      <c r="U531" s="658"/>
      <c r="V531" s="658"/>
      <c r="W531" s="658"/>
      <c r="X531" s="658"/>
      <c r="Y531" s="658"/>
      <c r="Z531" s="658"/>
      <c r="AA531" s="658"/>
      <c r="AB531" s="658"/>
      <c r="AC531" s="658"/>
      <c r="AD531" s="658"/>
      <c r="AE531" s="658"/>
      <c r="AF531" s="658"/>
      <c r="AG531" s="658"/>
      <c r="AH531" s="658"/>
      <c r="AI531" s="658"/>
      <c r="AJ531" s="658"/>
      <c r="AK531" s="658"/>
      <c r="AL531" s="658"/>
      <c r="AM531" s="658"/>
      <c r="AN531" s="658"/>
      <c r="AO531" s="658"/>
      <c r="AP531" s="658"/>
      <c r="AQ531" s="658"/>
      <c r="AR531" s="658"/>
      <c r="AS531" s="658"/>
      <c r="AT531" s="658"/>
      <c r="AU531" s="658"/>
      <c r="AV531" s="658"/>
      <c r="AW531" s="658"/>
      <c r="AX531" s="658"/>
      <c r="AY531" s="658"/>
      <c r="AZ531" s="658"/>
      <c r="BA531" s="658"/>
      <c r="BB531" s="658"/>
      <c r="BC531" s="658"/>
      <c r="BD531" s="658"/>
      <c r="BE531" s="658"/>
      <c r="BF531" s="658"/>
      <c r="BG531" s="658"/>
      <c r="BH531" s="592"/>
      <c r="BI531" s="592"/>
      <c r="BJ531" s="592"/>
      <c r="BK531" s="592"/>
      <c r="BL531" s="592"/>
      <c r="BM531" s="592"/>
      <c r="BN531" s="592"/>
      <c r="BO531" s="592"/>
      <c r="BP531" s="592"/>
      <c r="BQ531" s="592"/>
    </row>
    <row r="532" spans="1:69" ht="12" customHeight="1" x14ac:dyDescent="0.15">
      <c r="A532" s="592"/>
      <c r="B532" s="658"/>
      <c r="C532" s="658"/>
      <c r="D532" s="658"/>
      <c r="E532" s="658"/>
      <c r="F532" s="658"/>
      <c r="G532" s="658"/>
      <c r="H532" s="658"/>
      <c r="I532" s="658"/>
      <c r="J532" s="658"/>
      <c r="K532" s="658"/>
      <c r="L532" s="658"/>
      <c r="M532" s="658"/>
      <c r="N532" s="658"/>
      <c r="O532" s="658"/>
      <c r="P532" s="658"/>
      <c r="Q532" s="658"/>
      <c r="R532" s="658"/>
      <c r="S532" s="658"/>
      <c r="T532" s="658"/>
      <c r="U532" s="658"/>
      <c r="V532" s="658"/>
      <c r="W532" s="658"/>
      <c r="X532" s="658"/>
      <c r="Y532" s="658"/>
      <c r="Z532" s="658"/>
      <c r="AA532" s="658"/>
      <c r="AB532" s="658"/>
      <c r="AC532" s="658"/>
      <c r="AD532" s="658"/>
      <c r="AE532" s="658"/>
      <c r="AF532" s="658"/>
      <c r="AG532" s="658"/>
      <c r="AH532" s="658"/>
      <c r="AI532" s="658"/>
      <c r="AJ532" s="658"/>
      <c r="AK532" s="658"/>
      <c r="AL532" s="658"/>
      <c r="AM532" s="658"/>
      <c r="AN532" s="658"/>
      <c r="AO532" s="658"/>
      <c r="AP532" s="658"/>
      <c r="AQ532" s="658"/>
      <c r="AR532" s="658"/>
      <c r="AS532" s="658"/>
      <c r="AT532" s="658"/>
      <c r="AU532" s="658"/>
      <c r="AV532" s="658"/>
      <c r="AW532" s="658"/>
      <c r="AX532" s="658"/>
      <c r="AY532" s="658"/>
      <c r="AZ532" s="658"/>
      <c r="BA532" s="658"/>
      <c r="BB532" s="658"/>
      <c r="BC532" s="658"/>
      <c r="BD532" s="658"/>
      <c r="BE532" s="658"/>
      <c r="BF532" s="658"/>
      <c r="BG532" s="658"/>
      <c r="BH532" s="592"/>
      <c r="BI532" s="592"/>
      <c r="BJ532" s="592"/>
      <c r="BK532" s="592"/>
      <c r="BL532" s="592"/>
      <c r="BM532" s="592"/>
      <c r="BN532" s="592"/>
      <c r="BO532" s="592"/>
      <c r="BP532" s="592"/>
      <c r="BQ532" s="592"/>
    </row>
    <row r="533" spans="1:69" ht="12" customHeight="1" x14ac:dyDescent="0.15">
      <c r="A533" s="592"/>
      <c r="B533" s="658"/>
      <c r="C533" s="658"/>
      <c r="D533" s="658"/>
      <c r="E533" s="658"/>
      <c r="F533" s="658"/>
      <c r="G533" s="658"/>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8"/>
      <c r="AL533" s="658"/>
      <c r="AM533" s="658"/>
      <c r="AN533" s="658"/>
      <c r="AO533" s="658"/>
      <c r="AP533" s="658"/>
      <c r="AQ533" s="658"/>
      <c r="AR533" s="658"/>
      <c r="AS533" s="658"/>
      <c r="AT533" s="658"/>
      <c r="AU533" s="658"/>
      <c r="AV533" s="658"/>
      <c r="AW533" s="658"/>
      <c r="AX533" s="658"/>
      <c r="AY533" s="658"/>
      <c r="AZ533" s="658"/>
      <c r="BA533" s="658"/>
      <c r="BB533" s="658"/>
      <c r="BC533" s="658"/>
      <c r="BD533" s="658"/>
      <c r="BE533" s="658"/>
      <c r="BF533" s="658"/>
      <c r="BG533" s="658"/>
      <c r="BH533" s="592"/>
      <c r="BI533" s="592"/>
      <c r="BJ533" s="592"/>
      <c r="BK533" s="592"/>
      <c r="BL533" s="592"/>
      <c r="BM533" s="592"/>
      <c r="BN533" s="592"/>
      <c r="BO533" s="592"/>
      <c r="BP533" s="592"/>
      <c r="BQ533" s="592"/>
    </row>
    <row r="534" spans="1:69" ht="12" customHeight="1" x14ac:dyDescent="0.15">
      <c r="A534" s="592"/>
      <c r="B534" s="658"/>
      <c r="C534" s="658"/>
      <c r="D534" s="658"/>
      <c r="E534" s="658"/>
      <c r="F534" s="658"/>
      <c r="G534" s="658"/>
      <c r="H534" s="658"/>
      <c r="I534" s="658"/>
      <c r="J534" s="658"/>
      <c r="K534" s="658"/>
      <c r="L534" s="658"/>
      <c r="M534" s="658"/>
      <c r="N534" s="658"/>
      <c r="O534" s="658"/>
      <c r="P534" s="658"/>
      <c r="Q534" s="658"/>
      <c r="R534" s="658"/>
      <c r="S534" s="658"/>
      <c r="T534" s="658"/>
      <c r="U534" s="658"/>
      <c r="V534" s="658"/>
      <c r="W534" s="658"/>
      <c r="X534" s="658"/>
      <c r="Y534" s="658"/>
      <c r="Z534" s="658"/>
      <c r="AA534" s="658"/>
      <c r="AB534" s="658"/>
      <c r="AC534" s="658"/>
      <c r="AD534" s="658"/>
      <c r="AE534" s="658"/>
      <c r="AF534" s="658"/>
      <c r="AG534" s="658"/>
      <c r="AH534" s="658"/>
      <c r="AI534" s="658"/>
      <c r="AJ534" s="658"/>
      <c r="AK534" s="658"/>
      <c r="AL534" s="658"/>
      <c r="AM534" s="658"/>
      <c r="AN534" s="658"/>
      <c r="AO534" s="658"/>
      <c r="AP534" s="658"/>
      <c r="AQ534" s="658"/>
      <c r="AR534" s="658"/>
      <c r="AS534" s="658"/>
      <c r="AT534" s="658"/>
      <c r="AU534" s="658"/>
      <c r="AV534" s="658"/>
      <c r="AW534" s="658"/>
      <c r="AX534" s="658"/>
      <c r="AY534" s="658"/>
      <c r="AZ534" s="658"/>
      <c r="BA534" s="658"/>
      <c r="BB534" s="658"/>
      <c r="BC534" s="658"/>
      <c r="BD534" s="658"/>
      <c r="BE534" s="658"/>
      <c r="BF534" s="658"/>
      <c r="BG534" s="658"/>
      <c r="BH534" s="592"/>
      <c r="BI534" s="592"/>
      <c r="BJ534" s="592"/>
      <c r="BK534" s="592"/>
      <c r="BL534" s="592"/>
      <c r="BM534" s="592"/>
      <c r="BN534" s="592"/>
      <c r="BO534" s="592"/>
      <c r="BP534" s="592"/>
      <c r="BQ534" s="592"/>
    </row>
    <row r="535" spans="1:69" ht="12" customHeight="1" x14ac:dyDescent="0.15">
      <c r="A535" s="592"/>
      <c r="B535" s="658"/>
      <c r="C535" s="658"/>
      <c r="D535" s="658"/>
      <c r="E535" s="658"/>
      <c r="F535" s="658"/>
      <c r="G535" s="658"/>
      <c r="H535" s="658"/>
      <c r="I535" s="658"/>
      <c r="J535" s="658"/>
      <c r="K535" s="658"/>
      <c r="L535" s="658"/>
      <c r="M535" s="658"/>
      <c r="N535" s="658"/>
      <c r="O535" s="658"/>
      <c r="P535" s="658"/>
      <c r="Q535" s="658"/>
      <c r="R535" s="658"/>
      <c r="S535" s="658"/>
      <c r="T535" s="658"/>
      <c r="U535" s="658"/>
      <c r="V535" s="658"/>
      <c r="W535" s="658"/>
      <c r="X535" s="658"/>
      <c r="Y535" s="658"/>
      <c r="Z535" s="658"/>
      <c r="AA535" s="658"/>
      <c r="AB535" s="658"/>
      <c r="AC535" s="658"/>
      <c r="AD535" s="658"/>
      <c r="AE535" s="658"/>
      <c r="AF535" s="658"/>
      <c r="AG535" s="658"/>
      <c r="AH535" s="658"/>
      <c r="AI535" s="658"/>
      <c r="AJ535" s="658"/>
      <c r="AK535" s="658"/>
      <c r="AL535" s="658"/>
      <c r="AM535" s="658"/>
      <c r="AN535" s="658"/>
      <c r="AO535" s="658"/>
      <c r="AP535" s="658"/>
      <c r="AQ535" s="658"/>
      <c r="AR535" s="658"/>
      <c r="AS535" s="658"/>
      <c r="AT535" s="658"/>
      <c r="AU535" s="658"/>
      <c r="AV535" s="658"/>
      <c r="AW535" s="658"/>
      <c r="AX535" s="658"/>
      <c r="AY535" s="658"/>
      <c r="AZ535" s="658"/>
      <c r="BA535" s="658"/>
      <c r="BB535" s="658"/>
      <c r="BC535" s="658"/>
      <c r="BD535" s="658"/>
      <c r="BE535" s="658"/>
      <c r="BF535" s="658"/>
      <c r="BG535" s="658"/>
      <c r="BH535" s="592"/>
      <c r="BI535" s="592"/>
      <c r="BJ535" s="592"/>
      <c r="BK535" s="592"/>
      <c r="BL535" s="592"/>
      <c r="BM535" s="592"/>
      <c r="BN535" s="592"/>
      <c r="BO535" s="592"/>
      <c r="BP535" s="592"/>
      <c r="BQ535" s="592"/>
    </row>
    <row r="536" spans="1:69" ht="12" customHeight="1" x14ac:dyDescent="0.15">
      <c r="A536" s="592"/>
      <c r="B536" s="658"/>
      <c r="C536" s="658"/>
      <c r="D536" s="658"/>
      <c r="E536" s="658"/>
      <c r="F536" s="658"/>
      <c r="G536" s="658"/>
      <c r="H536" s="658"/>
      <c r="I536" s="658"/>
      <c r="J536" s="658"/>
      <c r="K536" s="658"/>
      <c r="L536" s="658"/>
      <c r="M536" s="658"/>
      <c r="N536" s="658"/>
      <c r="O536" s="658"/>
      <c r="P536" s="658"/>
      <c r="Q536" s="658"/>
      <c r="R536" s="658"/>
      <c r="S536" s="658"/>
      <c r="T536" s="658"/>
      <c r="U536" s="658"/>
      <c r="V536" s="658"/>
      <c r="W536" s="658"/>
      <c r="X536" s="658"/>
      <c r="Y536" s="658"/>
      <c r="Z536" s="658"/>
      <c r="AA536" s="658"/>
      <c r="AB536" s="658"/>
      <c r="AC536" s="658"/>
      <c r="AD536" s="658"/>
      <c r="AE536" s="658"/>
      <c r="AF536" s="658"/>
      <c r="AG536" s="658"/>
      <c r="AH536" s="658"/>
      <c r="AI536" s="658"/>
      <c r="AJ536" s="658"/>
      <c r="AK536" s="658"/>
      <c r="AL536" s="658"/>
      <c r="AM536" s="658"/>
      <c r="AN536" s="658"/>
      <c r="AO536" s="658"/>
      <c r="AP536" s="658"/>
      <c r="AQ536" s="658"/>
      <c r="AR536" s="658"/>
      <c r="AS536" s="658"/>
      <c r="AT536" s="658"/>
      <c r="AU536" s="658"/>
      <c r="AV536" s="658"/>
      <c r="AW536" s="658"/>
      <c r="AX536" s="658"/>
      <c r="AY536" s="658"/>
      <c r="AZ536" s="658"/>
      <c r="BA536" s="658"/>
      <c r="BB536" s="658"/>
      <c r="BC536" s="658"/>
      <c r="BD536" s="658"/>
      <c r="BE536" s="658"/>
      <c r="BF536" s="658"/>
      <c r="BG536" s="658"/>
      <c r="BH536" s="592"/>
      <c r="BI536" s="592"/>
      <c r="BJ536" s="592"/>
      <c r="BK536" s="592"/>
      <c r="BL536" s="592"/>
      <c r="BM536" s="592"/>
      <c r="BN536" s="592"/>
      <c r="BO536" s="592"/>
      <c r="BP536" s="592"/>
      <c r="BQ536" s="592"/>
    </row>
    <row r="537" spans="1:69" ht="12" customHeight="1" x14ac:dyDescent="0.15">
      <c r="A537" s="592"/>
      <c r="B537" s="658"/>
      <c r="C537" s="658"/>
      <c r="D537" s="658"/>
      <c r="E537" s="658"/>
      <c r="F537" s="658"/>
      <c r="G537" s="658"/>
      <c r="H537" s="658"/>
      <c r="I537" s="658"/>
      <c r="J537" s="658"/>
      <c r="K537" s="658"/>
      <c r="L537" s="658"/>
      <c r="M537" s="658"/>
      <c r="N537" s="658"/>
      <c r="O537" s="658"/>
      <c r="P537" s="658"/>
      <c r="Q537" s="658"/>
      <c r="R537" s="658"/>
      <c r="S537" s="658"/>
      <c r="T537" s="658"/>
      <c r="U537" s="658"/>
      <c r="V537" s="658"/>
      <c r="W537" s="658"/>
      <c r="X537" s="658"/>
      <c r="Y537" s="658"/>
      <c r="Z537" s="658"/>
      <c r="AA537" s="658"/>
      <c r="AB537" s="658"/>
      <c r="AC537" s="658"/>
      <c r="AD537" s="658"/>
      <c r="AE537" s="658"/>
      <c r="AF537" s="658"/>
      <c r="AG537" s="658"/>
      <c r="AH537" s="658"/>
      <c r="AI537" s="658"/>
      <c r="AJ537" s="658"/>
      <c r="AK537" s="658"/>
      <c r="AL537" s="658"/>
      <c r="AM537" s="658"/>
      <c r="AN537" s="658"/>
      <c r="AO537" s="658"/>
      <c r="AP537" s="658"/>
      <c r="AQ537" s="658"/>
      <c r="AR537" s="658"/>
      <c r="AS537" s="658"/>
      <c r="AT537" s="658"/>
      <c r="AU537" s="658"/>
      <c r="AV537" s="658"/>
      <c r="AW537" s="658"/>
      <c r="AX537" s="658"/>
      <c r="AY537" s="658"/>
      <c r="AZ537" s="658"/>
      <c r="BA537" s="658"/>
      <c r="BB537" s="658"/>
      <c r="BC537" s="658"/>
      <c r="BD537" s="658"/>
      <c r="BE537" s="658"/>
      <c r="BF537" s="658"/>
      <c r="BG537" s="658"/>
      <c r="BH537" s="592"/>
      <c r="BI537" s="592"/>
      <c r="BJ537" s="592"/>
      <c r="BK537" s="592"/>
      <c r="BL537" s="592"/>
      <c r="BM537" s="592"/>
      <c r="BN537" s="592"/>
      <c r="BO537" s="592"/>
      <c r="BP537" s="592"/>
      <c r="BQ537" s="592"/>
    </row>
    <row r="538" spans="1:69" ht="12" customHeight="1" x14ac:dyDescent="0.15">
      <c r="A538" s="592"/>
      <c r="B538" s="658"/>
      <c r="C538" s="658"/>
      <c r="D538" s="658"/>
      <c r="E538" s="658"/>
      <c r="F538" s="658"/>
      <c r="G538" s="658"/>
      <c r="H538" s="658"/>
      <c r="I538" s="658"/>
      <c r="J538" s="658"/>
      <c r="K538" s="658"/>
      <c r="L538" s="658"/>
      <c r="M538" s="658"/>
      <c r="N538" s="658"/>
      <c r="O538" s="658"/>
      <c r="P538" s="658"/>
      <c r="Q538" s="658"/>
      <c r="R538" s="658"/>
      <c r="S538" s="658"/>
      <c r="T538" s="658"/>
      <c r="U538" s="658"/>
      <c r="V538" s="658"/>
      <c r="W538" s="658"/>
      <c r="X538" s="658"/>
      <c r="Y538" s="658"/>
      <c r="Z538" s="658"/>
      <c r="AA538" s="658"/>
      <c r="AB538" s="658"/>
      <c r="AC538" s="658"/>
      <c r="AD538" s="658"/>
      <c r="AE538" s="658"/>
      <c r="AF538" s="658"/>
      <c r="AG538" s="658"/>
      <c r="AH538" s="658"/>
      <c r="AI538" s="658"/>
      <c r="AJ538" s="658"/>
      <c r="AK538" s="658"/>
      <c r="AL538" s="658"/>
      <c r="AM538" s="658"/>
      <c r="AN538" s="658"/>
      <c r="AO538" s="658"/>
      <c r="AP538" s="658"/>
      <c r="AQ538" s="658"/>
      <c r="AR538" s="658"/>
      <c r="AS538" s="658"/>
      <c r="AT538" s="658"/>
      <c r="AU538" s="658"/>
      <c r="AV538" s="658"/>
      <c r="AW538" s="658"/>
      <c r="AX538" s="658"/>
      <c r="AY538" s="658"/>
      <c r="AZ538" s="658"/>
      <c r="BA538" s="658"/>
      <c r="BB538" s="658"/>
      <c r="BC538" s="658"/>
      <c r="BD538" s="658"/>
      <c r="BE538" s="658"/>
      <c r="BF538" s="658"/>
      <c r="BG538" s="658"/>
      <c r="BH538" s="592"/>
      <c r="BI538" s="592"/>
      <c r="BJ538" s="592"/>
      <c r="BK538" s="592"/>
      <c r="BL538" s="592"/>
      <c r="BM538" s="592"/>
      <c r="BN538" s="592"/>
      <c r="BO538" s="592"/>
      <c r="BP538" s="592"/>
      <c r="BQ538" s="592"/>
    </row>
    <row r="539" spans="1:69" ht="12" customHeight="1" x14ac:dyDescent="0.15">
      <c r="A539" s="592"/>
      <c r="B539" s="658"/>
      <c r="C539" s="658"/>
      <c r="D539" s="658"/>
      <c r="E539" s="658"/>
      <c r="F539" s="658"/>
      <c r="G539" s="658"/>
      <c r="H539" s="658"/>
      <c r="I539" s="658"/>
      <c r="J539" s="658"/>
      <c r="K539" s="658"/>
      <c r="L539" s="658"/>
      <c r="M539" s="658"/>
      <c r="N539" s="658"/>
      <c r="O539" s="658"/>
      <c r="P539" s="658"/>
      <c r="Q539" s="658"/>
      <c r="R539" s="658"/>
      <c r="S539" s="658"/>
      <c r="T539" s="658"/>
      <c r="U539" s="658"/>
      <c r="V539" s="658"/>
      <c r="W539" s="658"/>
      <c r="X539" s="658"/>
      <c r="Y539" s="658"/>
      <c r="Z539" s="658"/>
      <c r="AA539" s="658"/>
      <c r="AB539" s="658"/>
      <c r="AC539" s="658"/>
      <c r="AD539" s="658"/>
      <c r="AE539" s="658"/>
      <c r="AF539" s="658"/>
      <c r="AG539" s="658"/>
      <c r="AH539" s="658"/>
      <c r="AI539" s="658"/>
      <c r="AJ539" s="658"/>
      <c r="AK539" s="658"/>
      <c r="AL539" s="658"/>
      <c r="AM539" s="658"/>
      <c r="AN539" s="658"/>
      <c r="AO539" s="658"/>
      <c r="AP539" s="658"/>
      <c r="AQ539" s="658"/>
      <c r="AR539" s="658"/>
      <c r="AS539" s="658"/>
      <c r="AT539" s="658"/>
      <c r="AU539" s="658"/>
      <c r="AV539" s="658"/>
      <c r="AW539" s="658"/>
      <c r="AX539" s="658"/>
      <c r="AY539" s="658"/>
      <c r="AZ539" s="658"/>
      <c r="BA539" s="658"/>
      <c r="BB539" s="658"/>
      <c r="BC539" s="658"/>
      <c r="BD539" s="658"/>
      <c r="BE539" s="658"/>
      <c r="BF539" s="658"/>
      <c r="BG539" s="658"/>
      <c r="BH539" s="592"/>
      <c r="BI539" s="592"/>
      <c r="BJ539" s="592"/>
      <c r="BK539" s="592"/>
      <c r="BL539" s="592"/>
      <c r="BM539" s="592"/>
      <c r="BN539" s="592"/>
      <c r="BO539" s="592"/>
      <c r="BP539" s="592"/>
      <c r="BQ539" s="592"/>
    </row>
    <row r="540" spans="1:69" ht="12" customHeight="1" x14ac:dyDescent="0.15">
      <c r="A540" s="592"/>
      <c r="B540" s="658"/>
      <c r="C540" s="658"/>
      <c r="D540" s="658"/>
      <c r="E540" s="658"/>
      <c r="F540" s="658"/>
      <c r="G540" s="658"/>
      <c r="H540" s="658"/>
      <c r="I540" s="658"/>
      <c r="J540" s="658"/>
      <c r="K540" s="658"/>
      <c r="L540" s="658"/>
      <c r="M540" s="658"/>
      <c r="N540" s="658"/>
      <c r="O540" s="658"/>
      <c r="P540" s="658"/>
      <c r="Q540" s="658"/>
      <c r="R540" s="658"/>
      <c r="S540" s="658"/>
      <c r="T540" s="658"/>
      <c r="U540" s="658"/>
      <c r="V540" s="658"/>
      <c r="W540" s="658"/>
      <c r="X540" s="658"/>
      <c r="Y540" s="658"/>
      <c r="Z540" s="658"/>
      <c r="AA540" s="658"/>
      <c r="AB540" s="658"/>
      <c r="AC540" s="658"/>
      <c r="AD540" s="658"/>
      <c r="AE540" s="658"/>
      <c r="AF540" s="658"/>
      <c r="AG540" s="658"/>
      <c r="AH540" s="658"/>
      <c r="AI540" s="658"/>
      <c r="AJ540" s="658"/>
      <c r="AK540" s="658"/>
      <c r="AL540" s="658"/>
      <c r="AM540" s="658"/>
      <c r="AN540" s="658"/>
      <c r="AO540" s="658"/>
      <c r="AP540" s="658"/>
      <c r="AQ540" s="658"/>
      <c r="AR540" s="658"/>
      <c r="AS540" s="658"/>
      <c r="AT540" s="658"/>
      <c r="AU540" s="658"/>
      <c r="AV540" s="658"/>
      <c r="AW540" s="658"/>
      <c r="AX540" s="658"/>
      <c r="AY540" s="658"/>
      <c r="AZ540" s="658"/>
      <c r="BA540" s="658"/>
      <c r="BB540" s="658"/>
      <c r="BC540" s="658"/>
      <c r="BD540" s="658"/>
      <c r="BE540" s="658"/>
      <c r="BF540" s="658"/>
      <c r="BG540" s="658"/>
      <c r="BH540" s="592"/>
      <c r="BI540" s="592"/>
      <c r="BJ540" s="592"/>
      <c r="BK540" s="592"/>
      <c r="BL540" s="592"/>
      <c r="BM540" s="592"/>
      <c r="BN540" s="592"/>
      <c r="BO540" s="592"/>
      <c r="BP540" s="592"/>
      <c r="BQ540" s="592"/>
    </row>
    <row r="541" spans="1:69" ht="12" customHeight="1" x14ac:dyDescent="0.15">
      <c r="A541" s="592"/>
      <c r="B541" s="658"/>
      <c r="C541" s="658"/>
      <c r="D541" s="658"/>
      <c r="E541" s="658"/>
      <c r="F541" s="658"/>
      <c r="G541" s="658"/>
      <c r="H541" s="658"/>
      <c r="I541" s="658"/>
      <c r="J541" s="658"/>
      <c r="K541" s="658"/>
      <c r="L541" s="658"/>
      <c r="M541" s="658"/>
      <c r="N541" s="658"/>
      <c r="O541" s="658"/>
      <c r="P541" s="658"/>
      <c r="Q541" s="658"/>
      <c r="R541" s="658"/>
      <c r="S541" s="658"/>
      <c r="T541" s="658"/>
      <c r="U541" s="658"/>
      <c r="V541" s="658"/>
      <c r="W541" s="658"/>
      <c r="X541" s="658"/>
      <c r="Y541" s="658"/>
      <c r="Z541" s="658"/>
      <c r="AA541" s="658"/>
      <c r="AB541" s="658"/>
      <c r="AC541" s="658"/>
      <c r="AD541" s="658"/>
      <c r="AE541" s="658"/>
      <c r="AF541" s="658"/>
      <c r="AG541" s="658"/>
      <c r="AH541" s="658"/>
      <c r="AI541" s="658"/>
      <c r="AJ541" s="658"/>
      <c r="AK541" s="658"/>
      <c r="AL541" s="658"/>
      <c r="AM541" s="658"/>
      <c r="AN541" s="658"/>
      <c r="AO541" s="658"/>
      <c r="AP541" s="658"/>
      <c r="AQ541" s="658"/>
      <c r="AR541" s="658"/>
      <c r="AS541" s="658"/>
      <c r="AT541" s="658"/>
      <c r="AU541" s="658"/>
      <c r="AV541" s="658"/>
      <c r="AW541" s="658"/>
      <c r="AX541" s="658"/>
      <c r="AY541" s="658"/>
      <c r="AZ541" s="658"/>
      <c r="BA541" s="658"/>
      <c r="BB541" s="658"/>
      <c r="BC541" s="658"/>
      <c r="BD541" s="658"/>
      <c r="BE541" s="658"/>
      <c r="BF541" s="658"/>
      <c r="BG541" s="658"/>
      <c r="BH541" s="592"/>
      <c r="BI541" s="592"/>
      <c r="BJ541" s="592"/>
      <c r="BK541" s="592"/>
      <c r="BL541" s="592"/>
      <c r="BM541" s="592"/>
      <c r="BN541" s="592"/>
      <c r="BO541" s="592"/>
      <c r="BP541" s="592"/>
      <c r="BQ541" s="592"/>
    </row>
    <row r="542" spans="1:69" ht="12" customHeight="1" x14ac:dyDescent="0.15">
      <c r="A542" s="592"/>
      <c r="B542" s="658"/>
      <c r="C542" s="658"/>
      <c r="D542" s="658"/>
      <c r="E542" s="658"/>
      <c r="F542" s="658"/>
      <c r="G542" s="658"/>
      <c r="H542" s="658"/>
      <c r="I542" s="658"/>
      <c r="J542" s="658"/>
      <c r="K542" s="658"/>
      <c r="L542" s="658"/>
      <c r="M542" s="658"/>
      <c r="N542" s="658"/>
      <c r="O542" s="658"/>
      <c r="P542" s="658"/>
      <c r="Q542" s="658"/>
      <c r="R542" s="658"/>
      <c r="S542" s="658"/>
      <c r="T542" s="658"/>
      <c r="U542" s="658"/>
      <c r="V542" s="658"/>
      <c r="W542" s="658"/>
      <c r="X542" s="658"/>
      <c r="Y542" s="658"/>
      <c r="Z542" s="658"/>
      <c r="AA542" s="658"/>
      <c r="AB542" s="658"/>
      <c r="AC542" s="658"/>
      <c r="AD542" s="658"/>
      <c r="AE542" s="658"/>
      <c r="AF542" s="658"/>
      <c r="AG542" s="658"/>
      <c r="AH542" s="658"/>
      <c r="AI542" s="658"/>
      <c r="AJ542" s="658"/>
      <c r="AK542" s="658"/>
      <c r="AL542" s="658"/>
      <c r="AM542" s="658"/>
      <c r="AN542" s="658"/>
      <c r="AO542" s="658"/>
      <c r="AP542" s="658"/>
      <c r="AQ542" s="658"/>
      <c r="AR542" s="658"/>
      <c r="AS542" s="658"/>
      <c r="AT542" s="658"/>
      <c r="AU542" s="658"/>
      <c r="AV542" s="658"/>
      <c r="AW542" s="658"/>
      <c r="AX542" s="658"/>
      <c r="AY542" s="658"/>
      <c r="AZ542" s="658"/>
      <c r="BA542" s="658"/>
      <c r="BB542" s="658"/>
      <c r="BC542" s="658"/>
      <c r="BD542" s="658"/>
      <c r="BE542" s="658"/>
      <c r="BF542" s="658"/>
      <c r="BG542" s="658"/>
      <c r="BH542" s="592"/>
      <c r="BI542" s="592"/>
      <c r="BJ542" s="592"/>
      <c r="BK542" s="592"/>
      <c r="BL542" s="592"/>
      <c r="BM542" s="592"/>
      <c r="BN542" s="592"/>
      <c r="BO542" s="592"/>
      <c r="BP542" s="592"/>
      <c r="BQ542" s="592"/>
    </row>
    <row r="543" spans="1:69" ht="12" customHeight="1" x14ac:dyDescent="0.15">
      <c r="A543" s="592"/>
      <c r="B543" s="658"/>
      <c r="C543" s="658"/>
      <c r="D543" s="658"/>
      <c r="E543" s="658"/>
      <c r="F543" s="658"/>
      <c r="G543" s="658"/>
      <c r="H543" s="658"/>
      <c r="I543" s="658"/>
      <c r="J543" s="658"/>
      <c r="K543" s="658"/>
      <c r="L543" s="658"/>
      <c r="M543" s="658"/>
      <c r="N543" s="658"/>
      <c r="O543" s="658"/>
      <c r="P543" s="658"/>
      <c r="Q543" s="658"/>
      <c r="R543" s="658"/>
      <c r="S543" s="658"/>
      <c r="T543" s="658"/>
      <c r="U543" s="658"/>
      <c r="V543" s="658"/>
      <c r="W543" s="658"/>
      <c r="X543" s="658"/>
      <c r="Y543" s="658"/>
      <c r="Z543" s="658"/>
      <c r="AA543" s="658"/>
      <c r="AB543" s="658"/>
      <c r="AC543" s="658"/>
      <c r="AD543" s="658"/>
      <c r="AE543" s="658"/>
      <c r="AF543" s="658"/>
      <c r="AG543" s="658"/>
      <c r="AH543" s="658"/>
      <c r="AI543" s="658"/>
      <c r="AJ543" s="658"/>
      <c r="AK543" s="658"/>
      <c r="AL543" s="658"/>
      <c r="AM543" s="658"/>
      <c r="AN543" s="658"/>
      <c r="AO543" s="658"/>
      <c r="AP543" s="658"/>
      <c r="AQ543" s="658"/>
      <c r="AR543" s="658"/>
      <c r="AS543" s="658"/>
      <c r="AT543" s="658"/>
      <c r="AU543" s="658"/>
      <c r="AV543" s="658"/>
      <c r="AW543" s="658"/>
      <c r="AX543" s="658"/>
      <c r="AY543" s="658"/>
      <c r="AZ543" s="658"/>
      <c r="BA543" s="658"/>
      <c r="BB543" s="658"/>
      <c r="BC543" s="658"/>
      <c r="BD543" s="658"/>
      <c r="BE543" s="658"/>
      <c r="BF543" s="658"/>
      <c r="BG543" s="658"/>
      <c r="BH543" s="592"/>
      <c r="BI543" s="592"/>
      <c r="BJ543" s="592"/>
      <c r="BK543" s="592"/>
      <c r="BL543" s="592"/>
      <c r="BM543" s="592"/>
      <c r="BN543" s="592"/>
      <c r="BO543" s="592"/>
      <c r="BP543" s="592"/>
      <c r="BQ543" s="592"/>
    </row>
    <row r="544" spans="1:69" ht="12" customHeight="1" x14ac:dyDescent="0.15">
      <c r="A544" s="592"/>
      <c r="B544" s="658"/>
      <c r="C544" s="658"/>
      <c r="D544" s="658"/>
      <c r="E544" s="658"/>
      <c r="F544" s="658"/>
      <c r="G544" s="658"/>
      <c r="H544" s="658"/>
      <c r="I544" s="658"/>
      <c r="J544" s="658"/>
      <c r="K544" s="658"/>
      <c r="L544" s="658"/>
      <c r="M544" s="658"/>
      <c r="N544" s="658"/>
      <c r="O544" s="658"/>
      <c r="P544" s="658"/>
      <c r="Q544" s="658"/>
      <c r="R544" s="658"/>
      <c r="S544" s="658"/>
      <c r="T544" s="658"/>
      <c r="U544" s="658"/>
      <c r="V544" s="658"/>
      <c r="W544" s="658"/>
      <c r="X544" s="658"/>
      <c r="Y544" s="658"/>
      <c r="Z544" s="658"/>
      <c r="AA544" s="658"/>
      <c r="AB544" s="658"/>
      <c r="AC544" s="658"/>
      <c r="AD544" s="658"/>
      <c r="AE544" s="658"/>
      <c r="AF544" s="658"/>
      <c r="AG544" s="658"/>
      <c r="AH544" s="658"/>
      <c r="AI544" s="658"/>
      <c r="AJ544" s="658"/>
      <c r="AK544" s="658"/>
      <c r="AL544" s="658"/>
      <c r="AM544" s="658"/>
      <c r="AN544" s="658"/>
      <c r="AO544" s="658"/>
      <c r="AP544" s="658"/>
      <c r="AQ544" s="658"/>
      <c r="AR544" s="658"/>
      <c r="AS544" s="658"/>
      <c r="AT544" s="658"/>
      <c r="AU544" s="658"/>
      <c r="AV544" s="658"/>
      <c r="AW544" s="658"/>
      <c r="AX544" s="658"/>
      <c r="AY544" s="658"/>
      <c r="AZ544" s="658"/>
      <c r="BA544" s="658"/>
      <c r="BB544" s="658"/>
      <c r="BC544" s="658"/>
      <c r="BD544" s="658"/>
      <c r="BE544" s="658"/>
      <c r="BF544" s="658"/>
      <c r="BG544" s="658"/>
      <c r="BH544" s="592"/>
      <c r="BI544" s="592"/>
      <c r="BJ544" s="592"/>
      <c r="BK544" s="592"/>
      <c r="BL544" s="592"/>
      <c r="BM544" s="592"/>
      <c r="BN544" s="592"/>
      <c r="BO544" s="592"/>
      <c r="BP544" s="592"/>
      <c r="BQ544" s="592"/>
    </row>
    <row r="545" spans="1:69" ht="12" customHeight="1" x14ac:dyDescent="0.15">
      <c r="A545" s="592"/>
      <c r="B545" s="658"/>
      <c r="C545" s="658"/>
      <c r="D545" s="658"/>
      <c r="E545" s="658"/>
      <c r="F545" s="658"/>
      <c r="G545" s="658"/>
      <c r="H545" s="658"/>
      <c r="I545" s="658"/>
      <c r="J545" s="658"/>
      <c r="K545" s="658"/>
      <c r="L545" s="658"/>
      <c r="M545" s="658"/>
      <c r="N545" s="658"/>
      <c r="O545" s="658"/>
      <c r="P545" s="658"/>
      <c r="Q545" s="658"/>
      <c r="R545" s="658"/>
      <c r="S545" s="658"/>
      <c r="T545" s="658"/>
      <c r="U545" s="658"/>
      <c r="V545" s="658"/>
      <c r="W545" s="658"/>
      <c r="X545" s="658"/>
      <c r="Y545" s="658"/>
      <c r="Z545" s="658"/>
      <c r="AA545" s="658"/>
      <c r="AB545" s="658"/>
      <c r="AC545" s="658"/>
      <c r="AD545" s="658"/>
      <c r="AE545" s="658"/>
      <c r="AF545" s="658"/>
      <c r="AG545" s="658"/>
      <c r="AH545" s="658"/>
      <c r="AI545" s="658"/>
      <c r="AJ545" s="658"/>
      <c r="AK545" s="658"/>
      <c r="AL545" s="658"/>
      <c r="AM545" s="658"/>
      <c r="AN545" s="658"/>
      <c r="AO545" s="658"/>
      <c r="AP545" s="658"/>
      <c r="AQ545" s="658"/>
      <c r="AR545" s="658"/>
      <c r="AS545" s="658"/>
      <c r="AT545" s="658"/>
      <c r="AU545" s="658"/>
      <c r="AV545" s="658"/>
      <c r="AW545" s="658"/>
      <c r="AX545" s="658"/>
      <c r="AY545" s="658"/>
      <c r="AZ545" s="658"/>
      <c r="BA545" s="658"/>
      <c r="BB545" s="658"/>
      <c r="BC545" s="658"/>
      <c r="BD545" s="658"/>
      <c r="BE545" s="658"/>
      <c r="BF545" s="658"/>
      <c r="BG545" s="658"/>
      <c r="BH545" s="592"/>
      <c r="BI545" s="592"/>
      <c r="BJ545" s="592"/>
      <c r="BK545" s="592"/>
      <c r="BL545" s="592"/>
      <c r="BM545" s="592"/>
      <c r="BN545" s="592"/>
      <c r="BO545" s="592"/>
      <c r="BP545" s="592"/>
      <c r="BQ545" s="592"/>
    </row>
    <row r="546" spans="1:69" ht="12" customHeight="1" x14ac:dyDescent="0.15">
      <c r="A546" s="592"/>
      <c r="B546" s="658"/>
      <c r="C546" s="658"/>
      <c r="D546" s="658"/>
      <c r="E546" s="658"/>
      <c r="F546" s="658"/>
      <c r="G546" s="658"/>
      <c r="H546" s="658"/>
      <c r="I546" s="658"/>
      <c r="J546" s="658"/>
      <c r="K546" s="658"/>
      <c r="L546" s="658"/>
      <c r="M546" s="658"/>
      <c r="N546" s="658"/>
      <c r="O546" s="658"/>
      <c r="P546" s="658"/>
      <c r="Q546" s="658"/>
      <c r="R546" s="658"/>
      <c r="S546" s="658"/>
      <c r="T546" s="658"/>
      <c r="U546" s="658"/>
      <c r="V546" s="658"/>
      <c r="W546" s="658"/>
      <c r="X546" s="658"/>
      <c r="Y546" s="658"/>
      <c r="Z546" s="658"/>
      <c r="AA546" s="658"/>
      <c r="AB546" s="658"/>
      <c r="AC546" s="658"/>
      <c r="AD546" s="658"/>
      <c r="AE546" s="658"/>
      <c r="AF546" s="658"/>
      <c r="AG546" s="658"/>
      <c r="AH546" s="658"/>
      <c r="AI546" s="658"/>
      <c r="AJ546" s="658"/>
      <c r="AK546" s="658"/>
      <c r="AL546" s="658"/>
      <c r="AM546" s="658"/>
      <c r="AN546" s="658"/>
      <c r="AO546" s="658"/>
      <c r="AP546" s="658"/>
      <c r="AQ546" s="658"/>
      <c r="AR546" s="658"/>
      <c r="AS546" s="658"/>
      <c r="AT546" s="658"/>
      <c r="AU546" s="658"/>
      <c r="AV546" s="658"/>
      <c r="AW546" s="658"/>
      <c r="AX546" s="658"/>
      <c r="AY546" s="658"/>
      <c r="AZ546" s="658"/>
      <c r="BA546" s="658"/>
      <c r="BB546" s="658"/>
      <c r="BC546" s="658"/>
      <c r="BD546" s="658"/>
      <c r="BE546" s="658"/>
      <c r="BF546" s="658"/>
      <c r="BG546" s="658"/>
      <c r="BH546" s="592"/>
      <c r="BI546" s="592"/>
      <c r="BJ546" s="592"/>
      <c r="BK546" s="592"/>
      <c r="BL546" s="592"/>
      <c r="BM546" s="592"/>
      <c r="BN546" s="592"/>
      <c r="BO546" s="592"/>
      <c r="BP546" s="592"/>
      <c r="BQ546" s="592"/>
    </row>
    <row r="547" spans="1:69" ht="12" customHeight="1" x14ac:dyDescent="0.15">
      <c r="A547" s="592"/>
      <c r="B547" s="658"/>
      <c r="C547" s="658"/>
      <c r="D547" s="658"/>
      <c r="E547" s="658"/>
      <c r="F547" s="658"/>
      <c r="G547" s="658"/>
      <c r="H547" s="658"/>
      <c r="I547" s="658"/>
      <c r="J547" s="658"/>
      <c r="K547" s="658"/>
      <c r="L547" s="658"/>
      <c r="M547" s="658"/>
      <c r="N547" s="658"/>
      <c r="O547" s="658"/>
      <c r="P547" s="658"/>
      <c r="Q547" s="658"/>
      <c r="R547" s="658"/>
      <c r="S547" s="658"/>
      <c r="T547" s="658"/>
      <c r="U547" s="658"/>
      <c r="V547" s="658"/>
      <c r="W547" s="658"/>
      <c r="X547" s="658"/>
      <c r="Y547" s="658"/>
      <c r="Z547" s="658"/>
      <c r="AA547" s="658"/>
      <c r="AB547" s="658"/>
      <c r="AC547" s="658"/>
      <c r="AD547" s="658"/>
      <c r="AE547" s="658"/>
      <c r="AF547" s="658"/>
      <c r="AG547" s="658"/>
      <c r="AH547" s="658"/>
      <c r="AI547" s="658"/>
      <c r="AJ547" s="658"/>
      <c r="AK547" s="658"/>
      <c r="AL547" s="658"/>
      <c r="AM547" s="658"/>
      <c r="AN547" s="658"/>
      <c r="AO547" s="658"/>
      <c r="AP547" s="658"/>
      <c r="AQ547" s="658"/>
      <c r="AR547" s="658"/>
      <c r="AS547" s="658"/>
      <c r="AT547" s="658"/>
      <c r="AU547" s="658"/>
      <c r="AV547" s="658"/>
      <c r="AW547" s="658"/>
      <c r="AX547" s="658"/>
      <c r="AY547" s="658"/>
      <c r="AZ547" s="658"/>
      <c r="BA547" s="658"/>
      <c r="BB547" s="658"/>
      <c r="BC547" s="658"/>
      <c r="BD547" s="658"/>
      <c r="BE547" s="658"/>
      <c r="BF547" s="658"/>
      <c r="BG547" s="658"/>
      <c r="BH547" s="592"/>
      <c r="BI547" s="592"/>
      <c r="BJ547" s="592"/>
      <c r="BK547" s="592"/>
      <c r="BL547" s="592"/>
      <c r="BM547" s="592"/>
      <c r="BN547" s="592"/>
      <c r="BO547" s="592"/>
      <c r="BP547" s="592"/>
      <c r="BQ547" s="592"/>
    </row>
    <row r="548" spans="1:69" ht="12" customHeight="1" x14ac:dyDescent="0.15">
      <c r="A548" s="592"/>
      <c r="B548" s="658"/>
      <c r="C548" s="658"/>
      <c r="D548" s="658"/>
      <c r="E548" s="658"/>
      <c r="F548" s="658"/>
      <c r="G548" s="658"/>
      <c r="H548" s="658"/>
      <c r="I548" s="658"/>
      <c r="J548" s="658"/>
      <c r="K548" s="658"/>
      <c r="L548" s="658"/>
      <c r="M548" s="658"/>
      <c r="N548" s="658"/>
      <c r="O548" s="658"/>
      <c r="P548" s="658"/>
      <c r="Q548" s="658"/>
      <c r="R548" s="658"/>
      <c r="S548" s="658"/>
      <c r="T548" s="658"/>
      <c r="U548" s="658"/>
      <c r="V548" s="658"/>
      <c r="W548" s="658"/>
      <c r="X548" s="658"/>
      <c r="Y548" s="658"/>
      <c r="Z548" s="658"/>
      <c r="AA548" s="658"/>
      <c r="AB548" s="658"/>
      <c r="AC548" s="658"/>
      <c r="AD548" s="658"/>
      <c r="AE548" s="658"/>
      <c r="AF548" s="658"/>
      <c r="AG548" s="658"/>
      <c r="AH548" s="658"/>
      <c r="AI548" s="658"/>
      <c r="AJ548" s="658"/>
      <c r="AK548" s="658"/>
      <c r="AL548" s="658"/>
      <c r="AM548" s="658"/>
      <c r="AN548" s="658"/>
      <c r="AO548" s="658"/>
      <c r="AP548" s="658"/>
      <c r="AQ548" s="658"/>
      <c r="AR548" s="658"/>
      <c r="AS548" s="658"/>
      <c r="AT548" s="658"/>
      <c r="AU548" s="658"/>
      <c r="AV548" s="658"/>
      <c r="AW548" s="658"/>
      <c r="AX548" s="658"/>
      <c r="AY548" s="658"/>
      <c r="AZ548" s="658"/>
      <c r="BA548" s="658"/>
      <c r="BB548" s="658"/>
      <c r="BC548" s="658"/>
      <c r="BD548" s="658"/>
      <c r="BE548" s="658"/>
      <c r="BF548" s="658"/>
      <c r="BG548" s="658"/>
      <c r="BH548" s="592"/>
      <c r="BI548" s="592"/>
      <c r="BJ548" s="592"/>
      <c r="BK548" s="592"/>
      <c r="BL548" s="592"/>
      <c r="BM548" s="592"/>
      <c r="BN548" s="592"/>
      <c r="BO548" s="592"/>
      <c r="BP548" s="592"/>
      <c r="BQ548" s="592"/>
    </row>
    <row r="549" spans="1:69" ht="12" customHeight="1" x14ac:dyDescent="0.15">
      <c r="A549" s="592"/>
      <c r="B549" s="658"/>
      <c r="C549" s="658"/>
      <c r="D549" s="658"/>
      <c r="E549" s="658"/>
      <c r="F549" s="658"/>
      <c r="G549" s="658"/>
      <c r="H549" s="658"/>
      <c r="I549" s="658"/>
      <c r="J549" s="658"/>
      <c r="K549" s="658"/>
      <c r="L549" s="658"/>
      <c r="M549" s="658"/>
      <c r="N549" s="658"/>
      <c r="O549" s="658"/>
      <c r="P549" s="658"/>
      <c r="Q549" s="658"/>
      <c r="R549" s="658"/>
      <c r="S549" s="658"/>
      <c r="T549" s="658"/>
      <c r="U549" s="658"/>
      <c r="V549" s="658"/>
      <c r="W549" s="658"/>
      <c r="X549" s="658"/>
      <c r="Y549" s="658"/>
      <c r="Z549" s="658"/>
      <c r="AA549" s="658"/>
      <c r="AB549" s="658"/>
      <c r="AC549" s="658"/>
      <c r="AD549" s="658"/>
      <c r="AE549" s="658"/>
      <c r="AF549" s="658"/>
      <c r="AG549" s="658"/>
      <c r="AH549" s="658"/>
      <c r="AI549" s="658"/>
      <c r="AJ549" s="658"/>
      <c r="AK549" s="658"/>
      <c r="AL549" s="658"/>
      <c r="AM549" s="658"/>
      <c r="AN549" s="658"/>
      <c r="AO549" s="658"/>
      <c r="AP549" s="658"/>
      <c r="AQ549" s="658"/>
      <c r="AR549" s="658"/>
      <c r="AS549" s="658"/>
      <c r="AT549" s="658"/>
      <c r="AU549" s="658"/>
      <c r="AV549" s="658"/>
      <c r="AW549" s="658"/>
      <c r="AX549" s="658"/>
      <c r="AY549" s="658"/>
      <c r="AZ549" s="658"/>
      <c r="BA549" s="658"/>
      <c r="BB549" s="658"/>
      <c r="BC549" s="658"/>
      <c r="BD549" s="658"/>
      <c r="BE549" s="658"/>
      <c r="BF549" s="658"/>
      <c r="BG549" s="658"/>
      <c r="BH549" s="592"/>
      <c r="BI549" s="592"/>
      <c r="BJ549" s="592"/>
      <c r="BK549" s="592"/>
      <c r="BL549" s="592"/>
      <c r="BM549" s="592"/>
      <c r="BN549" s="592"/>
      <c r="BO549" s="592"/>
      <c r="BP549" s="592"/>
      <c r="BQ549" s="592"/>
    </row>
    <row r="550" spans="1:69" ht="12" customHeight="1" x14ac:dyDescent="0.15">
      <c r="A550" s="592"/>
      <c r="B550" s="658"/>
      <c r="C550" s="658"/>
      <c r="D550" s="658"/>
      <c r="E550" s="658"/>
      <c r="F550" s="658"/>
      <c r="G550" s="658"/>
      <c r="H550" s="658"/>
      <c r="I550" s="658"/>
      <c r="J550" s="658"/>
      <c r="K550" s="658"/>
      <c r="L550" s="658"/>
      <c r="M550" s="658"/>
      <c r="N550" s="658"/>
      <c r="O550" s="658"/>
      <c r="P550" s="658"/>
      <c r="Q550" s="658"/>
      <c r="R550" s="658"/>
      <c r="S550" s="658"/>
      <c r="T550" s="658"/>
      <c r="U550" s="658"/>
      <c r="V550" s="658"/>
      <c r="W550" s="658"/>
      <c r="X550" s="658"/>
      <c r="Y550" s="658"/>
      <c r="Z550" s="658"/>
      <c r="AA550" s="658"/>
      <c r="AB550" s="658"/>
      <c r="AC550" s="658"/>
      <c r="AD550" s="658"/>
      <c r="AE550" s="658"/>
      <c r="AF550" s="658"/>
      <c r="AG550" s="658"/>
      <c r="AH550" s="658"/>
      <c r="AI550" s="658"/>
      <c r="AJ550" s="658"/>
      <c r="AK550" s="658"/>
      <c r="AL550" s="658"/>
      <c r="AM550" s="658"/>
      <c r="AN550" s="658"/>
      <c r="AO550" s="658"/>
      <c r="AP550" s="658"/>
      <c r="AQ550" s="658"/>
      <c r="AR550" s="658"/>
      <c r="AS550" s="658"/>
      <c r="AT550" s="658"/>
      <c r="AU550" s="658"/>
      <c r="AV550" s="658"/>
      <c r="AW550" s="658"/>
      <c r="AX550" s="658"/>
      <c r="AY550" s="658"/>
      <c r="AZ550" s="658"/>
      <c r="BA550" s="658"/>
      <c r="BB550" s="658"/>
      <c r="BC550" s="658"/>
      <c r="BD550" s="658"/>
      <c r="BE550" s="658"/>
      <c r="BF550" s="658"/>
      <c r="BG550" s="658"/>
      <c r="BH550" s="592"/>
      <c r="BI550" s="592"/>
      <c r="BJ550" s="592"/>
      <c r="BK550" s="592"/>
      <c r="BL550" s="592"/>
      <c r="BM550" s="592"/>
      <c r="BN550" s="592"/>
      <c r="BO550" s="592"/>
      <c r="BP550" s="592"/>
      <c r="BQ550" s="592"/>
    </row>
    <row r="551" spans="1:69" ht="12" customHeight="1" x14ac:dyDescent="0.15">
      <c r="A551" s="592"/>
      <c r="B551" s="658"/>
      <c r="C551" s="658"/>
      <c r="D551" s="658"/>
      <c r="E551" s="658"/>
      <c r="F551" s="658"/>
      <c r="G551" s="658"/>
      <c r="H551" s="658"/>
      <c r="I551" s="658"/>
      <c r="J551" s="658"/>
      <c r="K551" s="658"/>
      <c r="L551" s="658"/>
      <c r="M551" s="658"/>
      <c r="N551" s="658"/>
      <c r="O551" s="658"/>
      <c r="P551" s="658"/>
      <c r="Q551" s="658"/>
      <c r="R551" s="658"/>
      <c r="S551" s="658"/>
      <c r="T551" s="658"/>
      <c r="U551" s="658"/>
      <c r="V551" s="658"/>
      <c r="W551" s="658"/>
      <c r="X551" s="658"/>
      <c r="Y551" s="658"/>
      <c r="Z551" s="658"/>
      <c r="AA551" s="658"/>
      <c r="AB551" s="658"/>
      <c r="AC551" s="658"/>
      <c r="AD551" s="658"/>
      <c r="AE551" s="658"/>
      <c r="AF551" s="658"/>
      <c r="AG551" s="658"/>
      <c r="AH551" s="658"/>
      <c r="AI551" s="658"/>
      <c r="AJ551" s="658"/>
      <c r="AK551" s="658"/>
      <c r="AL551" s="658"/>
      <c r="AM551" s="658"/>
      <c r="AN551" s="658"/>
      <c r="AO551" s="658"/>
      <c r="AP551" s="658"/>
      <c r="AQ551" s="658"/>
      <c r="AR551" s="658"/>
      <c r="AS551" s="658"/>
      <c r="AT551" s="658"/>
      <c r="AU551" s="658"/>
      <c r="AV551" s="658"/>
      <c r="AW551" s="658"/>
      <c r="AX551" s="658"/>
      <c r="AY551" s="658"/>
      <c r="AZ551" s="658"/>
      <c r="BA551" s="658"/>
      <c r="BB551" s="658"/>
      <c r="BC551" s="658"/>
      <c r="BD551" s="658"/>
      <c r="BE551" s="658"/>
      <c r="BF551" s="658"/>
      <c r="BG551" s="658"/>
      <c r="BH551" s="592"/>
      <c r="BI551" s="592"/>
      <c r="BJ551" s="592"/>
      <c r="BK551" s="592"/>
      <c r="BL551" s="592"/>
      <c r="BM551" s="592"/>
      <c r="BN551" s="592"/>
      <c r="BO551" s="592"/>
      <c r="BP551" s="592"/>
      <c r="BQ551" s="592"/>
    </row>
    <row r="552" spans="1:69" ht="12" customHeight="1" x14ac:dyDescent="0.15">
      <c r="A552" s="592"/>
      <c r="B552" s="658"/>
      <c r="C552" s="658"/>
      <c r="D552" s="658"/>
      <c r="E552" s="658"/>
      <c r="F552" s="658"/>
      <c r="G552" s="658"/>
      <c r="H552" s="658"/>
      <c r="I552" s="658"/>
      <c r="J552" s="658"/>
      <c r="K552" s="658"/>
      <c r="L552" s="658"/>
      <c r="M552" s="658"/>
      <c r="N552" s="658"/>
      <c r="O552" s="658"/>
      <c r="P552" s="658"/>
      <c r="Q552" s="658"/>
      <c r="R552" s="658"/>
      <c r="S552" s="658"/>
      <c r="T552" s="658"/>
      <c r="U552" s="658"/>
      <c r="V552" s="658"/>
      <c r="W552" s="658"/>
      <c r="X552" s="658"/>
      <c r="Y552" s="658"/>
      <c r="Z552" s="658"/>
      <c r="AA552" s="658"/>
      <c r="AB552" s="658"/>
      <c r="AC552" s="658"/>
      <c r="AD552" s="658"/>
      <c r="AE552" s="658"/>
      <c r="AF552" s="658"/>
      <c r="AG552" s="658"/>
      <c r="AH552" s="658"/>
      <c r="AI552" s="658"/>
      <c r="AJ552" s="658"/>
      <c r="AK552" s="658"/>
      <c r="AL552" s="658"/>
      <c r="AM552" s="658"/>
      <c r="AN552" s="658"/>
      <c r="AO552" s="658"/>
      <c r="AP552" s="658"/>
      <c r="AQ552" s="658"/>
      <c r="AR552" s="658"/>
      <c r="AS552" s="658"/>
      <c r="AT552" s="658"/>
      <c r="AU552" s="658"/>
      <c r="AV552" s="658"/>
      <c r="AW552" s="658"/>
      <c r="AX552" s="658"/>
      <c r="AY552" s="658"/>
      <c r="AZ552" s="658"/>
      <c r="BA552" s="658"/>
      <c r="BB552" s="658"/>
      <c r="BC552" s="658"/>
      <c r="BD552" s="658"/>
      <c r="BE552" s="658"/>
      <c r="BF552" s="658"/>
      <c r="BG552" s="658"/>
      <c r="BH552" s="592"/>
      <c r="BI552" s="592"/>
      <c r="BJ552" s="592"/>
      <c r="BK552" s="592"/>
      <c r="BL552" s="592"/>
      <c r="BM552" s="592"/>
      <c r="BN552" s="592"/>
      <c r="BO552" s="592"/>
      <c r="BP552" s="592"/>
      <c r="BQ552" s="592"/>
    </row>
    <row r="553" spans="1:69" ht="12" customHeight="1" x14ac:dyDescent="0.15">
      <c r="A553" s="592"/>
      <c r="B553" s="658"/>
      <c r="C553" s="658"/>
      <c r="D553" s="658"/>
      <c r="E553" s="658"/>
      <c r="F553" s="658"/>
      <c r="G553" s="658"/>
      <c r="H553" s="658"/>
      <c r="I553" s="658"/>
      <c r="J553" s="658"/>
      <c r="K553" s="658"/>
      <c r="L553" s="658"/>
      <c r="M553" s="658"/>
      <c r="N553" s="658"/>
      <c r="O553" s="658"/>
      <c r="P553" s="658"/>
      <c r="Q553" s="658"/>
      <c r="R553" s="658"/>
      <c r="S553" s="658"/>
      <c r="T553" s="658"/>
      <c r="U553" s="658"/>
      <c r="V553" s="658"/>
      <c r="W553" s="658"/>
      <c r="X553" s="658"/>
      <c r="Y553" s="658"/>
      <c r="Z553" s="658"/>
      <c r="AA553" s="658"/>
      <c r="AB553" s="658"/>
      <c r="AC553" s="658"/>
      <c r="AD553" s="658"/>
      <c r="AE553" s="658"/>
      <c r="AF553" s="658"/>
      <c r="AG553" s="658"/>
      <c r="AH553" s="658"/>
      <c r="AI553" s="658"/>
      <c r="AJ553" s="658"/>
      <c r="AK553" s="658"/>
      <c r="AL553" s="658"/>
      <c r="AM553" s="658"/>
      <c r="AN553" s="658"/>
      <c r="AO553" s="658"/>
      <c r="AP553" s="658"/>
      <c r="AQ553" s="658"/>
      <c r="AR553" s="658"/>
      <c r="AS553" s="658"/>
      <c r="AT553" s="658"/>
      <c r="AU553" s="658"/>
      <c r="AV553" s="658"/>
      <c r="AW553" s="658"/>
      <c r="AX553" s="658"/>
      <c r="AY553" s="658"/>
      <c r="AZ553" s="658"/>
      <c r="BA553" s="658"/>
      <c r="BB553" s="658"/>
      <c r="BC553" s="658"/>
      <c r="BD553" s="658"/>
      <c r="BE553" s="658"/>
      <c r="BF553" s="658"/>
      <c r="BG553" s="658"/>
      <c r="BH553" s="592"/>
      <c r="BI553" s="592"/>
      <c r="BJ553" s="592"/>
      <c r="BK553" s="592"/>
      <c r="BL553" s="592"/>
      <c r="BM553" s="592"/>
      <c r="BN553" s="592"/>
      <c r="BO553" s="592"/>
      <c r="BP553" s="592"/>
      <c r="BQ553" s="592"/>
    </row>
    <row r="554" spans="1:69" ht="12" customHeight="1" x14ac:dyDescent="0.15">
      <c r="A554" s="592"/>
      <c r="B554" s="658"/>
      <c r="C554" s="658"/>
      <c r="D554" s="658"/>
      <c r="E554" s="658"/>
      <c r="F554" s="658"/>
      <c r="G554" s="658"/>
      <c r="H554" s="658"/>
      <c r="I554" s="658"/>
      <c r="J554" s="658"/>
      <c r="K554" s="658"/>
      <c r="L554" s="658"/>
      <c r="M554" s="658"/>
      <c r="N554" s="658"/>
      <c r="O554" s="658"/>
      <c r="P554" s="658"/>
      <c r="Q554" s="658"/>
      <c r="R554" s="658"/>
      <c r="S554" s="658"/>
      <c r="T554" s="658"/>
      <c r="U554" s="658"/>
      <c r="V554" s="658"/>
      <c r="W554" s="658"/>
      <c r="X554" s="658"/>
      <c r="Y554" s="658"/>
      <c r="Z554" s="658"/>
      <c r="AA554" s="658"/>
      <c r="AB554" s="658"/>
      <c r="AC554" s="658"/>
      <c r="AD554" s="658"/>
      <c r="AE554" s="658"/>
      <c r="AF554" s="658"/>
      <c r="AG554" s="658"/>
      <c r="AH554" s="658"/>
      <c r="AI554" s="658"/>
      <c r="AJ554" s="658"/>
      <c r="AK554" s="658"/>
      <c r="AL554" s="658"/>
      <c r="AM554" s="658"/>
      <c r="AN554" s="658"/>
      <c r="AO554" s="658"/>
      <c r="AP554" s="658"/>
      <c r="AQ554" s="658"/>
      <c r="AR554" s="658"/>
      <c r="AS554" s="658"/>
      <c r="AT554" s="658"/>
      <c r="AU554" s="658"/>
      <c r="AV554" s="658"/>
      <c r="AW554" s="658"/>
      <c r="AX554" s="658"/>
      <c r="AY554" s="658"/>
      <c r="AZ554" s="658"/>
      <c r="BA554" s="658"/>
      <c r="BB554" s="658"/>
      <c r="BC554" s="658"/>
      <c r="BD554" s="658"/>
      <c r="BE554" s="658"/>
      <c r="BF554" s="658"/>
      <c r="BG554" s="658"/>
      <c r="BH554" s="592"/>
      <c r="BI554" s="592"/>
      <c r="BJ554" s="592"/>
      <c r="BK554" s="592"/>
      <c r="BL554" s="592"/>
      <c r="BM554" s="592"/>
      <c r="BN554" s="592"/>
      <c r="BO554" s="592"/>
      <c r="BP554" s="592"/>
      <c r="BQ554" s="592"/>
    </row>
    <row r="555" spans="1:69" ht="12" customHeight="1" x14ac:dyDescent="0.15">
      <c r="A555" s="592"/>
      <c r="B555" s="658"/>
      <c r="C555" s="658"/>
      <c r="D555" s="658"/>
      <c r="E555" s="658"/>
      <c r="F555" s="658"/>
      <c r="G555" s="658"/>
      <c r="H555" s="658"/>
      <c r="I555" s="658"/>
      <c r="J555" s="658"/>
      <c r="K555" s="658"/>
      <c r="L555" s="658"/>
      <c r="M555" s="658"/>
      <c r="N555" s="658"/>
      <c r="O555" s="658"/>
      <c r="P555" s="658"/>
      <c r="Q555" s="658"/>
      <c r="R555" s="658"/>
      <c r="S555" s="658"/>
      <c r="T555" s="658"/>
      <c r="U555" s="658"/>
      <c r="V555" s="658"/>
      <c r="W555" s="658"/>
      <c r="X555" s="658"/>
      <c r="Y555" s="658"/>
      <c r="Z555" s="658"/>
      <c r="AA555" s="658"/>
      <c r="AB555" s="658"/>
      <c r="AC555" s="658"/>
      <c r="AD555" s="658"/>
      <c r="AE555" s="658"/>
      <c r="AF555" s="658"/>
      <c r="AG555" s="658"/>
      <c r="AH555" s="658"/>
      <c r="AI555" s="658"/>
      <c r="AJ555" s="658"/>
      <c r="AK555" s="658"/>
      <c r="AL555" s="658"/>
      <c r="AM555" s="658"/>
      <c r="AN555" s="658"/>
      <c r="AO555" s="658"/>
      <c r="AP555" s="658"/>
      <c r="AQ555" s="658"/>
      <c r="AR555" s="658"/>
      <c r="AS555" s="658"/>
      <c r="AT555" s="658"/>
      <c r="AU555" s="658"/>
      <c r="AV555" s="658"/>
      <c r="AW555" s="658"/>
      <c r="AX555" s="658"/>
      <c r="AY555" s="658"/>
      <c r="AZ555" s="658"/>
      <c r="BA555" s="658"/>
      <c r="BB555" s="658"/>
      <c r="BC555" s="658"/>
      <c r="BD555" s="658"/>
      <c r="BE555" s="658"/>
      <c r="BF555" s="658"/>
      <c r="BG555" s="658"/>
      <c r="BH555" s="592"/>
      <c r="BI555" s="592"/>
      <c r="BJ555" s="592"/>
      <c r="BK555" s="592"/>
      <c r="BL555" s="592"/>
      <c r="BM555" s="592"/>
      <c r="BN555" s="592"/>
      <c r="BO555" s="592"/>
      <c r="BP555" s="592"/>
      <c r="BQ555" s="592"/>
    </row>
    <row r="556" spans="1:69" ht="12" customHeight="1" x14ac:dyDescent="0.15">
      <c r="A556" s="592"/>
      <c r="B556" s="658"/>
      <c r="C556" s="658"/>
      <c r="D556" s="658"/>
      <c r="E556" s="658"/>
      <c r="F556" s="658"/>
      <c r="G556" s="658"/>
      <c r="H556" s="658"/>
      <c r="I556" s="658"/>
      <c r="J556" s="658"/>
      <c r="K556" s="658"/>
      <c r="L556" s="658"/>
      <c r="M556" s="658"/>
      <c r="N556" s="658"/>
      <c r="O556" s="658"/>
      <c r="P556" s="658"/>
      <c r="Q556" s="658"/>
      <c r="R556" s="658"/>
      <c r="S556" s="658"/>
      <c r="T556" s="658"/>
      <c r="U556" s="658"/>
      <c r="V556" s="658"/>
      <c r="W556" s="658"/>
      <c r="X556" s="658"/>
      <c r="Y556" s="658"/>
      <c r="Z556" s="658"/>
      <c r="AA556" s="658"/>
      <c r="AB556" s="658"/>
      <c r="AC556" s="658"/>
      <c r="AD556" s="658"/>
      <c r="AE556" s="658"/>
      <c r="AF556" s="658"/>
      <c r="AG556" s="658"/>
      <c r="AH556" s="658"/>
      <c r="AI556" s="658"/>
      <c r="AJ556" s="658"/>
      <c r="AK556" s="658"/>
      <c r="AL556" s="658"/>
      <c r="AM556" s="658"/>
      <c r="AN556" s="658"/>
      <c r="AO556" s="658"/>
      <c r="AP556" s="658"/>
      <c r="AQ556" s="658"/>
      <c r="AR556" s="658"/>
      <c r="AS556" s="658"/>
      <c r="AT556" s="658"/>
      <c r="AU556" s="658"/>
      <c r="AV556" s="658"/>
      <c r="AW556" s="658"/>
      <c r="AX556" s="658"/>
      <c r="AY556" s="658"/>
      <c r="AZ556" s="658"/>
      <c r="BA556" s="658"/>
      <c r="BB556" s="658"/>
      <c r="BC556" s="658"/>
      <c r="BD556" s="658"/>
      <c r="BE556" s="658"/>
      <c r="BF556" s="658"/>
      <c r="BG556" s="658"/>
      <c r="BH556" s="592"/>
      <c r="BI556" s="592"/>
      <c r="BJ556" s="592"/>
      <c r="BK556" s="592"/>
      <c r="BL556" s="592"/>
      <c r="BM556" s="592"/>
      <c r="BN556" s="592"/>
      <c r="BO556" s="592"/>
      <c r="BP556" s="592"/>
      <c r="BQ556" s="592"/>
    </row>
    <row r="557" spans="1:69" ht="12" customHeight="1" x14ac:dyDescent="0.15">
      <c r="A557" s="592"/>
      <c r="B557" s="658"/>
      <c r="C557" s="658"/>
      <c r="D557" s="658"/>
      <c r="E557" s="658"/>
      <c r="F557" s="658"/>
      <c r="G557" s="658"/>
      <c r="H557" s="658"/>
      <c r="I557" s="658"/>
      <c r="J557" s="658"/>
      <c r="K557" s="658"/>
      <c r="L557" s="658"/>
      <c r="M557" s="658"/>
      <c r="N557" s="658"/>
      <c r="O557" s="658"/>
      <c r="P557" s="658"/>
      <c r="Q557" s="658"/>
      <c r="R557" s="658"/>
      <c r="S557" s="658"/>
      <c r="T557" s="658"/>
      <c r="U557" s="658"/>
      <c r="V557" s="658"/>
      <c r="W557" s="658"/>
      <c r="X557" s="658"/>
      <c r="Y557" s="658"/>
      <c r="Z557" s="658"/>
      <c r="AA557" s="658"/>
      <c r="AB557" s="658"/>
      <c r="AC557" s="658"/>
      <c r="AD557" s="658"/>
      <c r="AE557" s="658"/>
      <c r="AF557" s="658"/>
      <c r="AG557" s="658"/>
      <c r="AH557" s="658"/>
      <c r="AI557" s="658"/>
      <c r="AJ557" s="658"/>
      <c r="AK557" s="658"/>
      <c r="AL557" s="658"/>
      <c r="AM557" s="658"/>
      <c r="AN557" s="658"/>
      <c r="AO557" s="658"/>
      <c r="AP557" s="658"/>
      <c r="AQ557" s="658"/>
      <c r="AR557" s="658"/>
      <c r="AS557" s="658"/>
      <c r="AT557" s="658"/>
      <c r="AU557" s="658"/>
      <c r="AV557" s="658"/>
      <c r="AW557" s="658"/>
      <c r="AX557" s="658"/>
      <c r="AY557" s="658"/>
      <c r="AZ557" s="658"/>
      <c r="BA557" s="658"/>
      <c r="BB557" s="658"/>
      <c r="BC557" s="658"/>
      <c r="BD557" s="658"/>
      <c r="BE557" s="658"/>
      <c r="BF557" s="658"/>
      <c r="BG557" s="658"/>
      <c r="BH557" s="592"/>
      <c r="BI557" s="592"/>
      <c r="BJ557" s="592"/>
      <c r="BK557" s="592"/>
      <c r="BL557" s="592"/>
      <c r="BM557" s="592"/>
      <c r="BN557" s="592"/>
      <c r="BO557" s="592"/>
      <c r="BP557" s="592"/>
      <c r="BQ557" s="592"/>
    </row>
    <row r="558" spans="1:69" ht="12" customHeight="1" x14ac:dyDescent="0.15">
      <c r="A558" s="592"/>
      <c r="B558" s="658"/>
      <c r="C558" s="658"/>
      <c r="D558" s="658"/>
      <c r="E558" s="658"/>
      <c r="F558" s="658"/>
      <c r="G558" s="658"/>
      <c r="H558" s="658"/>
      <c r="I558" s="658"/>
      <c r="J558" s="658"/>
      <c r="K558" s="658"/>
      <c r="L558" s="658"/>
      <c r="M558" s="658"/>
      <c r="N558" s="658"/>
      <c r="O558" s="658"/>
      <c r="P558" s="658"/>
      <c r="Q558" s="658"/>
      <c r="R558" s="658"/>
      <c r="S558" s="658"/>
      <c r="T558" s="658"/>
      <c r="U558" s="658"/>
      <c r="V558" s="658"/>
      <c r="W558" s="658"/>
      <c r="X558" s="658"/>
      <c r="Y558" s="658"/>
      <c r="Z558" s="658"/>
      <c r="AA558" s="658"/>
      <c r="AB558" s="658"/>
      <c r="AC558" s="658"/>
      <c r="AD558" s="658"/>
      <c r="AE558" s="658"/>
      <c r="AF558" s="658"/>
      <c r="AG558" s="658"/>
      <c r="AH558" s="658"/>
      <c r="AI558" s="658"/>
      <c r="AJ558" s="658"/>
      <c r="AK558" s="658"/>
      <c r="AL558" s="658"/>
      <c r="AM558" s="658"/>
      <c r="AN558" s="658"/>
      <c r="AO558" s="658"/>
      <c r="AP558" s="658"/>
      <c r="AQ558" s="658"/>
      <c r="AR558" s="658"/>
      <c r="AS558" s="658"/>
      <c r="AT558" s="658"/>
      <c r="AU558" s="658"/>
      <c r="AV558" s="658"/>
      <c r="AW558" s="658"/>
      <c r="AX558" s="658"/>
      <c r="AY558" s="658"/>
      <c r="AZ558" s="658"/>
      <c r="BA558" s="658"/>
      <c r="BB558" s="658"/>
      <c r="BC558" s="658"/>
      <c r="BD558" s="658"/>
      <c r="BE558" s="658"/>
      <c r="BF558" s="658"/>
      <c r="BG558" s="658"/>
      <c r="BH558" s="592"/>
      <c r="BI558" s="592"/>
      <c r="BJ558" s="592"/>
      <c r="BK558" s="592"/>
      <c r="BL558" s="592"/>
      <c r="BM558" s="592"/>
      <c r="BN558" s="592"/>
      <c r="BO558" s="592"/>
      <c r="BP558" s="592"/>
      <c r="BQ558" s="592"/>
    </row>
    <row r="559" spans="1:69" ht="12" customHeight="1" x14ac:dyDescent="0.15">
      <c r="A559" s="592"/>
      <c r="B559" s="658"/>
      <c r="C559" s="658"/>
      <c r="D559" s="658"/>
      <c r="E559" s="658"/>
      <c r="F559" s="658"/>
      <c r="G559" s="658"/>
      <c r="H559" s="658"/>
      <c r="I559" s="658"/>
      <c r="J559" s="658"/>
      <c r="K559" s="658"/>
      <c r="L559" s="658"/>
      <c r="M559" s="658"/>
      <c r="N559" s="658"/>
      <c r="O559" s="658"/>
      <c r="P559" s="658"/>
      <c r="Q559" s="658"/>
      <c r="R559" s="658"/>
      <c r="S559" s="658"/>
      <c r="T559" s="658"/>
      <c r="U559" s="658"/>
      <c r="V559" s="658"/>
      <c r="W559" s="658"/>
      <c r="X559" s="658"/>
      <c r="Y559" s="658"/>
      <c r="Z559" s="658"/>
      <c r="AA559" s="658"/>
      <c r="AB559" s="658"/>
      <c r="AC559" s="658"/>
      <c r="AD559" s="658"/>
      <c r="AE559" s="658"/>
      <c r="AF559" s="658"/>
      <c r="AG559" s="658"/>
      <c r="AH559" s="658"/>
      <c r="AI559" s="658"/>
      <c r="AJ559" s="658"/>
      <c r="AK559" s="658"/>
      <c r="AL559" s="658"/>
      <c r="AM559" s="658"/>
      <c r="AN559" s="658"/>
      <c r="AO559" s="658"/>
      <c r="AP559" s="658"/>
      <c r="AQ559" s="658"/>
      <c r="AR559" s="658"/>
      <c r="AS559" s="658"/>
      <c r="AT559" s="658"/>
      <c r="AU559" s="658"/>
      <c r="AV559" s="658"/>
      <c r="AW559" s="658"/>
      <c r="AX559" s="658"/>
      <c r="AY559" s="658"/>
      <c r="AZ559" s="658"/>
      <c r="BA559" s="658"/>
      <c r="BB559" s="658"/>
      <c r="BC559" s="658"/>
      <c r="BD559" s="658"/>
      <c r="BE559" s="658"/>
      <c r="BF559" s="658"/>
      <c r="BG559" s="658"/>
      <c r="BH559" s="592"/>
      <c r="BI559" s="592"/>
      <c r="BJ559" s="592"/>
      <c r="BK559" s="592"/>
      <c r="BL559" s="592"/>
      <c r="BM559" s="592"/>
      <c r="BN559" s="592"/>
      <c r="BO559" s="592"/>
      <c r="BP559" s="592"/>
      <c r="BQ559" s="592"/>
    </row>
    <row r="560" spans="1:69" ht="12" customHeight="1" x14ac:dyDescent="0.15">
      <c r="A560" s="592"/>
      <c r="B560" s="658"/>
      <c r="C560" s="658"/>
      <c r="D560" s="658"/>
      <c r="E560" s="658"/>
      <c r="F560" s="658"/>
      <c r="G560" s="658"/>
      <c r="H560" s="658"/>
      <c r="I560" s="658"/>
      <c r="J560" s="658"/>
      <c r="K560" s="658"/>
      <c r="L560" s="658"/>
      <c r="M560" s="658"/>
      <c r="N560" s="658"/>
      <c r="O560" s="658"/>
      <c r="P560" s="658"/>
      <c r="Q560" s="658"/>
      <c r="R560" s="658"/>
      <c r="S560" s="658"/>
      <c r="T560" s="658"/>
      <c r="U560" s="658"/>
      <c r="V560" s="658"/>
      <c r="W560" s="658"/>
      <c r="X560" s="658"/>
      <c r="Y560" s="658"/>
      <c r="Z560" s="658"/>
      <c r="AA560" s="658"/>
      <c r="AB560" s="658"/>
      <c r="AC560" s="658"/>
      <c r="AD560" s="658"/>
      <c r="AE560" s="658"/>
      <c r="AF560" s="658"/>
      <c r="AG560" s="658"/>
      <c r="AH560" s="658"/>
      <c r="AI560" s="658"/>
      <c r="AJ560" s="658"/>
      <c r="AK560" s="658"/>
      <c r="AL560" s="658"/>
      <c r="AM560" s="658"/>
      <c r="AN560" s="658"/>
      <c r="AO560" s="658"/>
      <c r="AP560" s="658"/>
      <c r="AQ560" s="658"/>
      <c r="AR560" s="658"/>
      <c r="AS560" s="658"/>
      <c r="AT560" s="658"/>
      <c r="AU560" s="658"/>
      <c r="AV560" s="658"/>
      <c r="AW560" s="658"/>
      <c r="AX560" s="658"/>
      <c r="AY560" s="658"/>
      <c r="AZ560" s="658"/>
      <c r="BA560" s="658"/>
      <c r="BB560" s="658"/>
      <c r="BC560" s="658"/>
      <c r="BD560" s="658"/>
      <c r="BE560" s="658"/>
      <c r="BF560" s="658"/>
      <c r="BG560" s="658"/>
      <c r="BH560" s="592"/>
      <c r="BI560" s="592"/>
      <c r="BJ560" s="592"/>
      <c r="BK560" s="592"/>
      <c r="BL560" s="592"/>
      <c r="BM560" s="592"/>
      <c r="BN560" s="592"/>
      <c r="BO560" s="592"/>
      <c r="BP560" s="592"/>
      <c r="BQ560" s="592"/>
    </row>
    <row r="561" spans="1:69" ht="12" customHeight="1" x14ac:dyDescent="0.15">
      <c r="A561" s="592"/>
      <c r="B561" s="658"/>
      <c r="C561" s="658"/>
      <c r="D561" s="658"/>
      <c r="E561" s="658"/>
      <c r="F561" s="658"/>
      <c r="G561" s="658"/>
      <c r="H561" s="658"/>
      <c r="I561" s="658"/>
      <c r="J561" s="658"/>
      <c r="K561" s="658"/>
      <c r="L561" s="658"/>
      <c r="M561" s="658"/>
      <c r="N561" s="658"/>
      <c r="O561" s="658"/>
      <c r="P561" s="658"/>
      <c r="Q561" s="658"/>
      <c r="R561" s="658"/>
      <c r="S561" s="658"/>
      <c r="T561" s="658"/>
      <c r="U561" s="658"/>
      <c r="V561" s="658"/>
      <c r="W561" s="658"/>
      <c r="X561" s="658"/>
      <c r="Y561" s="658"/>
      <c r="Z561" s="658"/>
      <c r="AA561" s="658"/>
      <c r="AB561" s="658"/>
      <c r="AC561" s="658"/>
      <c r="AD561" s="658"/>
      <c r="AE561" s="658"/>
      <c r="AF561" s="658"/>
      <c r="AG561" s="658"/>
      <c r="AH561" s="658"/>
      <c r="AI561" s="658"/>
      <c r="AJ561" s="658"/>
      <c r="AK561" s="658"/>
      <c r="AL561" s="658"/>
      <c r="AM561" s="658"/>
      <c r="AN561" s="658"/>
      <c r="AO561" s="658"/>
      <c r="AP561" s="658"/>
      <c r="AQ561" s="658"/>
      <c r="AR561" s="658"/>
      <c r="AS561" s="658"/>
      <c r="AT561" s="658"/>
      <c r="AU561" s="658"/>
      <c r="AV561" s="658"/>
      <c r="AW561" s="658"/>
      <c r="AX561" s="658"/>
      <c r="AY561" s="658"/>
      <c r="AZ561" s="658"/>
      <c r="BA561" s="658"/>
      <c r="BB561" s="658"/>
      <c r="BC561" s="658"/>
      <c r="BD561" s="658"/>
      <c r="BE561" s="658"/>
      <c r="BF561" s="658"/>
      <c r="BG561" s="658"/>
      <c r="BH561" s="592"/>
      <c r="BI561" s="592"/>
      <c r="BJ561" s="592"/>
      <c r="BK561" s="592"/>
      <c r="BL561" s="592"/>
      <c r="BM561" s="592"/>
      <c r="BN561" s="592"/>
      <c r="BO561" s="592"/>
      <c r="BP561" s="592"/>
      <c r="BQ561" s="592"/>
    </row>
    <row r="562" spans="1:69" ht="12" customHeight="1" x14ac:dyDescent="0.15">
      <c r="A562" s="592"/>
      <c r="B562" s="658"/>
      <c r="C562" s="658"/>
      <c r="D562" s="658"/>
      <c r="E562" s="658"/>
      <c r="F562" s="658"/>
      <c r="G562" s="658"/>
      <c r="H562" s="658"/>
      <c r="I562" s="658"/>
      <c r="J562" s="658"/>
      <c r="K562" s="658"/>
      <c r="L562" s="658"/>
      <c r="M562" s="658"/>
      <c r="N562" s="658"/>
      <c r="O562" s="658"/>
      <c r="P562" s="658"/>
      <c r="Q562" s="658"/>
      <c r="R562" s="658"/>
      <c r="S562" s="658"/>
      <c r="T562" s="658"/>
      <c r="U562" s="658"/>
      <c r="V562" s="658"/>
      <c r="W562" s="658"/>
      <c r="X562" s="658"/>
      <c r="Y562" s="658"/>
      <c r="Z562" s="658"/>
      <c r="AA562" s="658"/>
      <c r="AB562" s="658"/>
      <c r="AC562" s="658"/>
      <c r="AD562" s="658"/>
      <c r="AE562" s="658"/>
      <c r="AF562" s="658"/>
      <c r="AG562" s="658"/>
      <c r="AH562" s="658"/>
      <c r="AI562" s="658"/>
      <c r="AJ562" s="658"/>
      <c r="AK562" s="658"/>
      <c r="AL562" s="658"/>
      <c r="AM562" s="658"/>
      <c r="AN562" s="658"/>
      <c r="AO562" s="658"/>
      <c r="AP562" s="658"/>
      <c r="AQ562" s="658"/>
      <c r="AR562" s="658"/>
      <c r="AS562" s="658"/>
      <c r="AT562" s="658"/>
      <c r="AU562" s="658"/>
      <c r="AV562" s="658"/>
      <c r="AW562" s="658"/>
      <c r="AX562" s="658"/>
      <c r="AY562" s="658"/>
      <c r="AZ562" s="658"/>
      <c r="BA562" s="658"/>
      <c r="BB562" s="658"/>
      <c r="BC562" s="658"/>
      <c r="BD562" s="658"/>
      <c r="BE562" s="658"/>
      <c r="BF562" s="658"/>
      <c r="BG562" s="658"/>
      <c r="BH562" s="592"/>
      <c r="BI562" s="592"/>
      <c r="BJ562" s="592"/>
      <c r="BK562" s="592"/>
      <c r="BL562" s="592"/>
      <c r="BM562" s="592"/>
      <c r="BN562" s="592"/>
      <c r="BO562" s="592"/>
      <c r="BP562" s="592"/>
      <c r="BQ562" s="592"/>
    </row>
    <row r="563" spans="1:69" ht="12" customHeight="1" x14ac:dyDescent="0.15">
      <c r="A563" s="592"/>
      <c r="B563" s="658"/>
      <c r="C563" s="658"/>
      <c r="D563" s="658"/>
      <c r="E563" s="658"/>
      <c r="F563" s="658"/>
      <c r="G563" s="658"/>
      <c r="H563" s="658"/>
      <c r="I563" s="658"/>
      <c r="J563" s="658"/>
      <c r="K563" s="658"/>
      <c r="L563" s="658"/>
      <c r="M563" s="658"/>
      <c r="N563" s="658"/>
      <c r="O563" s="658"/>
      <c r="P563" s="658"/>
      <c r="Q563" s="658"/>
      <c r="R563" s="658"/>
      <c r="S563" s="658"/>
      <c r="T563" s="658"/>
      <c r="U563" s="658"/>
      <c r="V563" s="658"/>
      <c r="W563" s="658"/>
      <c r="X563" s="658"/>
      <c r="Y563" s="658"/>
      <c r="Z563" s="658"/>
      <c r="AA563" s="658"/>
      <c r="AB563" s="658"/>
      <c r="AC563" s="658"/>
      <c r="AD563" s="658"/>
      <c r="AE563" s="658"/>
      <c r="AF563" s="658"/>
      <c r="AG563" s="658"/>
      <c r="AH563" s="658"/>
      <c r="AI563" s="658"/>
      <c r="AJ563" s="658"/>
      <c r="AK563" s="658"/>
      <c r="AL563" s="658"/>
      <c r="AM563" s="658"/>
      <c r="AN563" s="658"/>
      <c r="AO563" s="658"/>
      <c r="AP563" s="658"/>
      <c r="AQ563" s="658"/>
      <c r="AR563" s="658"/>
      <c r="AS563" s="658"/>
      <c r="AT563" s="658"/>
      <c r="AU563" s="658"/>
      <c r="AV563" s="658"/>
      <c r="AW563" s="658"/>
      <c r="AX563" s="658"/>
      <c r="AY563" s="658"/>
      <c r="AZ563" s="658"/>
      <c r="BA563" s="658"/>
      <c r="BB563" s="658"/>
      <c r="BC563" s="658"/>
      <c r="BD563" s="658"/>
      <c r="BE563" s="658"/>
      <c r="BF563" s="658"/>
      <c r="BG563" s="658"/>
      <c r="BH563" s="592"/>
      <c r="BI563" s="592"/>
      <c r="BJ563" s="592"/>
      <c r="BK563" s="592"/>
      <c r="BL563" s="592"/>
      <c r="BM563" s="592"/>
      <c r="BN563" s="592"/>
      <c r="BO563" s="592"/>
      <c r="BP563" s="592"/>
      <c r="BQ563" s="592"/>
    </row>
    <row r="564" spans="1:69" ht="12" customHeight="1" x14ac:dyDescent="0.15">
      <c r="A564" s="592"/>
      <c r="B564" s="658"/>
      <c r="C564" s="658"/>
      <c r="D564" s="658"/>
      <c r="E564" s="658"/>
      <c r="F564" s="658"/>
      <c r="G564" s="658"/>
      <c r="H564" s="658"/>
      <c r="I564" s="658"/>
      <c r="J564" s="658"/>
      <c r="K564" s="658"/>
      <c r="L564" s="658"/>
      <c r="M564" s="658"/>
      <c r="N564" s="658"/>
      <c r="O564" s="658"/>
      <c r="P564" s="658"/>
      <c r="Q564" s="658"/>
      <c r="R564" s="658"/>
      <c r="S564" s="658"/>
      <c r="T564" s="658"/>
      <c r="U564" s="658"/>
      <c r="V564" s="658"/>
      <c r="W564" s="658"/>
      <c r="X564" s="658"/>
      <c r="Y564" s="658"/>
      <c r="Z564" s="658"/>
      <c r="AA564" s="658"/>
      <c r="AB564" s="658"/>
      <c r="AC564" s="658"/>
      <c r="AD564" s="658"/>
      <c r="AE564" s="658"/>
      <c r="AF564" s="658"/>
      <c r="AG564" s="658"/>
      <c r="AH564" s="658"/>
      <c r="AI564" s="658"/>
      <c r="AJ564" s="658"/>
      <c r="AK564" s="658"/>
      <c r="AL564" s="658"/>
      <c r="AM564" s="658"/>
      <c r="AN564" s="658"/>
      <c r="AO564" s="658"/>
      <c r="AP564" s="658"/>
      <c r="AQ564" s="658"/>
      <c r="AR564" s="658"/>
      <c r="AS564" s="658"/>
      <c r="AT564" s="658"/>
      <c r="AU564" s="658"/>
      <c r="AV564" s="658"/>
      <c r="AW564" s="658"/>
      <c r="AX564" s="658"/>
      <c r="AY564" s="658"/>
      <c r="AZ564" s="658"/>
      <c r="BA564" s="658"/>
      <c r="BB564" s="658"/>
      <c r="BC564" s="658"/>
      <c r="BD564" s="658"/>
      <c r="BE564" s="658"/>
      <c r="BF564" s="658"/>
      <c r="BG564" s="658"/>
      <c r="BH564" s="592"/>
      <c r="BI564" s="592"/>
      <c r="BJ564" s="592"/>
      <c r="BK564" s="592"/>
      <c r="BL564" s="592"/>
      <c r="BM564" s="592"/>
      <c r="BN564" s="592"/>
      <c r="BO564" s="592"/>
      <c r="BP564" s="592"/>
      <c r="BQ564" s="592"/>
    </row>
    <row r="565" spans="1:69" ht="12" customHeight="1" x14ac:dyDescent="0.15">
      <c r="A565" s="592"/>
      <c r="B565" s="658"/>
      <c r="C565" s="658"/>
      <c r="D565" s="658"/>
      <c r="E565" s="658"/>
      <c r="F565" s="658"/>
      <c r="G565" s="658"/>
      <c r="H565" s="658"/>
      <c r="I565" s="658"/>
      <c r="J565" s="658"/>
      <c r="K565" s="658"/>
      <c r="L565" s="658"/>
      <c r="M565" s="658"/>
      <c r="N565" s="658"/>
      <c r="O565" s="658"/>
      <c r="P565" s="658"/>
      <c r="Q565" s="658"/>
      <c r="R565" s="658"/>
      <c r="S565" s="658"/>
      <c r="T565" s="658"/>
      <c r="U565" s="658"/>
      <c r="V565" s="658"/>
      <c r="W565" s="658"/>
      <c r="X565" s="658"/>
      <c r="Y565" s="658"/>
      <c r="Z565" s="658"/>
      <c r="AA565" s="658"/>
      <c r="AB565" s="658"/>
      <c r="AC565" s="658"/>
      <c r="AD565" s="658"/>
      <c r="AE565" s="658"/>
      <c r="AF565" s="658"/>
      <c r="AG565" s="658"/>
      <c r="AH565" s="658"/>
      <c r="AI565" s="658"/>
      <c r="AJ565" s="658"/>
      <c r="AK565" s="658"/>
      <c r="AL565" s="658"/>
      <c r="AM565" s="658"/>
      <c r="AN565" s="658"/>
      <c r="AO565" s="658"/>
      <c r="AP565" s="658"/>
      <c r="AQ565" s="658"/>
      <c r="AR565" s="658"/>
      <c r="AS565" s="658"/>
      <c r="AT565" s="658"/>
      <c r="AU565" s="658"/>
      <c r="AV565" s="658"/>
      <c r="AW565" s="658"/>
      <c r="AX565" s="658"/>
      <c r="AY565" s="658"/>
      <c r="AZ565" s="658"/>
      <c r="BA565" s="658"/>
      <c r="BB565" s="658"/>
      <c r="BC565" s="658"/>
      <c r="BD565" s="658"/>
      <c r="BE565" s="658"/>
      <c r="BF565" s="658"/>
      <c r="BG565" s="658"/>
      <c r="BH565" s="592"/>
      <c r="BI565" s="592"/>
      <c r="BJ565" s="592"/>
      <c r="BK565" s="592"/>
      <c r="BL565" s="592"/>
      <c r="BM565" s="592"/>
      <c r="BN565" s="592"/>
      <c r="BO565" s="592"/>
      <c r="BP565" s="592"/>
      <c r="BQ565" s="592"/>
    </row>
    <row r="566" spans="1:69" ht="12" customHeight="1" x14ac:dyDescent="0.15">
      <c r="A566" s="592"/>
      <c r="B566" s="658"/>
      <c r="C566" s="658"/>
      <c r="D566" s="658"/>
      <c r="E566" s="658"/>
      <c r="F566" s="658"/>
      <c r="G566" s="658"/>
      <c r="H566" s="658"/>
      <c r="I566" s="658"/>
      <c r="J566" s="658"/>
      <c r="K566" s="658"/>
      <c r="L566" s="658"/>
      <c r="M566" s="658"/>
      <c r="N566" s="658"/>
      <c r="O566" s="658"/>
      <c r="P566" s="658"/>
      <c r="Q566" s="658"/>
      <c r="R566" s="658"/>
      <c r="S566" s="658"/>
      <c r="T566" s="658"/>
      <c r="U566" s="658"/>
      <c r="V566" s="658"/>
      <c r="W566" s="658"/>
      <c r="X566" s="658"/>
      <c r="Y566" s="658"/>
      <c r="Z566" s="658"/>
      <c r="AA566" s="658"/>
      <c r="AB566" s="658"/>
      <c r="AC566" s="658"/>
      <c r="AD566" s="658"/>
      <c r="AE566" s="658"/>
      <c r="AF566" s="658"/>
      <c r="AG566" s="658"/>
      <c r="AH566" s="658"/>
      <c r="AI566" s="658"/>
      <c r="AJ566" s="658"/>
      <c r="AK566" s="658"/>
      <c r="AL566" s="658"/>
      <c r="AM566" s="658"/>
      <c r="AN566" s="658"/>
      <c r="AO566" s="658"/>
      <c r="AP566" s="658"/>
      <c r="AQ566" s="658"/>
      <c r="AR566" s="658"/>
      <c r="AS566" s="658"/>
      <c r="AT566" s="658"/>
      <c r="AU566" s="658"/>
      <c r="AV566" s="658"/>
      <c r="AW566" s="658"/>
      <c r="AX566" s="658"/>
      <c r="AY566" s="658"/>
      <c r="AZ566" s="658"/>
      <c r="BA566" s="658"/>
      <c r="BB566" s="658"/>
      <c r="BC566" s="658"/>
      <c r="BD566" s="658"/>
      <c r="BE566" s="658"/>
      <c r="BF566" s="658"/>
      <c r="BG566" s="658"/>
      <c r="BH566" s="592"/>
      <c r="BI566" s="592"/>
      <c r="BJ566" s="592"/>
      <c r="BK566" s="592"/>
      <c r="BL566" s="592"/>
      <c r="BM566" s="592"/>
      <c r="BN566" s="592"/>
      <c r="BO566" s="592"/>
      <c r="BP566" s="592"/>
      <c r="BQ566" s="592"/>
    </row>
    <row r="567" spans="1:69" ht="12" customHeight="1" x14ac:dyDescent="0.15">
      <c r="A567" s="592"/>
      <c r="B567" s="658"/>
      <c r="C567" s="658"/>
      <c r="D567" s="658"/>
      <c r="E567" s="658"/>
      <c r="F567" s="658"/>
      <c r="G567" s="658"/>
      <c r="H567" s="658"/>
      <c r="I567" s="658"/>
      <c r="J567" s="658"/>
      <c r="K567" s="658"/>
      <c r="L567" s="658"/>
      <c r="M567" s="658"/>
      <c r="N567" s="658"/>
      <c r="O567" s="658"/>
      <c r="P567" s="658"/>
      <c r="Q567" s="658"/>
      <c r="R567" s="658"/>
      <c r="S567" s="658"/>
      <c r="T567" s="658"/>
      <c r="U567" s="658"/>
      <c r="V567" s="658"/>
      <c r="W567" s="658"/>
      <c r="X567" s="658"/>
      <c r="Y567" s="658"/>
      <c r="Z567" s="658"/>
      <c r="AA567" s="658"/>
      <c r="AB567" s="658"/>
      <c r="AC567" s="658"/>
      <c r="AD567" s="658"/>
      <c r="AE567" s="658"/>
      <c r="AF567" s="658"/>
      <c r="AG567" s="658"/>
      <c r="AH567" s="658"/>
      <c r="AI567" s="658"/>
      <c r="AJ567" s="658"/>
      <c r="AK567" s="658"/>
      <c r="AL567" s="658"/>
      <c r="AM567" s="658"/>
      <c r="AN567" s="658"/>
      <c r="AO567" s="658"/>
      <c r="AP567" s="658"/>
      <c r="AQ567" s="658"/>
      <c r="AR567" s="658"/>
      <c r="AS567" s="658"/>
      <c r="AT567" s="658"/>
      <c r="AU567" s="658"/>
      <c r="AV567" s="658"/>
      <c r="AW567" s="658"/>
      <c r="AX567" s="658"/>
      <c r="AY567" s="658"/>
      <c r="AZ567" s="658"/>
      <c r="BA567" s="658"/>
      <c r="BB567" s="658"/>
      <c r="BC567" s="658"/>
      <c r="BD567" s="658"/>
      <c r="BE567" s="658"/>
      <c r="BF567" s="658"/>
      <c r="BG567" s="658"/>
      <c r="BH567" s="592"/>
      <c r="BI567" s="592"/>
      <c r="BJ567" s="592"/>
      <c r="BK567" s="592"/>
      <c r="BL567" s="592"/>
      <c r="BM567" s="592"/>
      <c r="BN567" s="592"/>
      <c r="BO567" s="592"/>
      <c r="BP567" s="592"/>
      <c r="BQ567" s="592"/>
    </row>
    <row r="568" spans="1:69" ht="12" customHeight="1" x14ac:dyDescent="0.15">
      <c r="A568" s="592"/>
      <c r="B568" s="658"/>
      <c r="C568" s="658"/>
      <c r="D568" s="658"/>
      <c r="E568" s="658"/>
      <c r="F568" s="658"/>
      <c r="G568" s="658"/>
      <c r="H568" s="658"/>
      <c r="I568" s="658"/>
      <c r="J568" s="658"/>
      <c r="K568" s="658"/>
      <c r="L568" s="658"/>
      <c r="M568" s="658"/>
      <c r="N568" s="658"/>
      <c r="O568" s="658"/>
      <c r="P568" s="658"/>
      <c r="Q568" s="658"/>
      <c r="R568" s="658"/>
      <c r="S568" s="658"/>
      <c r="T568" s="658"/>
      <c r="U568" s="658"/>
      <c r="V568" s="658"/>
      <c r="W568" s="658"/>
      <c r="X568" s="658"/>
      <c r="Y568" s="658"/>
      <c r="Z568" s="658"/>
      <c r="AA568" s="658"/>
      <c r="AB568" s="658"/>
      <c r="AC568" s="658"/>
      <c r="AD568" s="658"/>
      <c r="AE568" s="658"/>
      <c r="AF568" s="658"/>
      <c r="AG568" s="658"/>
      <c r="AH568" s="658"/>
      <c r="AI568" s="658"/>
      <c r="AJ568" s="658"/>
      <c r="AK568" s="658"/>
      <c r="AL568" s="658"/>
      <c r="AM568" s="658"/>
      <c r="AN568" s="658"/>
      <c r="AO568" s="658"/>
      <c r="AP568" s="658"/>
      <c r="AQ568" s="658"/>
      <c r="AR568" s="658"/>
      <c r="AS568" s="658"/>
      <c r="AT568" s="658"/>
      <c r="AU568" s="658"/>
      <c r="AV568" s="658"/>
      <c r="AW568" s="658"/>
      <c r="AX568" s="658"/>
      <c r="AY568" s="658"/>
      <c r="AZ568" s="658"/>
      <c r="BA568" s="658"/>
      <c r="BB568" s="658"/>
      <c r="BC568" s="658"/>
      <c r="BD568" s="658"/>
      <c r="BE568" s="658"/>
      <c r="BF568" s="658"/>
      <c r="BG568" s="658"/>
      <c r="BH568" s="592"/>
      <c r="BI568" s="592"/>
      <c r="BJ568" s="592"/>
      <c r="BK568" s="592"/>
      <c r="BL568" s="592"/>
      <c r="BM568" s="592"/>
      <c r="BN568" s="592"/>
      <c r="BO568" s="592"/>
      <c r="BP568" s="592"/>
      <c r="BQ568" s="592"/>
    </row>
    <row r="569" spans="1:69" ht="12" customHeight="1" x14ac:dyDescent="0.15">
      <c r="A569" s="592"/>
      <c r="B569" s="658"/>
      <c r="C569" s="658"/>
      <c r="D569" s="658"/>
      <c r="E569" s="658"/>
      <c r="F569" s="658"/>
      <c r="G569" s="658"/>
      <c r="H569" s="658"/>
      <c r="I569" s="658"/>
      <c r="J569" s="658"/>
      <c r="K569" s="658"/>
      <c r="L569" s="658"/>
      <c r="M569" s="658"/>
      <c r="N569" s="658"/>
      <c r="O569" s="658"/>
      <c r="P569" s="658"/>
      <c r="Q569" s="658"/>
      <c r="R569" s="658"/>
      <c r="S569" s="658"/>
      <c r="T569" s="658"/>
      <c r="U569" s="658"/>
      <c r="V569" s="658"/>
      <c r="W569" s="658"/>
      <c r="X569" s="658"/>
      <c r="Y569" s="658"/>
      <c r="Z569" s="658"/>
      <c r="AA569" s="658"/>
      <c r="AB569" s="658"/>
      <c r="AC569" s="658"/>
      <c r="AD569" s="658"/>
      <c r="AE569" s="658"/>
      <c r="AF569" s="658"/>
      <c r="AG569" s="658"/>
      <c r="AH569" s="658"/>
      <c r="AI569" s="658"/>
      <c r="AJ569" s="658"/>
      <c r="AK569" s="658"/>
      <c r="AL569" s="658"/>
      <c r="AM569" s="658"/>
      <c r="AN569" s="658"/>
      <c r="AO569" s="658"/>
      <c r="AP569" s="658"/>
      <c r="AQ569" s="658"/>
      <c r="AR569" s="658"/>
      <c r="AS569" s="658"/>
      <c r="AT569" s="658"/>
      <c r="AU569" s="658"/>
      <c r="AV569" s="658"/>
      <c r="AW569" s="658"/>
      <c r="AX569" s="658"/>
      <c r="AY569" s="658"/>
      <c r="AZ569" s="658"/>
      <c r="BA569" s="658"/>
      <c r="BB569" s="658"/>
      <c r="BC569" s="658"/>
      <c r="BD569" s="658"/>
      <c r="BE569" s="658"/>
      <c r="BF569" s="658"/>
      <c r="BG569" s="658"/>
      <c r="BH569" s="592"/>
      <c r="BI569" s="592"/>
      <c r="BJ569" s="592"/>
      <c r="BK569" s="592"/>
      <c r="BL569" s="592"/>
      <c r="BM569" s="592"/>
      <c r="BN569" s="592"/>
      <c r="BO569" s="592"/>
      <c r="BP569" s="592"/>
      <c r="BQ569" s="592"/>
    </row>
    <row r="570" spans="1:69" ht="12" customHeight="1" x14ac:dyDescent="0.15">
      <c r="A570" s="592"/>
      <c r="B570" s="658"/>
      <c r="C570" s="658"/>
      <c r="D570" s="658"/>
      <c r="E570" s="658"/>
      <c r="F570" s="658"/>
      <c r="G570" s="658"/>
      <c r="H570" s="658"/>
      <c r="I570" s="658"/>
      <c r="J570" s="658"/>
      <c r="K570" s="658"/>
      <c r="L570" s="658"/>
      <c r="M570" s="658"/>
      <c r="N570" s="658"/>
      <c r="O570" s="658"/>
      <c r="P570" s="658"/>
      <c r="Q570" s="658"/>
      <c r="R570" s="658"/>
      <c r="S570" s="658"/>
      <c r="T570" s="658"/>
      <c r="U570" s="658"/>
      <c r="V570" s="658"/>
      <c r="W570" s="658"/>
      <c r="X570" s="658"/>
      <c r="Y570" s="658"/>
      <c r="Z570" s="658"/>
      <c r="AA570" s="658"/>
      <c r="AB570" s="658"/>
      <c r="AC570" s="658"/>
      <c r="AD570" s="658"/>
      <c r="AE570" s="658"/>
      <c r="AF570" s="658"/>
      <c r="AG570" s="658"/>
      <c r="AH570" s="658"/>
      <c r="AI570" s="658"/>
      <c r="AJ570" s="658"/>
      <c r="AK570" s="658"/>
      <c r="AL570" s="658"/>
      <c r="AM570" s="658"/>
      <c r="AN570" s="658"/>
      <c r="AO570" s="658"/>
      <c r="AP570" s="658"/>
      <c r="AQ570" s="658"/>
      <c r="AR570" s="658"/>
      <c r="AS570" s="658"/>
      <c r="AT570" s="658"/>
      <c r="AU570" s="658"/>
      <c r="AV570" s="658"/>
      <c r="AW570" s="658"/>
      <c r="AX570" s="658"/>
      <c r="AY570" s="658"/>
      <c r="AZ570" s="658"/>
      <c r="BA570" s="658"/>
      <c r="BB570" s="658"/>
      <c r="BC570" s="658"/>
      <c r="BD570" s="658"/>
      <c r="BE570" s="658"/>
      <c r="BF570" s="658"/>
      <c r="BG570" s="658"/>
      <c r="BH570" s="592"/>
      <c r="BI570" s="592"/>
      <c r="BJ570" s="592"/>
      <c r="BK570" s="592"/>
      <c r="BL570" s="592"/>
      <c r="BM570" s="592"/>
      <c r="BN570" s="592"/>
      <c r="BO570" s="592"/>
      <c r="BP570" s="592"/>
      <c r="BQ570" s="592"/>
    </row>
    <row r="571" spans="1:69" ht="12" customHeight="1" x14ac:dyDescent="0.15">
      <c r="A571" s="592"/>
      <c r="B571" s="658"/>
      <c r="C571" s="658"/>
      <c r="D571" s="658"/>
      <c r="E571" s="658"/>
      <c r="F571" s="658"/>
      <c r="G571" s="658"/>
      <c r="H571" s="658"/>
      <c r="I571" s="658"/>
      <c r="J571" s="658"/>
      <c r="K571" s="658"/>
      <c r="L571" s="658"/>
      <c r="M571" s="658"/>
      <c r="N571" s="658"/>
      <c r="O571" s="658"/>
      <c r="P571" s="658"/>
      <c r="Q571" s="658"/>
      <c r="R571" s="658"/>
      <c r="S571" s="658"/>
      <c r="T571" s="658"/>
      <c r="U571" s="658"/>
      <c r="V571" s="658"/>
      <c r="W571" s="658"/>
      <c r="X571" s="658"/>
      <c r="Y571" s="658"/>
      <c r="Z571" s="658"/>
      <c r="AA571" s="658"/>
      <c r="AB571" s="658"/>
      <c r="AC571" s="658"/>
      <c r="AD571" s="658"/>
      <c r="AE571" s="658"/>
      <c r="AF571" s="658"/>
      <c r="AG571" s="658"/>
      <c r="AH571" s="658"/>
      <c r="AI571" s="658"/>
      <c r="AJ571" s="658"/>
      <c r="AK571" s="658"/>
      <c r="AL571" s="658"/>
      <c r="AM571" s="658"/>
      <c r="AN571" s="658"/>
      <c r="AO571" s="658"/>
      <c r="AP571" s="658"/>
      <c r="AQ571" s="658"/>
      <c r="AR571" s="658"/>
      <c r="AS571" s="658"/>
      <c r="AT571" s="658"/>
      <c r="AU571" s="658"/>
      <c r="AV571" s="658"/>
      <c r="AW571" s="658"/>
      <c r="AX571" s="658"/>
      <c r="AY571" s="658"/>
      <c r="AZ571" s="658"/>
      <c r="BA571" s="658"/>
      <c r="BB571" s="658"/>
      <c r="BC571" s="658"/>
      <c r="BD571" s="658"/>
      <c r="BE571" s="658"/>
      <c r="BF571" s="658"/>
      <c r="BG571" s="658"/>
      <c r="BH571" s="592"/>
      <c r="BI571" s="592"/>
      <c r="BJ571" s="592"/>
      <c r="BK571" s="592"/>
      <c r="BL571" s="592"/>
      <c r="BM571" s="592"/>
      <c r="BN571" s="592"/>
      <c r="BO571" s="592"/>
      <c r="BP571" s="592"/>
      <c r="BQ571" s="592"/>
    </row>
    <row r="572" spans="1:69" ht="12" customHeight="1" x14ac:dyDescent="0.15">
      <c r="A572" s="592"/>
      <c r="B572" s="658"/>
      <c r="C572" s="658"/>
      <c r="D572" s="658"/>
      <c r="E572" s="658"/>
      <c r="F572" s="658"/>
      <c r="G572" s="658"/>
      <c r="H572" s="658"/>
      <c r="I572" s="658"/>
      <c r="J572" s="658"/>
      <c r="K572" s="658"/>
      <c r="L572" s="658"/>
      <c r="M572" s="658"/>
      <c r="N572" s="658"/>
      <c r="O572" s="658"/>
      <c r="P572" s="658"/>
      <c r="Q572" s="658"/>
      <c r="R572" s="658"/>
      <c r="S572" s="658"/>
      <c r="T572" s="658"/>
      <c r="U572" s="658"/>
      <c r="V572" s="658"/>
      <c r="W572" s="658"/>
      <c r="X572" s="658"/>
      <c r="Y572" s="658"/>
      <c r="Z572" s="658"/>
      <c r="AA572" s="658"/>
      <c r="AB572" s="658"/>
      <c r="AC572" s="658"/>
      <c r="AD572" s="658"/>
      <c r="AE572" s="658"/>
      <c r="AF572" s="658"/>
      <c r="AG572" s="658"/>
      <c r="AH572" s="658"/>
      <c r="AI572" s="658"/>
      <c r="AJ572" s="658"/>
      <c r="AK572" s="658"/>
      <c r="AL572" s="658"/>
      <c r="AM572" s="658"/>
      <c r="AN572" s="658"/>
      <c r="AO572" s="658"/>
      <c r="AP572" s="658"/>
      <c r="AQ572" s="658"/>
      <c r="AR572" s="658"/>
      <c r="AS572" s="658"/>
      <c r="AT572" s="658"/>
      <c r="AU572" s="658"/>
      <c r="AV572" s="658"/>
      <c r="AW572" s="658"/>
      <c r="AX572" s="658"/>
      <c r="AY572" s="658"/>
      <c r="AZ572" s="658"/>
      <c r="BA572" s="658"/>
      <c r="BB572" s="658"/>
      <c r="BC572" s="658"/>
      <c r="BD572" s="658"/>
      <c r="BE572" s="658"/>
      <c r="BF572" s="658"/>
      <c r="BG572" s="658"/>
      <c r="BH572" s="592"/>
      <c r="BI572" s="592"/>
      <c r="BJ572" s="592"/>
      <c r="BK572" s="592"/>
      <c r="BL572" s="592"/>
      <c r="BM572" s="592"/>
      <c r="BN572" s="592"/>
      <c r="BO572" s="592"/>
      <c r="BP572" s="592"/>
      <c r="BQ572" s="592"/>
    </row>
    <row r="573" spans="1:69" ht="12" customHeight="1" x14ac:dyDescent="0.15">
      <c r="A573" s="592"/>
      <c r="B573" s="658"/>
      <c r="C573" s="658"/>
      <c r="D573" s="658"/>
      <c r="E573" s="658"/>
      <c r="F573" s="658"/>
      <c r="G573" s="658"/>
      <c r="H573" s="658"/>
      <c r="I573" s="658"/>
      <c r="J573" s="658"/>
      <c r="K573" s="658"/>
      <c r="L573" s="658"/>
      <c r="M573" s="658"/>
      <c r="N573" s="658"/>
      <c r="O573" s="658"/>
      <c r="P573" s="658"/>
      <c r="Q573" s="658"/>
      <c r="R573" s="658"/>
      <c r="S573" s="658"/>
      <c r="T573" s="658"/>
      <c r="U573" s="658"/>
      <c r="V573" s="658"/>
      <c r="W573" s="658"/>
      <c r="X573" s="658"/>
      <c r="Y573" s="658"/>
      <c r="Z573" s="658"/>
      <c r="AA573" s="658"/>
      <c r="AB573" s="658"/>
      <c r="AC573" s="658"/>
      <c r="AD573" s="658"/>
      <c r="AE573" s="658"/>
      <c r="AF573" s="658"/>
      <c r="AG573" s="658"/>
      <c r="AH573" s="658"/>
      <c r="AI573" s="658"/>
      <c r="AJ573" s="658"/>
      <c r="AK573" s="658"/>
      <c r="AL573" s="658"/>
      <c r="AM573" s="658"/>
      <c r="AN573" s="658"/>
      <c r="AO573" s="658"/>
      <c r="AP573" s="658"/>
      <c r="AQ573" s="658"/>
      <c r="AR573" s="658"/>
      <c r="AS573" s="658"/>
      <c r="AT573" s="658"/>
      <c r="AU573" s="658"/>
      <c r="AV573" s="658"/>
      <c r="AW573" s="658"/>
      <c r="AX573" s="658"/>
      <c r="AY573" s="658"/>
      <c r="AZ573" s="658"/>
      <c r="BA573" s="658"/>
      <c r="BB573" s="658"/>
      <c r="BC573" s="658"/>
      <c r="BD573" s="658"/>
      <c r="BE573" s="658"/>
      <c r="BF573" s="658"/>
      <c r="BG573" s="658"/>
      <c r="BH573" s="592"/>
      <c r="BI573" s="592"/>
      <c r="BJ573" s="592"/>
      <c r="BK573" s="592"/>
      <c r="BL573" s="592"/>
      <c r="BM573" s="592"/>
      <c r="BN573" s="592"/>
      <c r="BO573" s="592"/>
      <c r="BP573" s="592"/>
      <c r="BQ573" s="592"/>
    </row>
    <row r="574" spans="1:69" ht="12" customHeight="1" x14ac:dyDescent="0.15">
      <c r="A574" s="592"/>
      <c r="B574" s="658"/>
      <c r="C574" s="658"/>
      <c r="D574" s="658"/>
      <c r="E574" s="658"/>
      <c r="F574" s="658"/>
      <c r="G574" s="658"/>
      <c r="H574" s="658"/>
      <c r="I574" s="658"/>
      <c r="J574" s="658"/>
      <c r="K574" s="658"/>
      <c r="L574" s="658"/>
      <c r="M574" s="658"/>
      <c r="N574" s="658"/>
      <c r="O574" s="658"/>
      <c r="P574" s="658"/>
      <c r="Q574" s="658"/>
      <c r="R574" s="658"/>
      <c r="S574" s="658"/>
      <c r="T574" s="658"/>
      <c r="U574" s="658"/>
      <c r="V574" s="658"/>
      <c r="W574" s="658"/>
      <c r="X574" s="658"/>
      <c r="Y574" s="658"/>
      <c r="Z574" s="658"/>
      <c r="AA574" s="658"/>
      <c r="AB574" s="658"/>
      <c r="AC574" s="658"/>
      <c r="AD574" s="658"/>
      <c r="AE574" s="658"/>
      <c r="AF574" s="658"/>
      <c r="AG574" s="658"/>
      <c r="AH574" s="658"/>
      <c r="AI574" s="658"/>
      <c r="AJ574" s="658"/>
      <c r="AK574" s="658"/>
      <c r="AL574" s="658"/>
      <c r="AM574" s="658"/>
      <c r="AN574" s="658"/>
      <c r="AO574" s="658"/>
      <c r="AP574" s="658"/>
      <c r="AQ574" s="658"/>
      <c r="AR574" s="658"/>
      <c r="AS574" s="658"/>
      <c r="AT574" s="658"/>
      <c r="AU574" s="658"/>
      <c r="AV574" s="658"/>
      <c r="AW574" s="658"/>
      <c r="AX574" s="658"/>
      <c r="AY574" s="658"/>
      <c r="AZ574" s="658"/>
      <c r="BA574" s="658"/>
      <c r="BB574" s="658"/>
      <c r="BC574" s="658"/>
      <c r="BD574" s="658"/>
      <c r="BE574" s="658"/>
      <c r="BF574" s="658"/>
      <c r="BG574" s="658"/>
      <c r="BH574" s="592"/>
      <c r="BI574" s="592"/>
      <c r="BJ574" s="592"/>
      <c r="BK574" s="592"/>
      <c r="BL574" s="592"/>
      <c r="BM574" s="592"/>
      <c r="BN574" s="592"/>
      <c r="BO574" s="592"/>
      <c r="BP574" s="592"/>
      <c r="BQ574" s="592"/>
    </row>
    <row r="575" spans="1:69" ht="12" customHeight="1" x14ac:dyDescent="0.15">
      <c r="A575" s="592"/>
      <c r="B575" s="658"/>
      <c r="C575" s="658"/>
      <c r="D575" s="658"/>
      <c r="E575" s="658"/>
      <c r="F575" s="658"/>
      <c r="G575" s="658"/>
      <c r="H575" s="658"/>
      <c r="I575" s="658"/>
      <c r="J575" s="658"/>
      <c r="K575" s="658"/>
      <c r="L575" s="658"/>
      <c r="M575" s="658"/>
      <c r="N575" s="658"/>
      <c r="O575" s="658"/>
      <c r="P575" s="658"/>
      <c r="Q575" s="658"/>
      <c r="R575" s="658"/>
      <c r="S575" s="658"/>
      <c r="T575" s="658"/>
      <c r="U575" s="658"/>
      <c r="V575" s="658"/>
      <c r="W575" s="658"/>
      <c r="X575" s="658"/>
      <c r="Y575" s="658"/>
      <c r="Z575" s="658"/>
      <c r="AA575" s="658"/>
      <c r="AB575" s="658"/>
      <c r="AC575" s="658"/>
      <c r="AD575" s="658"/>
      <c r="AE575" s="658"/>
      <c r="AF575" s="658"/>
      <c r="AG575" s="658"/>
      <c r="AH575" s="658"/>
      <c r="AI575" s="658"/>
      <c r="AJ575" s="658"/>
      <c r="AK575" s="658"/>
      <c r="AL575" s="658"/>
      <c r="AM575" s="658"/>
      <c r="AN575" s="658"/>
      <c r="AO575" s="658"/>
      <c r="AP575" s="658"/>
      <c r="AQ575" s="658"/>
      <c r="AR575" s="658"/>
      <c r="AS575" s="658"/>
      <c r="AT575" s="658"/>
      <c r="AU575" s="658"/>
      <c r="AV575" s="658"/>
      <c r="AW575" s="658"/>
      <c r="AX575" s="658"/>
      <c r="AY575" s="658"/>
      <c r="AZ575" s="658"/>
      <c r="BA575" s="658"/>
      <c r="BB575" s="658"/>
      <c r="BC575" s="658"/>
      <c r="BD575" s="658"/>
      <c r="BE575" s="658"/>
      <c r="BF575" s="658"/>
      <c r="BG575" s="658"/>
      <c r="BH575" s="592"/>
      <c r="BI575" s="592"/>
      <c r="BJ575" s="592"/>
      <c r="BK575" s="592"/>
      <c r="BL575" s="592"/>
      <c r="BM575" s="592"/>
      <c r="BN575" s="592"/>
      <c r="BO575" s="592"/>
      <c r="BP575" s="592"/>
      <c r="BQ575" s="592"/>
    </row>
    <row r="576" spans="1:69" ht="12" customHeight="1" x14ac:dyDescent="0.15">
      <c r="A576" s="592"/>
      <c r="B576" s="658"/>
      <c r="C576" s="658"/>
      <c r="D576" s="658"/>
      <c r="E576" s="658"/>
      <c r="F576" s="658"/>
      <c r="G576" s="658"/>
      <c r="H576" s="658"/>
      <c r="I576" s="658"/>
      <c r="J576" s="658"/>
      <c r="K576" s="658"/>
      <c r="L576" s="658"/>
      <c r="M576" s="658"/>
      <c r="N576" s="658"/>
      <c r="O576" s="658"/>
      <c r="P576" s="658"/>
      <c r="Q576" s="658"/>
      <c r="R576" s="658"/>
      <c r="S576" s="658"/>
      <c r="T576" s="658"/>
      <c r="U576" s="658"/>
      <c r="V576" s="658"/>
      <c r="W576" s="658"/>
      <c r="X576" s="658"/>
      <c r="Y576" s="658"/>
      <c r="Z576" s="658"/>
      <c r="AA576" s="658"/>
      <c r="AB576" s="658"/>
      <c r="AC576" s="658"/>
      <c r="AD576" s="658"/>
      <c r="AE576" s="658"/>
      <c r="AF576" s="658"/>
      <c r="AG576" s="658"/>
      <c r="AH576" s="658"/>
      <c r="AI576" s="658"/>
      <c r="AJ576" s="658"/>
      <c r="AK576" s="658"/>
      <c r="AL576" s="658"/>
      <c r="AM576" s="658"/>
      <c r="AN576" s="658"/>
      <c r="AO576" s="658"/>
      <c r="AP576" s="658"/>
      <c r="AQ576" s="658"/>
      <c r="AR576" s="658"/>
      <c r="AS576" s="658"/>
      <c r="AT576" s="658"/>
      <c r="AU576" s="658"/>
      <c r="AV576" s="658"/>
      <c r="AW576" s="658"/>
      <c r="AX576" s="658"/>
      <c r="AY576" s="658"/>
      <c r="AZ576" s="658"/>
      <c r="BA576" s="658"/>
      <c r="BB576" s="658"/>
      <c r="BC576" s="658"/>
      <c r="BD576" s="658"/>
      <c r="BE576" s="658"/>
      <c r="BF576" s="658"/>
      <c r="BG576" s="658"/>
      <c r="BH576" s="592"/>
      <c r="BI576" s="592"/>
      <c r="BJ576" s="592"/>
      <c r="BK576" s="592"/>
      <c r="BL576" s="592"/>
      <c r="BM576" s="592"/>
      <c r="BN576" s="592"/>
      <c r="BO576" s="592"/>
      <c r="BP576" s="592"/>
      <c r="BQ576" s="592"/>
    </row>
    <row r="577" spans="1:69" ht="12" customHeight="1" x14ac:dyDescent="0.15">
      <c r="A577" s="592"/>
      <c r="B577" s="658"/>
      <c r="C577" s="658"/>
      <c r="D577" s="658"/>
      <c r="E577" s="658"/>
      <c r="F577" s="658"/>
      <c r="G577" s="658"/>
      <c r="H577" s="658"/>
      <c r="I577" s="658"/>
      <c r="J577" s="658"/>
      <c r="K577" s="658"/>
      <c r="L577" s="658"/>
      <c r="M577" s="658"/>
      <c r="N577" s="658"/>
      <c r="O577" s="658"/>
      <c r="P577" s="658"/>
      <c r="Q577" s="658"/>
      <c r="R577" s="658"/>
      <c r="S577" s="658"/>
      <c r="T577" s="658"/>
      <c r="U577" s="658"/>
      <c r="V577" s="658"/>
      <c r="W577" s="658"/>
      <c r="X577" s="658"/>
      <c r="Y577" s="658"/>
      <c r="Z577" s="658"/>
      <c r="AA577" s="658"/>
      <c r="AB577" s="658"/>
      <c r="AC577" s="658"/>
      <c r="AD577" s="658"/>
      <c r="AE577" s="658"/>
      <c r="AF577" s="658"/>
      <c r="AG577" s="658"/>
      <c r="AH577" s="658"/>
      <c r="AI577" s="658"/>
      <c r="AJ577" s="658"/>
      <c r="AK577" s="658"/>
      <c r="AL577" s="658"/>
      <c r="AM577" s="658"/>
      <c r="AN577" s="658"/>
      <c r="AO577" s="658"/>
      <c r="AP577" s="658"/>
      <c r="AQ577" s="658"/>
      <c r="AR577" s="658"/>
      <c r="AS577" s="658"/>
      <c r="AT577" s="658"/>
      <c r="AU577" s="658"/>
      <c r="AV577" s="658"/>
      <c r="AW577" s="658"/>
      <c r="AX577" s="658"/>
      <c r="AY577" s="658"/>
      <c r="AZ577" s="658"/>
      <c r="BA577" s="658"/>
      <c r="BB577" s="658"/>
      <c r="BC577" s="658"/>
      <c r="BD577" s="658"/>
      <c r="BE577" s="658"/>
      <c r="BF577" s="658"/>
      <c r="BG577" s="658"/>
      <c r="BH577" s="592"/>
      <c r="BI577" s="592"/>
      <c r="BJ577" s="592"/>
      <c r="BK577" s="592"/>
      <c r="BL577" s="592"/>
      <c r="BM577" s="592"/>
      <c r="BN577" s="592"/>
      <c r="BO577" s="592"/>
      <c r="BP577" s="592"/>
      <c r="BQ577" s="592"/>
    </row>
    <row r="578" spans="1:69" ht="12" customHeight="1" x14ac:dyDescent="0.15">
      <c r="A578" s="592"/>
      <c r="B578" s="658"/>
      <c r="C578" s="658"/>
      <c r="D578" s="658"/>
      <c r="E578" s="658"/>
      <c r="F578" s="658"/>
      <c r="G578" s="658"/>
      <c r="H578" s="658"/>
      <c r="I578" s="658"/>
      <c r="J578" s="658"/>
      <c r="K578" s="658"/>
      <c r="L578" s="658"/>
      <c r="M578" s="658"/>
      <c r="N578" s="658"/>
      <c r="O578" s="658"/>
      <c r="P578" s="658"/>
      <c r="Q578" s="658"/>
      <c r="R578" s="658"/>
      <c r="S578" s="658"/>
      <c r="T578" s="658"/>
      <c r="U578" s="658"/>
      <c r="V578" s="658"/>
      <c r="W578" s="658"/>
      <c r="X578" s="658"/>
      <c r="Y578" s="658"/>
      <c r="Z578" s="658"/>
      <c r="AA578" s="658"/>
      <c r="AB578" s="658"/>
      <c r="AC578" s="658"/>
      <c r="AD578" s="658"/>
      <c r="AE578" s="658"/>
      <c r="AF578" s="658"/>
      <c r="AG578" s="658"/>
      <c r="AH578" s="658"/>
      <c r="AI578" s="658"/>
      <c r="AJ578" s="658"/>
      <c r="AK578" s="658"/>
      <c r="AL578" s="658"/>
      <c r="AM578" s="658"/>
      <c r="AN578" s="658"/>
      <c r="AO578" s="658"/>
      <c r="AP578" s="658"/>
      <c r="AQ578" s="658"/>
      <c r="AR578" s="658"/>
      <c r="AS578" s="658"/>
      <c r="AT578" s="658"/>
      <c r="AU578" s="658"/>
      <c r="AV578" s="658"/>
      <c r="AW578" s="658"/>
      <c r="AX578" s="658"/>
      <c r="AY578" s="658"/>
      <c r="AZ578" s="658"/>
      <c r="BA578" s="658"/>
      <c r="BB578" s="658"/>
      <c r="BC578" s="658"/>
      <c r="BD578" s="658"/>
      <c r="BE578" s="658"/>
      <c r="BF578" s="658"/>
      <c r="BG578" s="658"/>
      <c r="BH578" s="592"/>
      <c r="BI578" s="592"/>
      <c r="BJ578" s="592"/>
      <c r="BK578" s="592"/>
      <c r="BL578" s="592"/>
      <c r="BM578" s="592"/>
      <c r="BN578" s="592"/>
      <c r="BO578" s="592"/>
      <c r="BP578" s="592"/>
      <c r="BQ578" s="592"/>
    </row>
    <row r="579" spans="1:69" ht="12" customHeight="1" x14ac:dyDescent="0.15">
      <c r="A579" s="592"/>
      <c r="B579" s="658"/>
      <c r="C579" s="658"/>
      <c r="D579" s="658"/>
      <c r="E579" s="658"/>
      <c r="F579" s="658"/>
      <c r="G579" s="658"/>
      <c r="H579" s="658"/>
      <c r="I579" s="658"/>
      <c r="J579" s="658"/>
      <c r="K579" s="658"/>
      <c r="L579" s="658"/>
      <c r="M579" s="658"/>
      <c r="N579" s="658"/>
      <c r="O579" s="658"/>
      <c r="P579" s="658"/>
      <c r="Q579" s="658"/>
      <c r="R579" s="658"/>
      <c r="S579" s="658"/>
      <c r="T579" s="658"/>
      <c r="U579" s="658"/>
      <c r="V579" s="658"/>
      <c r="W579" s="658"/>
      <c r="X579" s="658"/>
      <c r="Y579" s="658"/>
      <c r="Z579" s="658"/>
      <c r="AA579" s="658"/>
      <c r="AB579" s="658"/>
      <c r="AC579" s="658"/>
      <c r="AD579" s="658"/>
      <c r="AE579" s="658"/>
      <c r="AF579" s="658"/>
      <c r="AG579" s="658"/>
      <c r="AH579" s="658"/>
      <c r="AI579" s="658"/>
      <c r="AJ579" s="658"/>
      <c r="AK579" s="658"/>
      <c r="AL579" s="658"/>
      <c r="AM579" s="658"/>
      <c r="AN579" s="658"/>
      <c r="AO579" s="658"/>
      <c r="AP579" s="658"/>
      <c r="AQ579" s="658"/>
      <c r="AR579" s="658"/>
      <c r="AS579" s="658"/>
      <c r="AT579" s="658"/>
      <c r="AU579" s="658"/>
      <c r="AV579" s="658"/>
      <c r="AW579" s="658"/>
      <c r="AX579" s="658"/>
      <c r="AY579" s="658"/>
      <c r="AZ579" s="658"/>
      <c r="BA579" s="658"/>
      <c r="BB579" s="658"/>
      <c r="BC579" s="658"/>
      <c r="BD579" s="658"/>
      <c r="BE579" s="658"/>
      <c r="BF579" s="658"/>
      <c r="BG579" s="658"/>
      <c r="BH579" s="592"/>
      <c r="BI579" s="592"/>
      <c r="BJ579" s="592"/>
      <c r="BK579" s="592"/>
      <c r="BL579" s="592"/>
      <c r="BM579" s="592"/>
      <c r="BN579" s="592"/>
      <c r="BO579" s="592"/>
      <c r="BP579" s="592"/>
      <c r="BQ579" s="592"/>
    </row>
    <row r="580" spans="1:69" ht="12" customHeight="1" x14ac:dyDescent="0.15">
      <c r="A580" s="592"/>
      <c r="B580" s="658"/>
      <c r="C580" s="658"/>
      <c r="D580" s="658"/>
      <c r="E580" s="658"/>
      <c r="F580" s="658"/>
      <c r="G580" s="658"/>
      <c r="H580" s="658"/>
      <c r="I580" s="658"/>
      <c r="J580" s="658"/>
      <c r="K580" s="658"/>
      <c r="L580" s="658"/>
      <c r="M580" s="658"/>
      <c r="N580" s="658"/>
      <c r="O580" s="658"/>
      <c r="P580" s="658"/>
      <c r="Q580" s="658"/>
      <c r="R580" s="658"/>
      <c r="S580" s="658"/>
      <c r="T580" s="658"/>
      <c r="U580" s="658"/>
      <c r="V580" s="658"/>
      <c r="W580" s="658"/>
      <c r="X580" s="658"/>
      <c r="Y580" s="658"/>
      <c r="Z580" s="658"/>
      <c r="AA580" s="658"/>
      <c r="AB580" s="658"/>
      <c r="AC580" s="658"/>
      <c r="AD580" s="658"/>
      <c r="AE580" s="658"/>
      <c r="AF580" s="658"/>
      <c r="AG580" s="658"/>
      <c r="AH580" s="658"/>
      <c r="AI580" s="658"/>
      <c r="AJ580" s="658"/>
      <c r="AK580" s="658"/>
      <c r="AL580" s="658"/>
      <c r="AM580" s="658"/>
      <c r="AN580" s="658"/>
      <c r="AO580" s="658"/>
      <c r="AP580" s="658"/>
      <c r="AQ580" s="658"/>
      <c r="AR580" s="658"/>
      <c r="AS580" s="658"/>
      <c r="AT580" s="658"/>
      <c r="AU580" s="658"/>
      <c r="AV580" s="658"/>
      <c r="AW580" s="658"/>
      <c r="AX580" s="658"/>
      <c r="AY580" s="658"/>
      <c r="AZ580" s="658"/>
      <c r="BA580" s="658"/>
      <c r="BB580" s="658"/>
      <c r="BC580" s="658"/>
      <c r="BD580" s="658"/>
      <c r="BE580" s="658"/>
      <c r="BF580" s="658"/>
      <c r="BG580" s="658"/>
      <c r="BH580" s="592"/>
      <c r="BI580" s="592"/>
      <c r="BJ580" s="592"/>
      <c r="BK580" s="592"/>
      <c r="BL580" s="592"/>
      <c r="BM580" s="592"/>
      <c r="BN580" s="592"/>
      <c r="BO580" s="592"/>
      <c r="BP580" s="592"/>
      <c r="BQ580" s="592"/>
    </row>
    <row r="581" spans="1:69" ht="12" customHeight="1" x14ac:dyDescent="0.15">
      <c r="A581" s="592"/>
      <c r="B581" s="658"/>
      <c r="C581" s="658"/>
      <c r="D581" s="658"/>
      <c r="E581" s="658"/>
      <c r="F581" s="658"/>
      <c r="G581" s="658"/>
      <c r="H581" s="658"/>
      <c r="I581" s="658"/>
      <c r="J581" s="658"/>
      <c r="K581" s="658"/>
      <c r="L581" s="658"/>
      <c r="M581" s="658"/>
      <c r="N581" s="658"/>
      <c r="O581" s="658"/>
      <c r="P581" s="658"/>
      <c r="Q581" s="658"/>
      <c r="R581" s="658"/>
      <c r="S581" s="658"/>
      <c r="T581" s="658"/>
      <c r="U581" s="658"/>
      <c r="V581" s="658"/>
      <c r="W581" s="658"/>
      <c r="X581" s="658"/>
      <c r="Y581" s="658"/>
      <c r="Z581" s="658"/>
      <c r="AA581" s="658"/>
      <c r="AB581" s="658"/>
      <c r="AC581" s="658"/>
      <c r="AD581" s="658"/>
      <c r="AE581" s="658"/>
      <c r="AF581" s="658"/>
      <c r="AG581" s="658"/>
      <c r="AH581" s="658"/>
      <c r="AI581" s="658"/>
      <c r="AJ581" s="658"/>
      <c r="AK581" s="658"/>
      <c r="AL581" s="658"/>
      <c r="AM581" s="658"/>
      <c r="AN581" s="658"/>
      <c r="AO581" s="658"/>
      <c r="AP581" s="658"/>
      <c r="AQ581" s="658"/>
      <c r="AR581" s="658"/>
      <c r="AS581" s="658"/>
      <c r="AT581" s="658"/>
      <c r="AU581" s="658"/>
      <c r="AV581" s="658"/>
      <c r="AW581" s="658"/>
      <c r="AX581" s="658"/>
      <c r="AY581" s="658"/>
      <c r="AZ581" s="658"/>
      <c r="BA581" s="658"/>
      <c r="BB581" s="658"/>
      <c r="BC581" s="658"/>
      <c r="BD581" s="658"/>
      <c r="BE581" s="658"/>
      <c r="BF581" s="658"/>
      <c r="BG581" s="658"/>
      <c r="BH581" s="592"/>
      <c r="BI581" s="592"/>
      <c r="BJ581" s="592"/>
      <c r="BK581" s="592"/>
      <c r="BL581" s="592"/>
      <c r="BM581" s="592"/>
      <c r="BN581" s="592"/>
      <c r="BO581" s="592"/>
      <c r="BP581" s="592"/>
      <c r="BQ581" s="592"/>
    </row>
    <row r="582" spans="1:69" ht="12" customHeight="1" x14ac:dyDescent="0.15">
      <c r="A582" s="592"/>
      <c r="B582" s="658"/>
      <c r="C582" s="658"/>
      <c r="D582" s="658"/>
      <c r="E582" s="658"/>
      <c r="F582" s="658"/>
      <c r="G582" s="658"/>
      <c r="H582" s="658"/>
      <c r="I582" s="658"/>
      <c r="J582" s="658"/>
      <c r="K582" s="658"/>
      <c r="L582" s="658"/>
      <c r="M582" s="658"/>
      <c r="N582" s="658"/>
      <c r="O582" s="658"/>
      <c r="P582" s="658"/>
      <c r="Q582" s="658"/>
      <c r="R582" s="658"/>
      <c r="S582" s="658"/>
      <c r="T582" s="658"/>
      <c r="U582" s="658"/>
      <c r="V582" s="658"/>
      <c r="W582" s="658"/>
      <c r="X582" s="658"/>
      <c r="Y582" s="658"/>
      <c r="Z582" s="658"/>
      <c r="AA582" s="658"/>
      <c r="AB582" s="658"/>
      <c r="AC582" s="658"/>
      <c r="AD582" s="658"/>
      <c r="AE582" s="658"/>
      <c r="AF582" s="658"/>
      <c r="AG582" s="658"/>
      <c r="AH582" s="658"/>
      <c r="AI582" s="658"/>
      <c r="AJ582" s="658"/>
      <c r="AK582" s="658"/>
      <c r="AL582" s="658"/>
      <c r="AM582" s="658"/>
      <c r="AN582" s="658"/>
      <c r="AO582" s="658"/>
      <c r="AP582" s="658"/>
      <c r="AQ582" s="658"/>
      <c r="AR582" s="658"/>
      <c r="AS582" s="658"/>
      <c r="AT582" s="658"/>
      <c r="AU582" s="658"/>
      <c r="AV582" s="658"/>
      <c r="AW582" s="658"/>
      <c r="AX582" s="658"/>
      <c r="AY582" s="658"/>
      <c r="AZ582" s="658"/>
      <c r="BA582" s="658"/>
      <c r="BB582" s="658"/>
      <c r="BC582" s="658"/>
      <c r="BD582" s="658"/>
      <c r="BE582" s="658"/>
      <c r="BF582" s="658"/>
      <c r="BG582" s="658"/>
      <c r="BH582" s="592"/>
      <c r="BI582" s="592"/>
      <c r="BJ582" s="592"/>
      <c r="BK582" s="592"/>
      <c r="BL582" s="592"/>
      <c r="BM582" s="592"/>
      <c r="BN582" s="592"/>
      <c r="BO582" s="592"/>
      <c r="BP582" s="592"/>
      <c r="BQ582" s="592"/>
    </row>
    <row r="583" spans="1:69" ht="12" customHeight="1" x14ac:dyDescent="0.15">
      <c r="A583" s="592"/>
      <c r="B583" s="658"/>
      <c r="C583" s="658"/>
      <c r="D583" s="658"/>
      <c r="E583" s="658"/>
      <c r="F583" s="658"/>
      <c r="G583" s="658"/>
      <c r="H583" s="658"/>
      <c r="I583" s="658"/>
      <c r="J583" s="658"/>
      <c r="K583" s="658"/>
      <c r="L583" s="658"/>
      <c r="M583" s="658"/>
      <c r="N583" s="658"/>
      <c r="O583" s="658"/>
      <c r="P583" s="658"/>
      <c r="Q583" s="658"/>
      <c r="R583" s="658"/>
      <c r="S583" s="658"/>
      <c r="T583" s="658"/>
      <c r="U583" s="658"/>
      <c r="V583" s="658"/>
      <c r="W583" s="658"/>
      <c r="X583" s="658"/>
      <c r="Y583" s="658"/>
      <c r="Z583" s="658"/>
      <c r="AA583" s="658"/>
      <c r="AB583" s="658"/>
      <c r="AC583" s="658"/>
      <c r="AD583" s="658"/>
      <c r="AE583" s="658"/>
      <c r="AF583" s="658"/>
      <c r="AG583" s="658"/>
      <c r="AH583" s="658"/>
      <c r="AI583" s="658"/>
      <c r="AJ583" s="658"/>
      <c r="AK583" s="658"/>
      <c r="AL583" s="658"/>
      <c r="AM583" s="658"/>
      <c r="AN583" s="658"/>
      <c r="AO583" s="658"/>
      <c r="AP583" s="658"/>
      <c r="AQ583" s="658"/>
      <c r="AR583" s="658"/>
      <c r="AS583" s="658"/>
      <c r="AT583" s="658"/>
      <c r="AU583" s="658"/>
      <c r="AV583" s="658"/>
      <c r="AW583" s="658"/>
      <c r="AX583" s="658"/>
      <c r="AY583" s="658"/>
      <c r="AZ583" s="658"/>
      <c r="BA583" s="658"/>
      <c r="BB583" s="658"/>
      <c r="BC583" s="658"/>
      <c r="BD583" s="658"/>
      <c r="BE583" s="658"/>
      <c r="BF583" s="658"/>
      <c r="BG583" s="658"/>
      <c r="BH583" s="592"/>
      <c r="BI583" s="592"/>
      <c r="BJ583" s="592"/>
      <c r="BK583" s="592"/>
      <c r="BL583" s="592"/>
      <c r="BM583" s="592"/>
      <c r="BN583" s="592"/>
      <c r="BO583" s="592"/>
      <c r="BP583" s="592"/>
      <c r="BQ583" s="592"/>
    </row>
    <row r="584" spans="1:69" ht="12" customHeight="1" x14ac:dyDescent="0.15">
      <c r="A584" s="592"/>
      <c r="B584" s="658"/>
      <c r="C584" s="658"/>
      <c r="D584" s="658"/>
      <c r="E584" s="658"/>
      <c r="F584" s="658"/>
      <c r="G584" s="658"/>
      <c r="H584" s="658"/>
      <c r="I584" s="658"/>
      <c r="J584" s="658"/>
      <c r="K584" s="658"/>
      <c r="L584" s="658"/>
      <c r="M584" s="658"/>
      <c r="N584" s="658"/>
      <c r="O584" s="658"/>
      <c r="P584" s="658"/>
      <c r="Q584" s="658"/>
      <c r="R584" s="658"/>
      <c r="S584" s="658"/>
      <c r="T584" s="658"/>
      <c r="U584" s="658"/>
      <c r="V584" s="658"/>
      <c r="W584" s="658"/>
      <c r="X584" s="658"/>
      <c r="Y584" s="658"/>
      <c r="Z584" s="658"/>
      <c r="AA584" s="658"/>
      <c r="AB584" s="658"/>
      <c r="AC584" s="658"/>
      <c r="AD584" s="658"/>
      <c r="AE584" s="658"/>
      <c r="AF584" s="658"/>
      <c r="AG584" s="658"/>
      <c r="AH584" s="658"/>
      <c r="AI584" s="658"/>
      <c r="AJ584" s="658"/>
      <c r="AK584" s="658"/>
      <c r="AL584" s="658"/>
      <c r="AM584" s="658"/>
      <c r="AN584" s="658"/>
      <c r="AO584" s="658"/>
      <c r="AP584" s="658"/>
      <c r="AQ584" s="658"/>
      <c r="AR584" s="658"/>
      <c r="AS584" s="658"/>
      <c r="AT584" s="658"/>
      <c r="AU584" s="658"/>
      <c r="AV584" s="658"/>
      <c r="AW584" s="658"/>
      <c r="AX584" s="658"/>
      <c r="AY584" s="658"/>
      <c r="AZ584" s="658"/>
      <c r="BA584" s="658"/>
      <c r="BB584" s="658"/>
      <c r="BC584" s="658"/>
      <c r="BD584" s="658"/>
      <c r="BE584" s="658"/>
      <c r="BF584" s="658"/>
      <c r="BG584" s="658"/>
      <c r="BH584" s="592"/>
      <c r="BI584" s="592"/>
      <c r="BJ584" s="592"/>
      <c r="BK584" s="592"/>
      <c r="BL584" s="592"/>
      <c r="BM584" s="592"/>
      <c r="BN584" s="592"/>
      <c r="BO584" s="592"/>
      <c r="BP584" s="592"/>
      <c r="BQ584" s="592"/>
    </row>
    <row r="585" spans="1:69" ht="12" customHeight="1" x14ac:dyDescent="0.15">
      <c r="A585" s="592"/>
      <c r="B585" s="658"/>
      <c r="C585" s="658"/>
      <c r="D585" s="658"/>
      <c r="E585" s="658"/>
      <c r="F585" s="658"/>
      <c r="G585" s="658"/>
      <c r="H585" s="658"/>
      <c r="I585" s="658"/>
      <c r="J585" s="658"/>
      <c r="K585" s="658"/>
      <c r="L585" s="658"/>
      <c r="M585" s="658"/>
      <c r="N585" s="658"/>
      <c r="O585" s="658"/>
      <c r="P585" s="658"/>
      <c r="Q585" s="658"/>
      <c r="R585" s="658"/>
      <c r="S585" s="658"/>
      <c r="T585" s="658"/>
      <c r="U585" s="658"/>
      <c r="V585" s="658"/>
      <c r="W585" s="658"/>
      <c r="X585" s="658"/>
      <c r="Y585" s="658"/>
      <c r="Z585" s="658"/>
      <c r="AA585" s="658"/>
      <c r="AB585" s="658"/>
      <c r="AC585" s="658"/>
      <c r="AD585" s="658"/>
      <c r="AE585" s="658"/>
      <c r="AF585" s="658"/>
      <c r="AG585" s="658"/>
      <c r="AH585" s="658"/>
      <c r="AI585" s="658"/>
      <c r="AJ585" s="658"/>
      <c r="AK585" s="658"/>
      <c r="AL585" s="658"/>
      <c r="AM585" s="658"/>
      <c r="AN585" s="658"/>
      <c r="AO585" s="658"/>
      <c r="AP585" s="658"/>
      <c r="AQ585" s="658"/>
      <c r="AR585" s="658"/>
      <c r="AS585" s="658"/>
      <c r="AT585" s="658"/>
      <c r="AU585" s="658"/>
      <c r="AV585" s="658"/>
      <c r="AW585" s="658"/>
      <c r="AX585" s="658"/>
      <c r="AY585" s="658"/>
      <c r="AZ585" s="658"/>
      <c r="BA585" s="658"/>
      <c r="BB585" s="658"/>
      <c r="BC585" s="658"/>
      <c r="BD585" s="658"/>
      <c r="BE585" s="658"/>
      <c r="BF585" s="658"/>
      <c r="BG585" s="658"/>
      <c r="BH585" s="592"/>
      <c r="BI585" s="592"/>
      <c r="BJ585" s="592"/>
      <c r="BK585" s="592"/>
      <c r="BL585" s="592"/>
      <c r="BM585" s="592"/>
      <c r="BN585" s="592"/>
      <c r="BO585" s="592"/>
      <c r="BP585" s="592"/>
      <c r="BQ585" s="592"/>
    </row>
    <row r="586" spans="1:69" ht="12" customHeight="1" x14ac:dyDescent="0.15">
      <c r="A586" s="592"/>
      <c r="B586" s="658"/>
      <c r="C586" s="658"/>
      <c r="D586" s="658"/>
      <c r="E586" s="658"/>
      <c r="F586" s="658"/>
      <c r="G586" s="658"/>
      <c r="H586" s="658"/>
      <c r="I586" s="658"/>
      <c r="J586" s="658"/>
      <c r="K586" s="658"/>
      <c r="L586" s="658"/>
      <c r="M586" s="658"/>
      <c r="N586" s="658"/>
      <c r="O586" s="658"/>
      <c r="P586" s="658"/>
      <c r="Q586" s="658"/>
      <c r="R586" s="658"/>
      <c r="S586" s="658"/>
      <c r="T586" s="658"/>
      <c r="U586" s="658"/>
      <c r="V586" s="658"/>
      <c r="W586" s="658"/>
      <c r="X586" s="658"/>
      <c r="Y586" s="658"/>
      <c r="Z586" s="658"/>
      <c r="AA586" s="658"/>
      <c r="AB586" s="658"/>
      <c r="AC586" s="658"/>
      <c r="AD586" s="658"/>
      <c r="AE586" s="658"/>
      <c r="AF586" s="658"/>
      <c r="AG586" s="658"/>
      <c r="AH586" s="658"/>
      <c r="AI586" s="658"/>
      <c r="AJ586" s="658"/>
      <c r="AK586" s="658"/>
      <c r="AL586" s="658"/>
      <c r="AM586" s="658"/>
      <c r="AN586" s="658"/>
      <c r="AO586" s="658"/>
      <c r="AP586" s="658"/>
      <c r="AQ586" s="658"/>
      <c r="AR586" s="658"/>
      <c r="AS586" s="658"/>
      <c r="AT586" s="658"/>
      <c r="AU586" s="658"/>
      <c r="AV586" s="658"/>
      <c r="AW586" s="658"/>
      <c r="AX586" s="658"/>
      <c r="AY586" s="658"/>
      <c r="AZ586" s="658"/>
      <c r="BA586" s="658"/>
      <c r="BB586" s="658"/>
      <c r="BC586" s="658"/>
      <c r="BD586" s="658"/>
      <c r="BE586" s="658"/>
      <c r="BF586" s="658"/>
      <c r="BG586" s="658"/>
      <c r="BH586" s="592"/>
      <c r="BI586" s="592"/>
      <c r="BJ586" s="592"/>
      <c r="BK586" s="592"/>
      <c r="BL586" s="592"/>
      <c r="BM586" s="592"/>
      <c r="BN586" s="592"/>
      <c r="BO586" s="592"/>
      <c r="BP586" s="592"/>
      <c r="BQ586" s="592"/>
    </row>
    <row r="587" spans="1:69" ht="12" customHeight="1" x14ac:dyDescent="0.15">
      <c r="A587" s="592"/>
      <c r="B587" s="658"/>
      <c r="C587" s="658"/>
      <c r="D587" s="658"/>
      <c r="E587" s="658"/>
      <c r="F587" s="658"/>
      <c r="G587" s="658"/>
      <c r="H587" s="658"/>
      <c r="I587" s="658"/>
      <c r="J587" s="658"/>
      <c r="K587" s="658"/>
      <c r="L587" s="658"/>
      <c r="M587" s="658"/>
      <c r="N587" s="658"/>
      <c r="O587" s="658"/>
      <c r="P587" s="658"/>
      <c r="Q587" s="658"/>
      <c r="R587" s="658"/>
      <c r="S587" s="658"/>
      <c r="T587" s="658"/>
      <c r="U587" s="658"/>
      <c r="V587" s="658"/>
      <c r="W587" s="658"/>
      <c r="X587" s="658"/>
      <c r="Y587" s="658"/>
      <c r="Z587" s="658"/>
      <c r="AA587" s="658"/>
      <c r="AB587" s="658"/>
      <c r="AC587" s="658"/>
      <c r="AD587" s="658"/>
      <c r="AE587" s="658"/>
      <c r="AF587" s="658"/>
      <c r="AG587" s="658"/>
      <c r="AH587" s="658"/>
      <c r="AI587" s="658"/>
      <c r="AJ587" s="658"/>
      <c r="AK587" s="658"/>
      <c r="AL587" s="658"/>
      <c r="AM587" s="658"/>
      <c r="AN587" s="658"/>
      <c r="AO587" s="658"/>
      <c r="AP587" s="658"/>
      <c r="AQ587" s="658"/>
      <c r="AR587" s="658"/>
      <c r="AS587" s="658"/>
      <c r="AT587" s="658"/>
      <c r="AU587" s="658"/>
      <c r="AV587" s="658"/>
      <c r="AW587" s="658"/>
      <c r="AX587" s="658"/>
      <c r="AY587" s="658"/>
      <c r="AZ587" s="658"/>
      <c r="BA587" s="658"/>
      <c r="BB587" s="658"/>
      <c r="BC587" s="658"/>
      <c r="BD587" s="658"/>
      <c r="BE587" s="658"/>
      <c r="BF587" s="658"/>
      <c r="BG587" s="658"/>
      <c r="BH587" s="592"/>
      <c r="BI587" s="592"/>
      <c r="BJ587" s="592"/>
      <c r="BK587" s="592"/>
      <c r="BL587" s="592"/>
      <c r="BM587" s="592"/>
      <c r="BN587" s="592"/>
      <c r="BO587" s="592"/>
      <c r="BP587" s="592"/>
      <c r="BQ587" s="592"/>
    </row>
    <row r="588" spans="1:69" ht="12" customHeight="1" x14ac:dyDescent="0.15">
      <c r="A588" s="592"/>
      <c r="B588" s="658"/>
      <c r="C588" s="658"/>
      <c r="D588" s="658"/>
      <c r="E588" s="658"/>
      <c r="F588" s="658"/>
      <c r="G588" s="658"/>
      <c r="H588" s="658"/>
      <c r="I588" s="658"/>
      <c r="J588" s="658"/>
      <c r="K588" s="658"/>
      <c r="L588" s="658"/>
      <c r="M588" s="658"/>
      <c r="N588" s="658"/>
      <c r="O588" s="658"/>
      <c r="P588" s="658"/>
      <c r="Q588" s="658"/>
      <c r="R588" s="658"/>
      <c r="S588" s="658"/>
      <c r="T588" s="658"/>
      <c r="U588" s="658"/>
      <c r="V588" s="658"/>
      <c r="W588" s="658"/>
      <c r="X588" s="658"/>
      <c r="Y588" s="658"/>
      <c r="Z588" s="658"/>
      <c r="AA588" s="658"/>
      <c r="AB588" s="658"/>
      <c r="AC588" s="658"/>
      <c r="AD588" s="658"/>
      <c r="AE588" s="658"/>
      <c r="AF588" s="658"/>
      <c r="AG588" s="658"/>
      <c r="AH588" s="658"/>
      <c r="AI588" s="658"/>
      <c r="AJ588" s="658"/>
      <c r="AK588" s="658"/>
      <c r="AL588" s="658"/>
      <c r="AM588" s="658"/>
      <c r="AN588" s="658"/>
      <c r="AO588" s="658"/>
      <c r="AP588" s="658"/>
      <c r="AQ588" s="658"/>
      <c r="AR588" s="658"/>
      <c r="AS588" s="658"/>
      <c r="AT588" s="658"/>
      <c r="AU588" s="658"/>
      <c r="AV588" s="658"/>
      <c r="AW588" s="658"/>
      <c r="AX588" s="658"/>
      <c r="AY588" s="658"/>
      <c r="AZ588" s="658"/>
      <c r="BA588" s="658"/>
      <c r="BB588" s="658"/>
      <c r="BC588" s="658"/>
      <c r="BD588" s="658"/>
      <c r="BE588" s="658"/>
      <c r="BF588" s="658"/>
      <c r="BG588" s="658"/>
      <c r="BH588" s="592"/>
      <c r="BI588" s="592"/>
      <c r="BJ588" s="592"/>
      <c r="BK588" s="592"/>
      <c r="BL588" s="592"/>
      <c r="BM588" s="592"/>
      <c r="BN588" s="592"/>
      <c r="BO588" s="592"/>
      <c r="BP588" s="592"/>
      <c r="BQ588" s="592"/>
    </row>
    <row r="589" spans="1:69" ht="12" customHeight="1" x14ac:dyDescent="0.15">
      <c r="A589" s="592"/>
      <c r="B589" s="658"/>
      <c r="C589" s="658"/>
      <c r="D589" s="658"/>
      <c r="E589" s="658"/>
      <c r="F589" s="658"/>
      <c r="G589" s="658"/>
      <c r="H589" s="658"/>
      <c r="I589" s="658"/>
      <c r="J589" s="658"/>
      <c r="K589" s="658"/>
      <c r="L589" s="658"/>
      <c r="M589" s="658"/>
      <c r="N589" s="658"/>
      <c r="O589" s="658"/>
      <c r="P589" s="658"/>
      <c r="Q589" s="658"/>
      <c r="R589" s="658"/>
      <c r="S589" s="658"/>
      <c r="T589" s="658"/>
      <c r="U589" s="658"/>
      <c r="V589" s="658"/>
      <c r="W589" s="658"/>
      <c r="X589" s="658"/>
      <c r="Y589" s="658"/>
      <c r="Z589" s="658"/>
      <c r="AA589" s="658"/>
      <c r="AB589" s="658"/>
      <c r="AC589" s="658"/>
      <c r="AD589" s="658"/>
      <c r="AE589" s="658"/>
      <c r="AF589" s="658"/>
      <c r="AG589" s="658"/>
      <c r="AH589" s="658"/>
      <c r="AI589" s="658"/>
      <c r="AJ589" s="658"/>
      <c r="AK589" s="658"/>
      <c r="AL589" s="658"/>
      <c r="AM589" s="658"/>
      <c r="AN589" s="658"/>
      <c r="AO589" s="658"/>
      <c r="AP589" s="658"/>
      <c r="AQ589" s="658"/>
      <c r="AR589" s="658"/>
      <c r="AS589" s="658"/>
      <c r="AT589" s="658"/>
      <c r="AU589" s="658"/>
      <c r="AV589" s="658"/>
      <c r="AW589" s="658"/>
      <c r="AX589" s="658"/>
      <c r="AY589" s="658"/>
      <c r="AZ589" s="658"/>
      <c r="BA589" s="658"/>
      <c r="BB589" s="658"/>
      <c r="BC589" s="658"/>
      <c r="BD589" s="658"/>
      <c r="BE589" s="658"/>
      <c r="BF589" s="658"/>
      <c r="BG589" s="658"/>
      <c r="BH589" s="592"/>
      <c r="BI589" s="592"/>
      <c r="BJ589" s="592"/>
      <c r="BK589" s="592"/>
      <c r="BL589" s="592"/>
      <c r="BM589" s="592"/>
      <c r="BN589" s="592"/>
      <c r="BO589" s="592"/>
      <c r="BP589" s="592"/>
      <c r="BQ589" s="592"/>
    </row>
    <row r="590" spans="1:69" ht="12" customHeight="1" x14ac:dyDescent="0.15">
      <c r="A590" s="592"/>
      <c r="B590" s="658"/>
      <c r="C590" s="658"/>
      <c r="D590" s="658"/>
      <c r="E590" s="658"/>
      <c r="F590" s="658"/>
      <c r="G590" s="658"/>
      <c r="H590" s="658"/>
      <c r="I590" s="658"/>
      <c r="J590" s="658"/>
      <c r="K590" s="658"/>
      <c r="L590" s="658"/>
      <c r="M590" s="658"/>
      <c r="N590" s="658"/>
      <c r="O590" s="658"/>
      <c r="P590" s="658"/>
      <c r="Q590" s="658"/>
      <c r="R590" s="658"/>
      <c r="S590" s="658"/>
      <c r="T590" s="658"/>
      <c r="U590" s="658"/>
      <c r="V590" s="658"/>
      <c r="W590" s="658"/>
      <c r="X590" s="658"/>
      <c r="Y590" s="658"/>
      <c r="Z590" s="658"/>
      <c r="AA590" s="658"/>
      <c r="AB590" s="658"/>
      <c r="AC590" s="658"/>
      <c r="AD590" s="658"/>
      <c r="AE590" s="658"/>
      <c r="AF590" s="658"/>
      <c r="AG590" s="658"/>
      <c r="AH590" s="658"/>
      <c r="AI590" s="658"/>
      <c r="AJ590" s="658"/>
      <c r="AK590" s="658"/>
      <c r="AL590" s="658"/>
      <c r="AM590" s="658"/>
      <c r="AN590" s="658"/>
      <c r="AO590" s="658"/>
      <c r="AP590" s="658"/>
      <c r="AQ590" s="658"/>
      <c r="AR590" s="658"/>
      <c r="AS590" s="658"/>
      <c r="AT590" s="658"/>
      <c r="AU590" s="658"/>
      <c r="AV590" s="658"/>
      <c r="AW590" s="658"/>
      <c r="AX590" s="658"/>
      <c r="AY590" s="658"/>
      <c r="AZ590" s="658"/>
      <c r="BA590" s="658"/>
      <c r="BB590" s="658"/>
      <c r="BC590" s="658"/>
      <c r="BD590" s="658"/>
      <c r="BE590" s="658"/>
      <c r="BF590" s="658"/>
      <c r="BG590" s="658"/>
      <c r="BH590" s="592"/>
      <c r="BI590" s="592"/>
      <c r="BJ590" s="592"/>
      <c r="BK590" s="592"/>
      <c r="BL590" s="592"/>
      <c r="BM590" s="592"/>
      <c r="BN590" s="592"/>
      <c r="BO590" s="592"/>
      <c r="BP590" s="592"/>
      <c r="BQ590" s="592"/>
    </row>
    <row r="591" spans="1:69" ht="12" customHeight="1" x14ac:dyDescent="0.15">
      <c r="A591" s="592"/>
      <c r="B591" s="658"/>
      <c r="C591" s="658"/>
      <c r="D591" s="658"/>
      <c r="E591" s="658"/>
      <c r="F591" s="658"/>
      <c r="G591" s="658"/>
      <c r="H591" s="658"/>
      <c r="I591" s="658"/>
      <c r="J591" s="658"/>
      <c r="K591" s="658"/>
      <c r="L591" s="658"/>
      <c r="M591" s="658"/>
      <c r="N591" s="658"/>
      <c r="O591" s="658"/>
      <c r="P591" s="658"/>
      <c r="Q591" s="658"/>
      <c r="R591" s="658"/>
      <c r="S591" s="658"/>
      <c r="T591" s="658"/>
      <c r="U591" s="658"/>
      <c r="V591" s="658"/>
      <c r="W591" s="658"/>
      <c r="X591" s="658"/>
      <c r="Y591" s="658"/>
      <c r="Z591" s="658"/>
      <c r="AA591" s="658"/>
      <c r="AB591" s="658"/>
      <c r="AC591" s="658"/>
      <c r="AD591" s="658"/>
      <c r="AE591" s="658"/>
      <c r="AF591" s="658"/>
      <c r="AG591" s="658"/>
      <c r="AH591" s="658"/>
      <c r="AI591" s="658"/>
      <c r="AJ591" s="658"/>
      <c r="AK591" s="658"/>
      <c r="AL591" s="658"/>
      <c r="AM591" s="658"/>
      <c r="AN591" s="658"/>
      <c r="AO591" s="658"/>
      <c r="AP591" s="658"/>
      <c r="AQ591" s="658"/>
      <c r="AR591" s="658"/>
      <c r="AS591" s="658"/>
      <c r="AT591" s="658"/>
      <c r="AU591" s="658"/>
      <c r="AV591" s="658"/>
      <c r="AW591" s="658"/>
      <c r="AX591" s="658"/>
      <c r="AY591" s="658"/>
      <c r="AZ591" s="658"/>
      <c r="BA591" s="658"/>
      <c r="BB591" s="658"/>
      <c r="BC591" s="658"/>
      <c r="BD591" s="658"/>
      <c r="BE591" s="658"/>
      <c r="BF591" s="658"/>
      <c r="BG591" s="658"/>
      <c r="BH591" s="592"/>
      <c r="BI591" s="592"/>
      <c r="BJ591" s="592"/>
      <c r="BK591" s="592"/>
      <c r="BL591" s="592"/>
      <c r="BM591" s="592"/>
      <c r="BN591" s="592"/>
      <c r="BO591" s="592"/>
      <c r="BP591" s="592"/>
      <c r="BQ591" s="592"/>
    </row>
    <row r="592" spans="1:69" ht="12" customHeight="1" x14ac:dyDescent="0.15">
      <c r="A592" s="592"/>
      <c r="B592" s="658"/>
      <c r="C592" s="658"/>
      <c r="D592" s="658"/>
      <c r="E592" s="658"/>
      <c r="F592" s="658"/>
      <c r="G592" s="658"/>
      <c r="H592" s="658"/>
      <c r="I592" s="658"/>
      <c r="J592" s="658"/>
      <c r="K592" s="658"/>
      <c r="L592" s="658"/>
      <c r="M592" s="658"/>
      <c r="N592" s="658"/>
      <c r="O592" s="658"/>
      <c r="P592" s="658"/>
      <c r="Q592" s="658"/>
      <c r="R592" s="658"/>
      <c r="S592" s="658"/>
      <c r="T592" s="658"/>
      <c r="U592" s="658"/>
      <c r="V592" s="658"/>
      <c r="W592" s="658"/>
      <c r="X592" s="658"/>
      <c r="Y592" s="658"/>
      <c r="Z592" s="658"/>
      <c r="AA592" s="658"/>
      <c r="AB592" s="658"/>
      <c r="AC592" s="658"/>
      <c r="AD592" s="658"/>
      <c r="AE592" s="658"/>
      <c r="AF592" s="658"/>
      <c r="AG592" s="658"/>
      <c r="AH592" s="658"/>
      <c r="AI592" s="658"/>
      <c r="AJ592" s="658"/>
      <c r="AK592" s="658"/>
      <c r="AL592" s="658"/>
      <c r="AM592" s="658"/>
      <c r="AN592" s="658"/>
      <c r="AO592" s="658"/>
      <c r="AP592" s="658"/>
      <c r="AQ592" s="658"/>
      <c r="AR592" s="658"/>
      <c r="AS592" s="658"/>
      <c r="AT592" s="658"/>
      <c r="AU592" s="658"/>
      <c r="AV592" s="658"/>
      <c r="AW592" s="658"/>
      <c r="AX592" s="658"/>
      <c r="AY592" s="658"/>
      <c r="AZ592" s="658"/>
      <c r="BA592" s="658"/>
      <c r="BB592" s="658"/>
      <c r="BC592" s="658"/>
      <c r="BD592" s="658"/>
      <c r="BE592" s="658"/>
      <c r="BF592" s="658"/>
      <c r="BG592" s="658"/>
      <c r="BH592" s="592"/>
      <c r="BI592" s="592"/>
      <c r="BJ592" s="592"/>
      <c r="BK592" s="592"/>
      <c r="BL592" s="592"/>
      <c r="BM592" s="592"/>
      <c r="BN592" s="592"/>
      <c r="BO592" s="592"/>
      <c r="BP592" s="592"/>
      <c r="BQ592" s="592"/>
    </row>
    <row r="593" spans="1:69" ht="12" customHeight="1" x14ac:dyDescent="0.15">
      <c r="A593" s="592"/>
      <c r="B593" s="658"/>
      <c r="C593" s="658"/>
      <c r="D593" s="658"/>
      <c r="E593" s="658"/>
      <c r="F593" s="658"/>
      <c r="G593" s="658"/>
      <c r="H593" s="658"/>
      <c r="I593" s="658"/>
      <c r="J593" s="658"/>
      <c r="K593" s="658"/>
      <c r="L593" s="658"/>
      <c r="M593" s="658"/>
      <c r="N593" s="658"/>
      <c r="O593" s="658"/>
      <c r="P593" s="658"/>
      <c r="Q593" s="658"/>
      <c r="R593" s="658"/>
      <c r="S593" s="658"/>
      <c r="T593" s="658"/>
      <c r="U593" s="658"/>
      <c r="V593" s="658"/>
      <c r="W593" s="658"/>
      <c r="X593" s="658"/>
      <c r="Y593" s="658"/>
      <c r="Z593" s="658"/>
      <c r="AA593" s="658"/>
      <c r="AB593" s="658"/>
      <c r="AC593" s="658"/>
      <c r="AD593" s="658"/>
      <c r="AE593" s="658"/>
      <c r="AF593" s="658"/>
      <c r="AG593" s="658"/>
      <c r="AH593" s="658"/>
      <c r="AI593" s="658"/>
      <c r="AJ593" s="658"/>
      <c r="AK593" s="658"/>
      <c r="AL593" s="658"/>
      <c r="AM593" s="658"/>
      <c r="AN593" s="658"/>
      <c r="AO593" s="658"/>
      <c r="AP593" s="658"/>
      <c r="AQ593" s="658"/>
      <c r="AR593" s="658"/>
      <c r="AS593" s="658"/>
      <c r="AT593" s="658"/>
      <c r="AU593" s="658"/>
      <c r="AV593" s="658"/>
      <c r="AW593" s="658"/>
      <c r="AX593" s="658"/>
      <c r="AY593" s="658"/>
      <c r="AZ593" s="658"/>
      <c r="BA593" s="658"/>
      <c r="BB593" s="658"/>
      <c r="BC593" s="658"/>
      <c r="BD593" s="658"/>
      <c r="BE593" s="658"/>
      <c r="BF593" s="658"/>
      <c r="BG593" s="658"/>
      <c r="BH593" s="592"/>
      <c r="BI593" s="592"/>
      <c r="BJ593" s="592"/>
      <c r="BK593" s="592"/>
      <c r="BL593" s="592"/>
      <c r="BM593" s="592"/>
      <c r="BN593" s="592"/>
      <c r="BO593" s="592"/>
      <c r="BP593" s="592"/>
      <c r="BQ593" s="592"/>
    </row>
    <row r="594" spans="1:69" ht="12" customHeight="1" x14ac:dyDescent="0.15">
      <c r="A594" s="592"/>
      <c r="B594" s="658"/>
      <c r="C594" s="658"/>
      <c r="D594" s="658"/>
      <c r="E594" s="658"/>
      <c r="F594" s="658"/>
      <c r="G594" s="658"/>
      <c r="H594" s="658"/>
      <c r="I594" s="658"/>
      <c r="J594" s="658"/>
      <c r="K594" s="658"/>
      <c r="L594" s="658"/>
      <c r="M594" s="658"/>
      <c r="N594" s="658"/>
      <c r="O594" s="658"/>
      <c r="P594" s="658"/>
      <c r="Q594" s="658"/>
      <c r="R594" s="658"/>
      <c r="S594" s="658"/>
      <c r="T594" s="658"/>
      <c r="U594" s="658"/>
      <c r="V594" s="658"/>
      <c r="W594" s="658"/>
      <c r="X594" s="658"/>
      <c r="Y594" s="658"/>
      <c r="Z594" s="658"/>
      <c r="AA594" s="658"/>
      <c r="AB594" s="658"/>
      <c r="AC594" s="658"/>
      <c r="AD594" s="658"/>
      <c r="AE594" s="658"/>
      <c r="AF594" s="658"/>
      <c r="AG594" s="658"/>
      <c r="AH594" s="658"/>
      <c r="AI594" s="658"/>
      <c r="AJ594" s="658"/>
      <c r="AK594" s="658"/>
      <c r="AL594" s="658"/>
      <c r="AM594" s="658"/>
      <c r="AN594" s="658"/>
      <c r="AO594" s="658"/>
      <c r="AP594" s="658"/>
      <c r="AQ594" s="658"/>
      <c r="AR594" s="658"/>
      <c r="AS594" s="658"/>
      <c r="AT594" s="658"/>
      <c r="AU594" s="658"/>
      <c r="AV594" s="658"/>
      <c r="AW594" s="658"/>
      <c r="AX594" s="658"/>
      <c r="AY594" s="658"/>
      <c r="AZ594" s="658"/>
      <c r="BA594" s="658"/>
      <c r="BB594" s="658"/>
      <c r="BC594" s="658"/>
      <c r="BD594" s="658"/>
      <c r="BE594" s="658"/>
      <c r="BF594" s="658"/>
      <c r="BG594" s="658"/>
      <c r="BH594" s="592"/>
      <c r="BI594" s="592"/>
      <c r="BJ594" s="592"/>
      <c r="BK594" s="592"/>
      <c r="BL594" s="592"/>
      <c r="BM594" s="592"/>
      <c r="BN594" s="592"/>
      <c r="BO594" s="592"/>
      <c r="BP594" s="592"/>
      <c r="BQ594" s="592"/>
    </row>
    <row r="595" spans="1:69" ht="12" customHeight="1" x14ac:dyDescent="0.15">
      <c r="A595" s="592"/>
      <c r="B595" s="658"/>
      <c r="C595" s="658"/>
      <c r="D595" s="658"/>
      <c r="E595" s="658"/>
      <c r="F595" s="658"/>
      <c r="G595" s="658"/>
      <c r="H595" s="658"/>
      <c r="I595" s="658"/>
      <c r="J595" s="658"/>
      <c r="K595" s="658"/>
      <c r="L595" s="658"/>
      <c r="M595" s="658"/>
      <c r="N595" s="658"/>
      <c r="O595" s="658"/>
      <c r="P595" s="658"/>
      <c r="Q595" s="658"/>
      <c r="R595" s="658"/>
      <c r="S595" s="658"/>
      <c r="T595" s="658"/>
      <c r="U595" s="658"/>
      <c r="V595" s="658"/>
      <c r="W595" s="658"/>
      <c r="X595" s="658"/>
      <c r="Y595" s="658"/>
      <c r="Z595" s="658"/>
      <c r="AA595" s="658"/>
      <c r="AB595" s="658"/>
      <c r="AC595" s="658"/>
      <c r="AD595" s="658"/>
      <c r="AE595" s="658"/>
      <c r="AF595" s="658"/>
      <c r="AG595" s="658"/>
      <c r="AH595" s="658"/>
      <c r="AI595" s="658"/>
      <c r="AJ595" s="658"/>
      <c r="AK595" s="658"/>
      <c r="AL595" s="658"/>
      <c r="AM595" s="658"/>
      <c r="AN595" s="658"/>
      <c r="AO595" s="658"/>
      <c r="AP595" s="658"/>
      <c r="AQ595" s="658"/>
      <c r="AR595" s="658"/>
      <c r="AS595" s="658"/>
      <c r="AT595" s="658"/>
      <c r="AU595" s="658"/>
      <c r="AV595" s="658"/>
      <c r="AW595" s="658"/>
      <c r="AX595" s="658"/>
      <c r="AY595" s="658"/>
      <c r="AZ595" s="658"/>
      <c r="BA595" s="658"/>
      <c r="BB595" s="658"/>
      <c r="BC595" s="658"/>
      <c r="BD595" s="658"/>
      <c r="BE595" s="658"/>
      <c r="BF595" s="658"/>
      <c r="BG595" s="658"/>
      <c r="BH595" s="592"/>
      <c r="BI595" s="592"/>
      <c r="BJ595" s="592"/>
      <c r="BK595" s="592"/>
      <c r="BL595" s="592"/>
      <c r="BM595" s="592"/>
      <c r="BN595" s="592"/>
      <c r="BO595" s="592"/>
      <c r="BP595" s="592"/>
      <c r="BQ595" s="592"/>
    </row>
    <row r="596" spans="1:69" ht="12" customHeight="1" x14ac:dyDescent="0.15">
      <c r="A596" s="592"/>
      <c r="B596" s="658"/>
      <c r="C596" s="658"/>
      <c r="D596" s="658"/>
      <c r="E596" s="658"/>
      <c r="F596" s="658"/>
      <c r="G596" s="658"/>
      <c r="H596" s="658"/>
      <c r="I596" s="658"/>
      <c r="J596" s="658"/>
      <c r="K596" s="658"/>
      <c r="L596" s="658"/>
      <c r="M596" s="658"/>
      <c r="N596" s="658"/>
      <c r="O596" s="658"/>
      <c r="P596" s="658"/>
      <c r="Q596" s="658"/>
      <c r="R596" s="658"/>
      <c r="S596" s="658"/>
      <c r="T596" s="658"/>
      <c r="U596" s="658"/>
      <c r="V596" s="658"/>
      <c r="W596" s="658"/>
      <c r="X596" s="658"/>
      <c r="Y596" s="658"/>
      <c r="Z596" s="658"/>
      <c r="AA596" s="658"/>
      <c r="AB596" s="658"/>
      <c r="AC596" s="658"/>
      <c r="AD596" s="658"/>
      <c r="AE596" s="658"/>
      <c r="AF596" s="658"/>
      <c r="AG596" s="658"/>
      <c r="AH596" s="658"/>
      <c r="AI596" s="658"/>
      <c r="AJ596" s="658"/>
      <c r="AK596" s="658"/>
      <c r="AL596" s="658"/>
      <c r="AM596" s="658"/>
      <c r="AN596" s="658"/>
      <c r="AO596" s="658"/>
      <c r="AP596" s="658"/>
      <c r="AQ596" s="658"/>
      <c r="AR596" s="658"/>
      <c r="AS596" s="658"/>
      <c r="AT596" s="658"/>
      <c r="AU596" s="658"/>
      <c r="AV596" s="658"/>
      <c r="AW596" s="658"/>
      <c r="AX596" s="658"/>
      <c r="AY596" s="658"/>
      <c r="AZ596" s="658"/>
      <c r="BA596" s="658"/>
      <c r="BB596" s="658"/>
      <c r="BC596" s="658"/>
      <c r="BD596" s="658"/>
      <c r="BE596" s="658"/>
      <c r="BF596" s="658"/>
      <c r="BG596" s="658"/>
      <c r="BH596" s="592"/>
      <c r="BI596" s="592"/>
      <c r="BJ596" s="592"/>
      <c r="BK596" s="592"/>
      <c r="BL596" s="592"/>
      <c r="BM596" s="592"/>
      <c r="BN596" s="592"/>
      <c r="BO596" s="592"/>
      <c r="BP596" s="592"/>
      <c r="BQ596" s="592"/>
    </row>
    <row r="597" spans="1:69" ht="12" customHeight="1" x14ac:dyDescent="0.15">
      <c r="A597" s="592"/>
      <c r="B597" s="658"/>
      <c r="C597" s="658"/>
      <c r="D597" s="658"/>
      <c r="E597" s="658"/>
      <c r="F597" s="658"/>
      <c r="G597" s="658"/>
      <c r="H597" s="658"/>
      <c r="I597" s="658"/>
      <c r="J597" s="658"/>
      <c r="K597" s="658"/>
      <c r="L597" s="658"/>
      <c r="M597" s="658"/>
      <c r="N597" s="658"/>
      <c r="O597" s="658"/>
      <c r="P597" s="658"/>
      <c r="Q597" s="658"/>
      <c r="R597" s="658"/>
      <c r="S597" s="658"/>
      <c r="T597" s="658"/>
      <c r="U597" s="658"/>
      <c r="V597" s="658"/>
      <c r="W597" s="658"/>
      <c r="X597" s="658"/>
      <c r="Y597" s="658"/>
      <c r="Z597" s="658"/>
      <c r="AA597" s="658"/>
      <c r="AB597" s="658"/>
      <c r="AC597" s="658"/>
      <c r="AD597" s="658"/>
      <c r="AE597" s="658"/>
      <c r="AF597" s="658"/>
      <c r="AG597" s="658"/>
      <c r="AH597" s="658"/>
      <c r="AI597" s="658"/>
      <c r="AJ597" s="658"/>
      <c r="AK597" s="658"/>
      <c r="AL597" s="658"/>
      <c r="AM597" s="658"/>
      <c r="AN597" s="658"/>
      <c r="AO597" s="658"/>
      <c r="AP597" s="658"/>
      <c r="AQ597" s="658"/>
      <c r="AR597" s="658"/>
      <c r="AS597" s="658"/>
      <c r="AT597" s="658"/>
      <c r="AU597" s="658"/>
      <c r="AV597" s="658"/>
      <c r="AW597" s="658"/>
      <c r="AX597" s="658"/>
      <c r="AY597" s="658"/>
      <c r="AZ597" s="658"/>
      <c r="BA597" s="658"/>
      <c r="BB597" s="658"/>
      <c r="BC597" s="658"/>
      <c r="BD597" s="658"/>
      <c r="BE597" s="658"/>
      <c r="BF597" s="658"/>
      <c r="BG597" s="658"/>
      <c r="BH597" s="592"/>
      <c r="BI597" s="592"/>
      <c r="BJ597" s="592"/>
      <c r="BK597" s="592"/>
      <c r="BL597" s="592"/>
      <c r="BM597" s="592"/>
      <c r="BN597" s="592"/>
      <c r="BO597" s="592"/>
      <c r="BP597" s="592"/>
      <c r="BQ597" s="592"/>
    </row>
    <row r="598" spans="1:69" ht="12" customHeight="1" x14ac:dyDescent="0.15">
      <c r="A598" s="592"/>
      <c r="B598" s="658"/>
      <c r="C598" s="658"/>
      <c r="D598" s="658"/>
      <c r="E598" s="658"/>
      <c r="F598" s="658"/>
      <c r="G598" s="658"/>
      <c r="H598" s="658"/>
      <c r="I598" s="658"/>
      <c r="J598" s="658"/>
      <c r="K598" s="658"/>
      <c r="L598" s="658"/>
      <c r="M598" s="658"/>
      <c r="N598" s="658"/>
      <c r="O598" s="658"/>
      <c r="P598" s="658"/>
      <c r="Q598" s="658"/>
      <c r="R598" s="658"/>
      <c r="S598" s="658"/>
      <c r="T598" s="658"/>
      <c r="U598" s="658"/>
      <c r="V598" s="658"/>
      <c r="W598" s="658"/>
      <c r="X598" s="658"/>
      <c r="Y598" s="658"/>
      <c r="Z598" s="658"/>
      <c r="AA598" s="658"/>
      <c r="AB598" s="658"/>
      <c r="AC598" s="658"/>
      <c r="AD598" s="658"/>
      <c r="AE598" s="658"/>
      <c r="AF598" s="658"/>
      <c r="AG598" s="658"/>
      <c r="AH598" s="658"/>
      <c r="AI598" s="658"/>
      <c r="AJ598" s="658"/>
      <c r="AK598" s="658"/>
      <c r="AL598" s="658"/>
      <c r="AM598" s="658"/>
      <c r="AN598" s="658"/>
      <c r="AO598" s="658"/>
      <c r="AP598" s="658"/>
      <c r="AQ598" s="658"/>
      <c r="AR598" s="658"/>
      <c r="AS598" s="658"/>
      <c r="AT598" s="658"/>
      <c r="AU598" s="658"/>
      <c r="AV598" s="658"/>
      <c r="AW598" s="658"/>
      <c r="AX598" s="658"/>
      <c r="AY598" s="658"/>
      <c r="AZ598" s="658"/>
      <c r="BA598" s="658"/>
      <c r="BB598" s="658"/>
      <c r="BC598" s="658"/>
      <c r="BD598" s="658"/>
      <c r="BE598" s="658"/>
      <c r="BF598" s="658"/>
      <c r="BG598" s="658"/>
      <c r="BH598" s="592"/>
      <c r="BI598" s="592"/>
      <c r="BJ598" s="592"/>
      <c r="BK598" s="592"/>
      <c r="BL598" s="592"/>
      <c r="BM598" s="592"/>
      <c r="BN598" s="592"/>
      <c r="BO598" s="592"/>
      <c r="BP598" s="592"/>
      <c r="BQ598" s="592"/>
    </row>
    <row r="599" spans="1:69" ht="12" customHeight="1" x14ac:dyDescent="0.15">
      <c r="A599" s="592"/>
      <c r="B599" s="658"/>
      <c r="C599" s="658"/>
      <c r="D599" s="658"/>
      <c r="E599" s="658"/>
      <c r="F599" s="658"/>
      <c r="G599" s="658"/>
      <c r="H599" s="658"/>
      <c r="I599" s="658"/>
      <c r="J599" s="658"/>
      <c r="K599" s="658"/>
      <c r="L599" s="658"/>
      <c r="M599" s="658"/>
      <c r="N599" s="658"/>
      <c r="O599" s="658"/>
      <c r="P599" s="658"/>
      <c r="Q599" s="658"/>
      <c r="R599" s="658"/>
      <c r="S599" s="658"/>
      <c r="T599" s="658"/>
      <c r="U599" s="658"/>
      <c r="V599" s="658"/>
      <c r="W599" s="658"/>
      <c r="X599" s="658"/>
      <c r="Y599" s="658"/>
      <c r="Z599" s="658"/>
      <c r="AA599" s="658"/>
      <c r="AB599" s="658"/>
      <c r="AC599" s="658"/>
      <c r="AD599" s="658"/>
      <c r="AE599" s="658"/>
      <c r="AF599" s="658"/>
      <c r="AG599" s="658"/>
      <c r="AH599" s="658"/>
      <c r="AI599" s="658"/>
      <c r="AJ599" s="658"/>
      <c r="AK599" s="658"/>
      <c r="AL599" s="658"/>
      <c r="AM599" s="658"/>
      <c r="AN599" s="658"/>
      <c r="AO599" s="658"/>
      <c r="AP599" s="658"/>
      <c r="AQ599" s="658"/>
      <c r="AR599" s="658"/>
      <c r="AS599" s="658"/>
      <c r="AT599" s="658"/>
      <c r="AU599" s="658"/>
      <c r="AV599" s="658"/>
      <c r="AW599" s="658"/>
      <c r="AX599" s="658"/>
      <c r="AY599" s="658"/>
      <c r="AZ599" s="658"/>
      <c r="BA599" s="658"/>
      <c r="BB599" s="658"/>
      <c r="BC599" s="658"/>
      <c r="BD599" s="658"/>
      <c r="BE599" s="658"/>
      <c r="BF599" s="658"/>
      <c r="BG599" s="658"/>
      <c r="BH599" s="592"/>
      <c r="BI599" s="592"/>
      <c r="BJ599" s="592"/>
      <c r="BK599" s="592"/>
      <c r="BL599" s="592"/>
      <c r="BM599" s="592"/>
      <c r="BN599" s="592"/>
      <c r="BO599" s="592"/>
      <c r="BP599" s="592"/>
      <c r="BQ599" s="592"/>
    </row>
    <row r="600" spans="1:69" ht="12" customHeight="1" x14ac:dyDescent="0.15">
      <c r="A600" s="592"/>
      <c r="B600" s="658"/>
      <c r="C600" s="658"/>
      <c r="D600" s="658"/>
      <c r="E600" s="658"/>
      <c r="F600" s="658"/>
      <c r="G600" s="658"/>
      <c r="H600" s="658"/>
      <c r="I600" s="658"/>
      <c r="J600" s="658"/>
      <c r="K600" s="658"/>
      <c r="L600" s="658"/>
      <c r="M600" s="658"/>
      <c r="N600" s="658"/>
      <c r="O600" s="658"/>
      <c r="P600" s="658"/>
      <c r="Q600" s="658"/>
      <c r="R600" s="658"/>
      <c r="S600" s="658"/>
      <c r="T600" s="658"/>
      <c r="U600" s="658"/>
      <c r="V600" s="658"/>
      <c r="W600" s="658"/>
      <c r="X600" s="658"/>
      <c r="Y600" s="658"/>
      <c r="Z600" s="658"/>
      <c r="AA600" s="658"/>
      <c r="AB600" s="658"/>
      <c r="AC600" s="658"/>
      <c r="AD600" s="658"/>
      <c r="AE600" s="658"/>
      <c r="AF600" s="658"/>
      <c r="AG600" s="658"/>
      <c r="AH600" s="658"/>
      <c r="AI600" s="658"/>
      <c r="AJ600" s="658"/>
      <c r="AK600" s="658"/>
      <c r="AL600" s="658"/>
      <c r="AM600" s="658"/>
      <c r="AN600" s="658"/>
      <c r="AO600" s="658"/>
      <c r="AP600" s="658"/>
      <c r="AQ600" s="658"/>
      <c r="AR600" s="658"/>
      <c r="AS600" s="658"/>
      <c r="AT600" s="658"/>
      <c r="AU600" s="658"/>
      <c r="AV600" s="658"/>
      <c r="AW600" s="658"/>
      <c r="AX600" s="658"/>
      <c r="AY600" s="658"/>
      <c r="AZ600" s="658"/>
      <c r="BA600" s="658"/>
      <c r="BB600" s="658"/>
      <c r="BC600" s="658"/>
      <c r="BD600" s="658"/>
      <c r="BE600" s="658"/>
      <c r="BF600" s="658"/>
      <c r="BG600" s="658"/>
      <c r="BH600" s="592"/>
      <c r="BI600" s="592"/>
      <c r="BJ600" s="592"/>
      <c r="BK600" s="592"/>
      <c r="BL600" s="592"/>
      <c r="BM600" s="592"/>
      <c r="BN600" s="592"/>
      <c r="BO600" s="592"/>
      <c r="BP600" s="592"/>
      <c r="BQ600" s="592"/>
    </row>
    <row r="601" spans="1:69" ht="12" customHeight="1" x14ac:dyDescent="0.15">
      <c r="A601" s="592"/>
      <c r="B601" s="658"/>
      <c r="C601" s="658"/>
      <c r="D601" s="658"/>
      <c r="E601" s="658"/>
      <c r="F601" s="658"/>
      <c r="G601" s="658"/>
      <c r="H601" s="658"/>
      <c r="I601" s="658"/>
      <c r="J601" s="658"/>
      <c r="K601" s="658"/>
      <c r="L601" s="658"/>
      <c r="M601" s="658"/>
      <c r="N601" s="658"/>
      <c r="O601" s="658"/>
      <c r="P601" s="658"/>
      <c r="Q601" s="658"/>
      <c r="R601" s="658"/>
      <c r="S601" s="658"/>
      <c r="T601" s="658"/>
      <c r="U601" s="658"/>
      <c r="V601" s="658"/>
      <c r="W601" s="658"/>
      <c r="X601" s="658"/>
      <c r="Y601" s="658"/>
      <c r="Z601" s="658"/>
      <c r="AA601" s="658"/>
      <c r="AB601" s="658"/>
      <c r="AC601" s="658"/>
      <c r="AD601" s="658"/>
      <c r="AE601" s="658"/>
      <c r="AF601" s="658"/>
      <c r="AG601" s="658"/>
      <c r="AH601" s="658"/>
      <c r="AI601" s="658"/>
      <c r="AJ601" s="658"/>
      <c r="AK601" s="658"/>
      <c r="AL601" s="658"/>
      <c r="AM601" s="658"/>
      <c r="AN601" s="658"/>
      <c r="AO601" s="658"/>
      <c r="AP601" s="658"/>
      <c r="AQ601" s="658"/>
      <c r="AR601" s="658"/>
      <c r="AS601" s="658"/>
      <c r="AT601" s="658"/>
      <c r="AU601" s="658"/>
      <c r="AV601" s="658"/>
      <c r="AW601" s="658"/>
      <c r="AX601" s="658"/>
      <c r="AY601" s="658"/>
      <c r="AZ601" s="658"/>
      <c r="BA601" s="658"/>
      <c r="BB601" s="658"/>
      <c r="BC601" s="658"/>
      <c r="BD601" s="658"/>
      <c r="BE601" s="658"/>
      <c r="BF601" s="658"/>
      <c r="BG601" s="658"/>
      <c r="BH601" s="592"/>
      <c r="BI601" s="592"/>
      <c r="BJ601" s="592"/>
      <c r="BK601" s="592"/>
      <c r="BL601" s="592"/>
      <c r="BM601" s="592"/>
      <c r="BN601" s="592"/>
      <c r="BO601" s="592"/>
      <c r="BP601" s="592"/>
      <c r="BQ601" s="592"/>
    </row>
    <row r="602" spans="1:69" ht="12" customHeight="1" x14ac:dyDescent="0.15">
      <c r="A602" s="592"/>
      <c r="B602" s="658"/>
      <c r="C602" s="658"/>
      <c r="D602" s="658"/>
      <c r="E602" s="658"/>
      <c r="F602" s="658"/>
      <c r="G602" s="658"/>
      <c r="H602" s="658"/>
      <c r="I602" s="658"/>
      <c r="J602" s="658"/>
      <c r="K602" s="658"/>
      <c r="L602" s="658"/>
      <c r="M602" s="658"/>
      <c r="N602" s="658"/>
      <c r="O602" s="658"/>
      <c r="P602" s="658"/>
      <c r="Q602" s="658"/>
      <c r="R602" s="658"/>
      <c r="S602" s="658"/>
      <c r="T602" s="658"/>
      <c r="U602" s="658"/>
      <c r="V602" s="658"/>
      <c r="W602" s="658"/>
      <c r="X602" s="658"/>
      <c r="Y602" s="658"/>
      <c r="Z602" s="658"/>
      <c r="AA602" s="658"/>
      <c r="AB602" s="658"/>
      <c r="AC602" s="658"/>
      <c r="AD602" s="658"/>
      <c r="AE602" s="658"/>
      <c r="AF602" s="658"/>
      <c r="AG602" s="658"/>
      <c r="AH602" s="658"/>
      <c r="AI602" s="658"/>
      <c r="AJ602" s="658"/>
      <c r="AK602" s="658"/>
      <c r="AL602" s="658"/>
      <c r="AM602" s="658"/>
      <c r="AN602" s="658"/>
      <c r="AO602" s="658"/>
      <c r="AP602" s="658"/>
      <c r="AQ602" s="658"/>
      <c r="AR602" s="658"/>
      <c r="AS602" s="658"/>
      <c r="AT602" s="658"/>
      <c r="AU602" s="658"/>
      <c r="AV602" s="658"/>
      <c r="AW602" s="658"/>
      <c r="AX602" s="658"/>
      <c r="AY602" s="658"/>
      <c r="AZ602" s="658"/>
      <c r="BA602" s="658"/>
      <c r="BB602" s="658"/>
      <c r="BC602" s="658"/>
      <c r="BD602" s="658"/>
      <c r="BE602" s="658"/>
      <c r="BF602" s="658"/>
      <c r="BG602" s="658"/>
      <c r="BH602" s="592"/>
      <c r="BI602" s="592"/>
      <c r="BJ602" s="592"/>
      <c r="BK602" s="592"/>
      <c r="BL602" s="592"/>
      <c r="BM602" s="592"/>
      <c r="BN602" s="592"/>
      <c r="BO602" s="592"/>
      <c r="BP602" s="592"/>
      <c r="BQ602" s="592"/>
    </row>
    <row r="603" spans="1:69" ht="12" customHeight="1" x14ac:dyDescent="0.15">
      <c r="A603" s="592"/>
      <c r="B603" s="658"/>
      <c r="C603" s="658"/>
      <c r="D603" s="658"/>
      <c r="E603" s="658"/>
      <c r="F603" s="658"/>
      <c r="G603" s="658"/>
      <c r="H603" s="658"/>
      <c r="I603" s="658"/>
      <c r="J603" s="658"/>
      <c r="K603" s="658"/>
      <c r="L603" s="658"/>
      <c r="M603" s="658"/>
      <c r="N603" s="658"/>
      <c r="O603" s="658"/>
      <c r="P603" s="658"/>
      <c r="Q603" s="658"/>
      <c r="R603" s="658"/>
      <c r="S603" s="658"/>
      <c r="T603" s="658"/>
      <c r="U603" s="658"/>
      <c r="V603" s="658"/>
      <c r="W603" s="658"/>
      <c r="X603" s="658"/>
      <c r="Y603" s="658"/>
      <c r="Z603" s="658"/>
      <c r="AA603" s="658"/>
      <c r="AB603" s="658"/>
      <c r="AC603" s="658"/>
      <c r="AD603" s="658"/>
      <c r="AE603" s="658"/>
      <c r="AF603" s="658"/>
      <c r="AG603" s="658"/>
      <c r="AH603" s="658"/>
      <c r="AI603" s="658"/>
      <c r="AJ603" s="658"/>
      <c r="AK603" s="658"/>
      <c r="AL603" s="658"/>
      <c r="AM603" s="658"/>
      <c r="AN603" s="658"/>
      <c r="AO603" s="658"/>
      <c r="AP603" s="658"/>
      <c r="AQ603" s="658"/>
      <c r="AR603" s="658"/>
      <c r="AS603" s="658"/>
      <c r="AT603" s="658"/>
      <c r="AU603" s="658"/>
      <c r="AV603" s="658"/>
      <c r="AW603" s="658"/>
      <c r="AX603" s="658"/>
      <c r="AY603" s="658"/>
      <c r="AZ603" s="658"/>
      <c r="BA603" s="658"/>
      <c r="BB603" s="658"/>
      <c r="BC603" s="658"/>
      <c r="BD603" s="658"/>
      <c r="BE603" s="658"/>
      <c r="BF603" s="658"/>
      <c r="BG603" s="658"/>
      <c r="BH603" s="592"/>
      <c r="BI603" s="592"/>
      <c r="BJ603" s="592"/>
      <c r="BK603" s="592"/>
      <c r="BL603" s="592"/>
      <c r="BM603" s="592"/>
      <c r="BN603" s="592"/>
      <c r="BO603" s="592"/>
      <c r="BP603" s="592"/>
      <c r="BQ603" s="592"/>
    </row>
    <row r="604" spans="1:69" ht="12" customHeight="1" x14ac:dyDescent="0.15">
      <c r="A604" s="592"/>
      <c r="B604" s="658"/>
      <c r="C604" s="658"/>
      <c r="D604" s="658"/>
      <c r="E604" s="658"/>
      <c r="F604" s="658"/>
      <c r="G604" s="658"/>
      <c r="H604" s="658"/>
      <c r="I604" s="658"/>
      <c r="J604" s="658"/>
      <c r="K604" s="658"/>
      <c r="L604" s="658"/>
      <c r="M604" s="658"/>
      <c r="N604" s="658"/>
      <c r="O604" s="658"/>
      <c r="P604" s="658"/>
      <c r="Q604" s="658"/>
      <c r="R604" s="658"/>
      <c r="S604" s="658"/>
      <c r="T604" s="658"/>
      <c r="U604" s="658"/>
      <c r="V604" s="658"/>
      <c r="W604" s="658"/>
      <c r="X604" s="658"/>
      <c r="Y604" s="658"/>
      <c r="Z604" s="658"/>
      <c r="AA604" s="658"/>
      <c r="AB604" s="658"/>
      <c r="AC604" s="658"/>
      <c r="AD604" s="658"/>
      <c r="AE604" s="658"/>
      <c r="AF604" s="658"/>
      <c r="AG604" s="658"/>
      <c r="AH604" s="658"/>
      <c r="AI604" s="658"/>
      <c r="AJ604" s="658"/>
      <c r="AK604" s="658"/>
      <c r="AL604" s="658"/>
      <c r="AM604" s="658"/>
      <c r="AN604" s="658"/>
      <c r="AO604" s="658"/>
      <c r="AP604" s="658"/>
      <c r="AQ604" s="658"/>
      <c r="AR604" s="658"/>
      <c r="AS604" s="658"/>
      <c r="AT604" s="658"/>
      <c r="AU604" s="658"/>
      <c r="AV604" s="658"/>
      <c r="AW604" s="658"/>
      <c r="AX604" s="658"/>
      <c r="AY604" s="658"/>
      <c r="AZ604" s="658"/>
      <c r="BA604" s="658"/>
      <c r="BB604" s="658"/>
      <c r="BC604" s="658"/>
      <c r="BD604" s="658"/>
      <c r="BE604" s="658"/>
      <c r="BF604" s="658"/>
      <c r="BG604" s="658"/>
      <c r="BH604" s="592"/>
      <c r="BI604" s="592"/>
      <c r="BJ604" s="592"/>
      <c r="BK604" s="592"/>
      <c r="BL604" s="592"/>
      <c r="BM604" s="592"/>
      <c r="BN604" s="592"/>
      <c r="BO604" s="592"/>
      <c r="BP604" s="592"/>
      <c r="BQ604" s="592"/>
    </row>
    <row r="605" spans="1:69" ht="12" customHeight="1" x14ac:dyDescent="0.15">
      <c r="A605" s="592"/>
      <c r="B605" s="658"/>
      <c r="C605" s="658"/>
      <c r="D605" s="658"/>
      <c r="E605" s="658"/>
      <c r="F605" s="658"/>
      <c r="G605" s="658"/>
      <c r="H605" s="658"/>
      <c r="I605" s="658"/>
      <c r="J605" s="658"/>
      <c r="K605" s="658"/>
      <c r="L605" s="658"/>
      <c r="M605" s="658"/>
      <c r="N605" s="658"/>
      <c r="O605" s="658"/>
      <c r="P605" s="658"/>
      <c r="Q605" s="658"/>
      <c r="R605" s="658"/>
      <c r="S605" s="658"/>
      <c r="T605" s="658"/>
      <c r="U605" s="658"/>
      <c r="V605" s="658"/>
      <c r="W605" s="658"/>
      <c r="X605" s="658"/>
      <c r="Y605" s="658"/>
      <c r="Z605" s="658"/>
      <c r="AA605" s="658"/>
      <c r="AB605" s="658"/>
      <c r="AC605" s="658"/>
      <c r="AD605" s="658"/>
      <c r="AE605" s="658"/>
      <c r="AF605" s="658"/>
      <c r="AG605" s="658"/>
      <c r="AH605" s="658"/>
      <c r="AI605" s="658"/>
      <c r="AJ605" s="658"/>
      <c r="AK605" s="658"/>
      <c r="AL605" s="658"/>
      <c r="AM605" s="658"/>
      <c r="AN605" s="658"/>
      <c r="AO605" s="658"/>
      <c r="AP605" s="658"/>
      <c r="AQ605" s="658"/>
      <c r="AR605" s="658"/>
      <c r="AS605" s="658"/>
      <c r="AT605" s="658"/>
      <c r="AU605" s="658"/>
      <c r="AV605" s="658"/>
      <c r="AW605" s="658"/>
      <c r="AX605" s="658"/>
      <c r="AY605" s="658"/>
      <c r="AZ605" s="658"/>
      <c r="BA605" s="658"/>
      <c r="BB605" s="658"/>
      <c r="BC605" s="658"/>
      <c r="BD605" s="658"/>
      <c r="BE605" s="658"/>
      <c r="BF605" s="658"/>
      <c r="BG605" s="658"/>
      <c r="BH605" s="592"/>
      <c r="BI605" s="592"/>
      <c r="BJ605" s="592"/>
      <c r="BK605" s="592"/>
      <c r="BL605" s="592"/>
      <c r="BM605" s="592"/>
      <c r="BN605" s="592"/>
      <c r="BO605" s="592"/>
      <c r="BP605" s="592"/>
      <c r="BQ605" s="592"/>
    </row>
    <row r="606" spans="1:69" ht="12" customHeight="1" x14ac:dyDescent="0.15">
      <c r="A606" s="592"/>
      <c r="B606" s="658"/>
      <c r="C606" s="658"/>
      <c r="D606" s="658"/>
      <c r="E606" s="658"/>
      <c r="F606" s="658"/>
      <c r="G606" s="658"/>
      <c r="H606" s="658"/>
      <c r="I606" s="658"/>
      <c r="J606" s="658"/>
      <c r="K606" s="658"/>
      <c r="L606" s="658"/>
      <c r="M606" s="658"/>
      <c r="N606" s="658"/>
      <c r="O606" s="658"/>
      <c r="P606" s="658"/>
      <c r="Q606" s="658"/>
      <c r="R606" s="658"/>
      <c r="S606" s="658"/>
      <c r="T606" s="658"/>
      <c r="U606" s="658"/>
      <c r="V606" s="658"/>
      <c r="W606" s="658"/>
      <c r="X606" s="658"/>
      <c r="Y606" s="658"/>
      <c r="Z606" s="658"/>
      <c r="AA606" s="658"/>
      <c r="AB606" s="658"/>
      <c r="AC606" s="658"/>
      <c r="AD606" s="658"/>
      <c r="AE606" s="658"/>
      <c r="AF606" s="658"/>
      <c r="AG606" s="658"/>
      <c r="AH606" s="658"/>
      <c r="AI606" s="658"/>
      <c r="AJ606" s="658"/>
      <c r="AK606" s="658"/>
      <c r="AL606" s="658"/>
      <c r="AM606" s="658"/>
      <c r="AN606" s="658"/>
      <c r="AO606" s="658"/>
      <c r="AP606" s="658"/>
      <c r="AQ606" s="658"/>
      <c r="AR606" s="658"/>
      <c r="AS606" s="658"/>
      <c r="AT606" s="658"/>
      <c r="AU606" s="658"/>
      <c r="AV606" s="658"/>
      <c r="AW606" s="658"/>
      <c r="AX606" s="658"/>
      <c r="AY606" s="658"/>
      <c r="AZ606" s="658"/>
      <c r="BA606" s="658"/>
      <c r="BB606" s="658"/>
      <c r="BC606" s="658"/>
      <c r="BD606" s="658"/>
      <c r="BE606" s="658"/>
      <c r="BF606" s="658"/>
      <c r="BG606" s="658"/>
      <c r="BH606" s="592"/>
      <c r="BI606" s="592"/>
      <c r="BJ606" s="592"/>
      <c r="BK606" s="592"/>
      <c r="BL606" s="592"/>
      <c r="BM606" s="592"/>
      <c r="BN606" s="592"/>
      <c r="BO606" s="592"/>
      <c r="BP606" s="592"/>
      <c r="BQ606" s="592"/>
    </row>
    <row r="607" spans="1:69" ht="12" customHeight="1" x14ac:dyDescent="0.15">
      <c r="A607" s="592"/>
      <c r="B607" s="658"/>
      <c r="C607" s="658"/>
      <c r="D607" s="658"/>
      <c r="E607" s="658"/>
      <c r="F607" s="658"/>
      <c r="G607" s="658"/>
      <c r="H607" s="658"/>
      <c r="I607" s="658"/>
      <c r="J607" s="658"/>
      <c r="K607" s="658"/>
      <c r="L607" s="658"/>
      <c r="M607" s="658"/>
      <c r="N607" s="658"/>
      <c r="O607" s="658"/>
      <c r="P607" s="658"/>
      <c r="Q607" s="658"/>
      <c r="R607" s="658"/>
      <c r="S607" s="658"/>
      <c r="T607" s="658"/>
      <c r="U607" s="658"/>
      <c r="V607" s="658"/>
      <c r="W607" s="658"/>
      <c r="X607" s="658"/>
      <c r="Y607" s="658"/>
      <c r="Z607" s="658"/>
      <c r="AA607" s="658"/>
      <c r="AB607" s="658"/>
      <c r="AC607" s="658"/>
      <c r="AD607" s="658"/>
      <c r="AE607" s="658"/>
      <c r="AF607" s="658"/>
      <c r="AG607" s="658"/>
      <c r="AH607" s="658"/>
      <c r="AI607" s="658"/>
      <c r="AJ607" s="658"/>
      <c r="AK607" s="658"/>
      <c r="AL607" s="658"/>
      <c r="AM607" s="658"/>
      <c r="AN607" s="658"/>
      <c r="AO607" s="658"/>
      <c r="AP607" s="658"/>
      <c r="AQ607" s="658"/>
      <c r="AR607" s="658"/>
      <c r="AS607" s="658"/>
      <c r="AT607" s="658"/>
      <c r="AU607" s="658"/>
      <c r="AV607" s="658"/>
      <c r="AW607" s="658"/>
      <c r="AX607" s="658"/>
      <c r="AY607" s="658"/>
      <c r="AZ607" s="658"/>
      <c r="BA607" s="658"/>
      <c r="BB607" s="658"/>
      <c r="BC607" s="658"/>
      <c r="BD607" s="658"/>
      <c r="BE607" s="658"/>
      <c r="BF607" s="658"/>
      <c r="BG607" s="658"/>
      <c r="BH607" s="592"/>
      <c r="BI607" s="592"/>
      <c r="BJ607" s="592"/>
      <c r="BK607" s="592"/>
      <c r="BL607" s="592"/>
      <c r="BM607" s="592"/>
      <c r="BN607" s="592"/>
      <c r="BO607" s="592"/>
      <c r="BP607" s="592"/>
      <c r="BQ607" s="592"/>
    </row>
    <row r="608" spans="1:69" ht="12" customHeight="1" x14ac:dyDescent="0.15">
      <c r="A608" s="592"/>
      <c r="B608" s="658"/>
      <c r="C608" s="658"/>
      <c r="D608" s="658"/>
      <c r="E608" s="658"/>
      <c r="F608" s="658"/>
      <c r="G608" s="658"/>
      <c r="H608" s="658"/>
      <c r="I608" s="658"/>
      <c r="J608" s="658"/>
      <c r="K608" s="658"/>
      <c r="L608" s="658"/>
      <c r="M608" s="658"/>
      <c r="N608" s="658"/>
      <c r="O608" s="658"/>
      <c r="P608" s="658"/>
      <c r="Q608" s="658"/>
      <c r="R608" s="658"/>
      <c r="S608" s="658"/>
      <c r="T608" s="658"/>
      <c r="U608" s="658"/>
      <c r="V608" s="658"/>
      <c r="W608" s="658"/>
      <c r="X608" s="658"/>
      <c r="Y608" s="658"/>
      <c r="Z608" s="658"/>
      <c r="AA608" s="658"/>
      <c r="AB608" s="658"/>
      <c r="AC608" s="658"/>
      <c r="AD608" s="658"/>
      <c r="AE608" s="658"/>
      <c r="AF608" s="658"/>
      <c r="AG608" s="658"/>
      <c r="AH608" s="658"/>
      <c r="AI608" s="658"/>
      <c r="AJ608" s="658"/>
      <c r="AK608" s="658"/>
      <c r="AL608" s="658"/>
      <c r="AM608" s="658"/>
      <c r="AN608" s="658"/>
      <c r="AO608" s="658"/>
      <c r="AP608" s="658"/>
      <c r="AQ608" s="658"/>
      <c r="AR608" s="658"/>
      <c r="AS608" s="658"/>
      <c r="AT608" s="658"/>
      <c r="AU608" s="658"/>
      <c r="AV608" s="658"/>
      <c r="AW608" s="658"/>
      <c r="AX608" s="658"/>
      <c r="AY608" s="658"/>
      <c r="AZ608" s="658"/>
      <c r="BA608" s="658"/>
      <c r="BB608" s="658"/>
      <c r="BC608" s="658"/>
      <c r="BD608" s="658"/>
      <c r="BE608" s="658"/>
      <c r="BF608" s="658"/>
      <c r="BG608" s="658"/>
      <c r="BH608" s="592"/>
      <c r="BI608" s="592"/>
      <c r="BJ608" s="592"/>
      <c r="BK608" s="592"/>
      <c r="BL608" s="592"/>
      <c r="BM608" s="592"/>
      <c r="BN608" s="592"/>
      <c r="BO608" s="592"/>
      <c r="BP608" s="592"/>
      <c r="BQ608" s="592"/>
    </row>
    <row r="609" spans="1:69" ht="12" customHeight="1" x14ac:dyDescent="0.15">
      <c r="A609" s="592"/>
      <c r="B609" s="658"/>
      <c r="C609" s="658"/>
      <c r="D609" s="658"/>
      <c r="E609" s="658"/>
      <c r="F609" s="658"/>
      <c r="G609" s="658"/>
      <c r="H609" s="658"/>
      <c r="I609" s="658"/>
      <c r="J609" s="658"/>
      <c r="K609" s="658"/>
      <c r="L609" s="658"/>
      <c r="M609" s="658"/>
      <c r="N609" s="658"/>
      <c r="O609" s="658"/>
      <c r="P609" s="658"/>
      <c r="Q609" s="658"/>
      <c r="R609" s="658"/>
      <c r="S609" s="658"/>
      <c r="T609" s="658"/>
      <c r="U609" s="658"/>
      <c r="V609" s="658"/>
      <c r="W609" s="658"/>
      <c r="X609" s="658"/>
      <c r="Y609" s="658"/>
      <c r="Z609" s="658"/>
      <c r="AA609" s="658"/>
      <c r="AB609" s="658"/>
      <c r="AC609" s="658"/>
      <c r="AD609" s="658"/>
      <c r="AE609" s="658"/>
      <c r="AF609" s="658"/>
      <c r="AG609" s="658"/>
      <c r="AH609" s="658"/>
      <c r="AI609" s="658"/>
      <c r="AJ609" s="658"/>
      <c r="AK609" s="658"/>
      <c r="AL609" s="658"/>
      <c r="AM609" s="658"/>
      <c r="AN609" s="658"/>
      <c r="AO609" s="658"/>
      <c r="AP609" s="658"/>
      <c r="AQ609" s="658"/>
      <c r="AR609" s="658"/>
      <c r="AS609" s="658"/>
      <c r="AT609" s="658"/>
      <c r="AU609" s="658"/>
      <c r="AV609" s="658"/>
      <c r="AW609" s="658"/>
      <c r="AX609" s="658"/>
      <c r="AY609" s="658"/>
      <c r="AZ609" s="658"/>
      <c r="BA609" s="658"/>
      <c r="BB609" s="658"/>
      <c r="BC609" s="658"/>
      <c r="BD609" s="658"/>
      <c r="BE609" s="658"/>
      <c r="BF609" s="658"/>
      <c r="BG609" s="658"/>
      <c r="BH609" s="592"/>
      <c r="BI609" s="592"/>
      <c r="BJ609" s="592"/>
      <c r="BK609" s="592"/>
      <c r="BL609" s="592"/>
      <c r="BM609" s="592"/>
      <c r="BN609" s="592"/>
      <c r="BO609" s="592"/>
      <c r="BP609" s="592"/>
      <c r="BQ609" s="592"/>
    </row>
    <row r="610" spans="1:69" ht="12" customHeight="1" x14ac:dyDescent="0.15">
      <c r="A610" s="592"/>
      <c r="B610" s="658"/>
      <c r="C610" s="658"/>
      <c r="D610" s="658"/>
      <c r="E610" s="658"/>
      <c r="F610" s="658"/>
      <c r="G610" s="658"/>
      <c r="H610" s="658"/>
      <c r="I610" s="658"/>
      <c r="J610" s="658"/>
      <c r="K610" s="658"/>
      <c r="L610" s="658"/>
      <c r="M610" s="658"/>
      <c r="N610" s="658"/>
      <c r="O610" s="658"/>
      <c r="P610" s="658"/>
      <c r="Q610" s="658"/>
      <c r="R610" s="658"/>
      <c r="S610" s="658"/>
      <c r="T610" s="658"/>
      <c r="U610" s="658"/>
      <c r="V610" s="658"/>
      <c r="W610" s="658"/>
      <c r="X610" s="658"/>
      <c r="Y610" s="658"/>
      <c r="Z610" s="658"/>
      <c r="AA610" s="658"/>
      <c r="AB610" s="658"/>
      <c r="AC610" s="658"/>
      <c r="AD610" s="658"/>
      <c r="AE610" s="658"/>
      <c r="AF610" s="658"/>
      <c r="AG610" s="658"/>
      <c r="AH610" s="658"/>
      <c r="AI610" s="658"/>
      <c r="AJ610" s="658"/>
      <c r="AK610" s="658"/>
      <c r="AL610" s="658"/>
      <c r="AM610" s="658"/>
      <c r="AN610" s="658"/>
      <c r="AO610" s="658"/>
      <c r="AP610" s="658"/>
      <c r="AQ610" s="658"/>
      <c r="AR610" s="658"/>
      <c r="AS610" s="658"/>
      <c r="AT610" s="658"/>
      <c r="AU610" s="658"/>
      <c r="AV610" s="658"/>
      <c r="AW610" s="658"/>
      <c r="AX610" s="658"/>
      <c r="AY610" s="658"/>
      <c r="AZ610" s="658"/>
      <c r="BA610" s="658"/>
      <c r="BB610" s="658"/>
      <c r="BC610" s="658"/>
      <c r="BD610" s="658"/>
      <c r="BE610" s="658"/>
      <c r="BF610" s="658"/>
      <c r="BG610" s="658"/>
      <c r="BH610" s="592"/>
      <c r="BI610" s="592"/>
      <c r="BJ610" s="592"/>
      <c r="BK610" s="592"/>
      <c r="BL610" s="592"/>
      <c r="BM610" s="592"/>
      <c r="BN610" s="592"/>
      <c r="BO610" s="592"/>
      <c r="BP610" s="592"/>
      <c r="BQ610" s="592"/>
    </row>
    <row r="611" spans="1:69" ht="12" customHeight="1" x14ac:dyDescent="0.15">
      <c r="A611" s="592"/>
      <c r="B611" s="658"/>
      <c r="C611" s="658"/>
      <c r="D611" s="658"/>
      <c r="E611" s="658"/>
      <c r="F611" s="658"/>
      <c r="G611" s="658"/>
      <c r="H611" s="658"/>
      <c r="I611" s="658"/>
      <c r="J611" s="658"/>
      <c r="K611" s="658"/>
      <c r="L611" s="658"/>
      <c r="M611" s="658"/>
      <c r="N611" s="658"/>
      <c r="O611" s="658"/>
      <c r="P611" s="658"/>
      <c r="Q611" s="658"/>
      <c r="R611" s="658"/>
      <c r="S611" s="658"/>
      <c r="T611" s="658"/>
      <c r="U611" s="658"/>
      <c r="V611" s="658"/>
      <c r="W611" s="658"/>
      <c r="X611" s="658"/>
      <c r="Y611" s="658"/>
      <c r="Z611" s="658"/>
      <c r="AA611" s="658"/>
      <c r="AB611" s="658"/>
      <c r="AC611" s="658"/>
      <c r="AD611" s="658"/>
      <c r="AE611" s="658"/>
      <c r="AF611" s="658"/>
      <c r="AG611" s="658"/>
      <c r="AH611" s="658"/>
      <c r="AI611" s="658"/>
      <c r="AJ611" s="658"/>
      <c r="AK611" s="658"/>
      <c r="AL611" s="658"/>
      <c r="AM611" s="658"/>
      <c r="AN611" s="658"/>
      <c r="AO611" s="658"/>
      <c r="AP611" s="658"/>
      <c r="AQ611" s="658"/>
      <c r="AR611" s="658"/>
      <c r="AS611" s="658"/>
      <c r="AT611" s="658"/>
      <c r="AU611" s="658"/>
      <c r="AV611" s="658"/>
      <c r="AW611" s="658"/>
      <c r="AX611" s="658"/>
      <c r="AY611" s="658"/>
      <c r="AZ611" s="658"/>
      <c r="BA611" s="658"/>
      <c r="BB611" s="658"/>
      <c r="BC611" s="658"/>
      <c r="BD611" s="658"/>
      <c r="BE611" s="658"/>
      <c r="BF611" s="658"/>
      <c r="BG611" s="658"/>
      <c r="BH611" s="592"/>
      <c r="BI611" s="592"/>
      <c r="BJ611" s="592"/>
      <c r="BK611" s="592"/>
      <c r="BL611" s="592"/>
      <c r="BM611" s="592"/>
      <c r="BN611" s="592"/>
      <c r="BO611" s="592"/>
      <c r="BP611" s="592"/>
      <c r="BQ611" s="592"/>
    </row>
    <row r="612" spans="1:69" ht="12" customHeight="1" x14ac:dyDescent="0.15">
      <c r="A612" s="592"/>
      <c r="B612" s="658"/>
      <c r="C612" s="658"/>
      <c r="D612" s="658"/>
      <c r="E612" s="658"/>
      <c r="F612" s="658"/>
      <c r="G612" s="658"/>
      <c r="H612" s="658"/>
      <c r="I612" s="658"/>
      <c r="J612" s="658"/>
      <c r="K612" s="658"/>
      <c r="L612" s="658"/>
      <c r="M612" s="658"/>
      <c r="N612" s="658"/>
      <c r="O612" s="658"/>
      <c r="P612" s="658"/>
      <c r="Q612" s="658"/>
      <c r="R612" s="658"/>
      <c r="S612" s="658"/>
      <c r="T612" s="658"/>
      <c r="U612" s="658"/>
      <c r="V612" s="658"/>
      <c r="W612" s="658"/>
      <c r="X612" s="658"/>
      <c r="Y612" s="658"/>
      <c r="Z612" s="658"/>
      <c r="AA612" s="658"/>
      <c r="AB612" s="658"/>
      <c r="AC612" s="658"/>
      <c r="AD612" s="658"/>
      <c r="AE612" s="658"/>
      <c r="AF612" s="658"/>
      <c r="AG612" s="658"/>
      <c r="AH612" s="658"/>
      <c r="AI612" s="658"/>
      <c r="AJ612" s="658"/>
      <c r="AK612" s="658"/>
      <c r="AL612" s="658"/>
      <c r="AM612" s="658"/>
      <c r="AN612" s="658"/>
      <c r="AO612" s="658"/>
      <c r="AP612" s="658"/>
      <c r="AQ612" s="658"/>
      <c r="AR612" s="658"/>
      <c r="AS612" s="658"/>
      <c r="AT612" s="658"/>
      <c r="AU612" s="658"/>
      <c r="AV612" s="658"/>
      <c r="AW612" s="658"/>
      <c r="AX612" s="658"/>
      <c r="AY612" s="658"/>
      <c r="AZ612" s="658"/>
      <c r="BA612" s="658"/>
      <c r="BB612" s="658"/>
      <c r="BC612" s="658"/>
      <c r="BD612" s="658"/>
      <c r="BE612" s="658"/>
      <c r="BF612" s="658"/>
      <c r="BG612" s="658"/>
      <c r="BH612" s="592"/>
      <c r="BI612" s="592"/>
      <c r="BJ612" s="592"/>
      <c r="BK612" s="592"/>
      <c r="BL612" s="592"/>
      <c r="BM612" s="592"/>
      <c r="BN612" s="592"/>
      <c r="BO612" s="592"/>
      <c r="BP612" s="592"/>
      <c r="BQ612" s="592"/>
    </row>
    <row r="613" spans="1:69" ht="12" customHeight="1" x14ac:dyDescent="0.15">
      <c r="A613" s="592"/>
      <c r="B613" s="658"/>
      <c r="C613" s="658"/>
      <c r="D613" s="658"/>
      <c r="E613" s="658"/>
      <c r="F613" s="658"/>
      <c r="G613" s="658"/>
      <c r="H613" s="658"/>
      <c r="I613" s="658"/>
      <c r="J613" s="658"/>
      <c r="K613" s="658"/>
      <c r="L613" s="658"/>
      <c r="M613" s="658"/>
      <c r="N613" s="658"/>
      <c r="O613" s="658"/>
      <c r="P613" s="658"/>
      <c r="Q613" s="658"/>
      <c r="R613" s="658"/>
      <c r="S613" s="658"/>
      <c r="T613" s="658"/>
      <c r="U613" s="658"/>
      <c r="V613" s="658"/>
      <c r="W613" s="658"/>
      <c r="X613" s="658"/>
      <c r="Y613" s="658"/>
      <c r="Z613" s="658"/>
      <c r="AA613" s="658"/>
      <c r="AB613" s="658"/>
      <c r="AC613" s="658"/>
      <c r="AD613" s="658"/>
      <c r="AE613" s="658"/>
      <c r="AF613" s="658"/>
      <c r="AG613" s="658"/>
      <c r="AH613" s="658"/>
      <c r="AI613" s="658"/>
      <c r="AJ613" s="658"/>
      <c r="AK613" s="658"/>
      <c r="AL613" s="658"/>
      <c r="AM613" s="658"/>
      <c r="AN613" s="658"/>
      <c r="AO613" s="658"/>
      <c r="AP613" s="658"/>
      <c r="AQ613" s="658"/>
      <c r="AR613" s="658"/>
      <c r="AS613" s="658"/>
      <c r="AT613" s="658"/>
      <c r="AU613" s="658"/>
      <c r="AV613" s="658"/>
      <c r="AW613" s="658"/>
      <c r="AX613" s="658"/>
      <c r="AY613" s="658"/>
      <c r="AZ613" s="658"/>
      <c r="BA613" s="658"/>
      <c r="BB613" s="658"/>
      <c r="BC613" s="658"/>
      <c r="BD613" s="658"/>
      <c r="BE613" s="658"/>
      <c r="BF613" s="658"/>
      <c r="BG613" s="658"/>
      <c r="BH613" s="592"/>
      <c r="BI613" s="592"/>
      <c r="BJ613" s="592"/>
      <c r="BK613" s="592"/>
      <c r="BL613" s="592"/>
      <c r="BM613" s="592"/>
      <c r="BN613" s="592"/>
      <c r="BO613" s="592"/>
      <c r="BP613" s="592"/>
      <c r="BQ613" s="592"/>
    </row>
    <row r="614" spans="1:69" ht="12" customHeight="1" x14ac:dyDescent="0.15">
      <c r="A614" s="592"/>
      <c r="B614" s="658"/>
      <c r="C614" s="658"/>
      <c r="D614" s="658"/>
      <c r="E614" s="658"/>
      <c r="F614" s="658"/>
      <c r="G614" s="658"/>
      <c r="H614" s="658"/>
      <c r="I614" s="658"/>
      <c r="J614" s="658"/>
      <c r="K614" s="658"/>
      <c r="L614" s="658"/>
      <c r="M614" s="658"/>
      <c r="N614" s="658"/>
      <c r="O614" s="658"/>
      <c r="P614" s="658"/>
      <c r="Q614" s="658"/>
      <c r="R614" s="658"/>
      <c r="S614" s="658"/>
      <c r="T614" s="658"/>
      <c r="U614" s="658"/>
      <c r="V614" s="658"/>
      <c r="W614" s="658"/>
      <c r="X614" s="658"/>
      <c r="Y614" s="658"/>
      <c r="Z614" s="658"/>
      <c r="AA614" s="658"/>
      <c r="AB614" s="658"/>
      <c r="AC614" s="658"/>
      <c r="AD614" s="658"/>
      <c r="AE614" s="658"/>
      <c r="AF614" s="658"/>
      <c r="AG614" s="658"/>
      <c r="AH614" s="658"/>
      <c r="AI614" s="658"/>
      <c r="AJ614" s="658"/>
      <c r="AK614" s="658"/>
      <c r="AL614" s="658"/>
      <c r="AM614" s="658"/>
      <c r="AN614" s="658"/>
      <c r="AO614" s="658"/>
      <c r="AP614" s="658"/>
      <c r="AQ614" s="658"/>
      <c r="AR614" s="658"/>
      <c r="AS614" s="658"/>
      <c r="AT614" s="658"/>
      <c r="AU614" s="658"/>
      <c r="AV614" s="658"/>
      <c r="AW614" s="658"/>
      <c r="AX614" s="658"/>
      <c r="AY614" s="658"/>
      <c r="AZ614" s="658"/>
      <c r="BA614" s="658"/>
      <c r="BB614" s="658"/>
      <c r="BC614" s="658"/>
      <c r="BD614" s="658"/>
      <c r="BE614" s="658"/>
      <c r="BF614" s="658"/>
      <c r="BG614" s="658"/>
      <c r="BH614" s="592"/>
      <c r="BI614" s="592"/>
      <c r="BJ614" s="592"/>
      <c r="BK614" s="592"/>
      <c r="BL614" s="592"/>
      <c r="BM614" s="592"/>
      <c r="BN614" s="592"/>
      <c r="BO614" s="592"/>
      <c r="BP614" s="592"/>
      <c r="BQ614" s="592"/>
    </row>
    <row r="615" spans="1:69" ht="12" customHeight="1" x14ac:dyDescent="0.15">
      <c r="A615" s="592"/>
      <c r="B615" s="658"/>
      <c r="C615" s="658"/>
      <c r="D615" s="658"/>
      <c r="E615" s="658"/>
      <c r="F615" s="658"/>
      <c r="G615" s="658"/>
      <c r="H615" s="658"/>
      <c r="I615" s="658"/>
      <c r="J615" s="658"/>
      <c r="K615" s="658"/>
      <c r="L615" s="658"/>
      <c r="M615" s="658"/>
      <c r="N615" s="658"/>
      <c r="O615" s="658"/>
      <c r="P615" s="658"/>
      <c r="Q615" s="658"/>
      <c r="R615" s="658"/>
      <c r="S615" s="658"/>
      <c r="T615" s="658"/>
      <c r="U615" s="658"/>
      <c r="V615" s="658"/>
      <c r="W615" s="658"/>
      <c r="X615" s="658"/>
      <c r="Y615" s="658"/>
      <c r="Z615" s="658"/>
      <c r="AA615" s="658"/>
      <c r="AB615" s="658"/>
      <c r="AC615" s="658"/>
      <c r="AD615" s="658"/>
      <c r="AE615" s="658"/>
      <c r="AF615" s="658"/>
      <c r="AG615" s="658"/>
      <c r="AH615" s="658"/>
      <c r="AI615" s="658"/>
      <c r="AJ615" s="658"/>
      <c r="AK615" s="658"/>
      <c r="AL615" s="658"/>
      <c r="AM615" s="658"/>
      <c r="AN615" s="658"/>
      <c r="AO615" s="658"/>
      <c r="AP615" s="658"/>
      <c r="AQ615" s="658"/>
      <c r="AR615" s="658"/>
      <c r="AS615" s="658"/>
      <c r="AT615" s="658"/>
      <c r="AU615" s="658"/>
      <c r="AV615" s="658"/>
      <c r="AW615" s="658"/>
      <c r="AX615" s="658"/>
      <c r="AY615" s="658"/>
      <c r="AZ615" s="658"/>
      <c r="BA615" s="658"/>
      <c r="BB615" s="658"/>
      <c r="BC615" s="658"/>
      <c r="BD615" s="658"/>
      <c r="BE615" s="658"/>
      <c r="BF615" s="658"/>
      <c r="BG615" s="658"/>
      <c r="BH615" s="592"/>
      <c r="BI615" s="592"/>
      <c r="BJ615" s="592"/>
      <c r="BK615" s="592"/>
      <c r="BL615" s="592"/>
      <c r="BM615" s="592"/>
      <c r="BN615" s="592"/>
      <c r="BO615" s="592"/>
      <c r="BP615" s="592"/>
      <c r="BQ615" s="592"/>
    </row>
    <row r="616" spans="1:69" ht="12" customHeight="1" x14ac:dyDescent="0.15">
      <c r="A616" s="592"/>
      <c r="B616" s="658"/>
      <c r="C616" s="658"/>
      <c r="D616" s="658"/>
      <c r="E616" s="658"/>
      <c r="F616" s="658"/>
      <c r="G616" s="658"/>
      <c r="H616" s="658"/>
      <c r="I616" s="658"/>
      <c r="J616" s="658"/>
      <c r="K616" s="658"/>
      <c r="L616" s="658"/>
      <c r="M616" s="658"/>
      <c r="N616" s="658"/>
      <c r="O616" s="658"/>
      <c r="P616" s="658"/>
      <c r="Q616" s="658"/>
      <c r="R616" s="658"/>
      <c r="S616" s="658"/>
      <c r="T616" s="658"/>
      <c r="U616" s="658"/>
      <c r="V616" s="658"/>
      <c r="W616" s="658"/>
      <c r="X616" s="658"/>
      <c r="Y616" s="658"/>
      <c r="Z616" s="658"/>
      <c r="AA616" s="658"/>
      <c r="AB616" s="658"/>
      <c r="AC616" s="658"/>
      <c r="AD616" s="658"/>
      <c r="AE616" s="658"/>
      <c r="AF616" s="658"/>
      <c r="AG616" s="658"/>
      <c r="AH616" s="658"/>
      <c r="AI616" s="658"/>
      <c r="AJ616" s="658"/>
      <c r="AK616" s="658"/>
      <c r="AL616" s="658"/>
      <c r="AM616" s="658"/>
      <c r="AN616" s="658"/>
      <c r="AO616" s="658"/>
      <c r="AP616" s="658"/>
      <c r="AQ616" s="658"/>
      <c r="AR616" s="658"/>
      <c r="AS616" s="658"/>
      <c r="AT616" s="658"/>
      <c r="AU616" s="658"/>
      <c r="AV616" s="658"/>
      <c r="AW616" s="658"/>
      <c r="AX616" s="658"/>
      <c r="AY616" s="658"/>
      <c r="AZ616" s="658"/>
      <c r="BA616" s="658"/>
      <c r="BB616" s="658"/>
      <c r="BC616" s="658"/>
      <c r="BD616" s="658"/>
      <c r="BE616" s="658"/>
      <c r="BF616" s="658"/>
      <c r="BG616" s="658"/>
      <c r="BH616" s="592"/>
      <c r="BI616" s="592"/>
      <c r="BJ616" s="592"/>
      <c r="BK616" s="592"/>
      <c r="BL616" s="592"/>
      <c r="BM616" s="592"/>
      <c r="BN616" s="592"/>
      <c r="BO616" s="592"/>
      <c r="BP616" s="592"/>
      <c r="BQ616" s="592"/>
    </row>
    <row r="617" spans="1:69" ht="12" customHeight="1" x14ac:dyDescent="0.15">
      <c r="A617" s="592"/>
      <c r="B617" s="658"/>
      <c r="C617" s="658"/>
      <c r="D617" s="658"/>
      <c r="E617" s="658"/>
      <c r="F617" s="658"/>
      <c r="G617" s="658"/>
      <c r="H617" s="658"/>
      <c r="I617" s="658"/>
      <c r="J617" s="658"/>
      <c r="K617" s="658"/>
      <c r="L617" s="658"/>
      <c r="M617" s="658"/>
      <c r="N617" s="658"/>
      <c r="O617" s="658"/>
      <c r="P617" s="658"/>
      <c r="Q617" s="658"/>
      <c r="R617" s="658"/>
      <c r="S617" s="658"/>
      <c r="T617" s="658"/>
      <c r="U617" s="658"/>
      <c r="V617" s="658"/>
      <c r="W617" s="658"/>
      <c r="X617" s="658"/>
      <c r="Y617" s="658"/>
      <c r="Z617" s="658"/>
      <c r="AA617" s="658"/>
      <c r="AB617" s="658"/>
      <c r="AC617" s="658"/>
      <c r="AD617" s="658"/>
      <c r="AE617" s="658"/>
      <c r="AF617" s="658"/>
      <c r="AG617" s="658"/>
      <c r="AH617" s="658"/>
      <c r="AI617" s="658"/>
      <c r="AJ617" s="658"/>
      <c r="AK617" s="658"/>
      <c r="AL617" s="658"/>
      <c r="AM617" s="658"/>
      <c r="AN617" s="658"/>
      <c r="AO617" s="658"/>
      <c r="AP617" s="658"/>
      <c r="AQ617" s="658"/>
      <c r="AR617" s="658"/>
      <c r="AS617" s="658"/>
      <c r="AT617" s="658"/>
      <c r="AU617" s="658"/>
      <c r="AV617" s="658"/>
      <c r="AW617" s="658"/>
      <c r="AX617" s="658"/>
      <c r="AY617" s="658"/>
      <c r="AZ617" s="658"/>
      <c r="BA617" s="658"/>
      <c r="BB617" s="658"/>
      <c r="BC617" s="658"/>
      <c r="BD617" s="658"/>
      <c r="BE617" s="658"/>
      <c r="BF617" s="658"/>
      <c r="BG617" s="658"/>
      <c r="BH617" s="592"/>
      <c r="BI617" s="592"/>
      <c r="BJ617" s="592"/>
      <c r="BK617" s="592"/>
      <c r="BL617" s="592"/>
      <c r="BM617" s="592"/>
      <c r="BN617" s="592"/>
      <c r="BO617" s="592"/>
      <c r="BP617" s="592"/>
      <c r="BQ617" s="592"/>
    </row>
    <row r="618" spans="1:69" ht="12" customHeight="1" x14ac:dyDescent="0.15">
      <c r="A618" s="592"/>
      <c r="B618" s="658"/>
      <c r="C618" s="658"/>
      <c r="D618" s="658"/>
      <c r="E618" s="658"/>
      <c r="F618" s="658"/>
      <c r="G618" s="658"/>
      <c r="H618" s="658"/>
      <c r="I618" s="658"/>
      <c r="J618" s="658"/>
      <c r="K618" s="658"/>
      <c r="L618" s="658"/>
      <c r="M618" s="658"/>
      <c r="N618" s="658"/>
      <c r="O618" s="658"/>
      <c r="P618" s="658"/>
      <c r="Q618" s="658"/>
      <c r="R618" s="658"/>
      <c r="S618" s="658"/>
      <c r="T618" s="658"/>
      <c r="U618" s="658"/>
      <c r="V618" s="658"/>
      <c r="W618" s="658"/>
      <c r="X618" s="658"/>
      <c r="Y618" s="658"/>
      <c r="Z618" s="658"/>
      <c r="AA618" s="658"/>
      <c r="AB618" s="658"/>
      <c r="AC618" s="658"/>
      <c r="AD618" s="658"/>
      <c r="AE618" s="658"/>
      <c r="AF618" s="658"/>
      <c r="AG618" s="658"/>
      <c r="AH618" s="658"/>
      <c r="AI618" s="658"/>
      <c r="AJ618" s="658"/>
      <c r="AK618" s="658"/>
      <c r="AL618" s="658"/>
      <c r="AM618" s="658"/>
      <c r="AN618" s="658"/>
      <c r="AO618" s="658"/>
      <c r="AP618" s="658"/>
      <c r="AQ618" s="658"/>
      <c r="AR618" s="658"/>
      <c r="AS618" s="658"/>
      <c r="AT618" s="658"/>
      <c r="AU618" s="658"/>
      <c r="AV618" s="658"/>
      <c r="AW618" s="658"/>
      <c r="AX618" s="658"/>
      <c r="AY618" s="658"/>
      <c r="AZ618" s="658"/>
      <c r="BA618" s="658"/>
      <c r="BB618" s="658"/>
      <c r="BC618" s="658"/>
      <c r="BD618" s="658"/>
      <c r="BE618" s="658"/>
      <c r="BF618" s="658"/>
      <c r="BG618" s="658"/>
      <c r="BH618" s="592"/>
      <c r="BI618" s="592"/>
      <c r="BJ618" s="592"/>
      <c r="BK618" s="592"/>
      <c r="BL618" s="592"/>
      <c r="BM618" s="592"/>
      <c r="BN618" s="592"/>
      <c r="BO618" s="592"/>
      <c r="BP618" s="592"/>
      <c r="BQ618" s="592"/>
    </row>
    <row r="619" spans="1:69" ht="12" customHeight="1" x14ac:dyDescent="0.15">
      <c r="A619" s="592"/>
      <c r="B619" s="658"/>
      <c r="C619" s="658"/>
      <c r="D619" s="658"/>
      <c r="E619" s="658"/>
      <c r="F619" s="658"/>
      <c r="G619" s="658"/>
      <c r="H619" s="658"/>
      <c r="I619" s="658"/>
      <c r="J619" s="658"/>
      <c r="K619" s="658"/>
      <c r="L619" s="658"/>
      <c r="M619" s="658"/>
      <c r="N619" s="658"/>
      <c r="O619" s="658"/>
      <c r="P619" s="658"/>
      <c r="Q619" s="658"/>
      <c r="R619" s="658"/>
      <c r="S619" s="658"/>
      <c r="T619" s="658"/>
      <c r="U619" s="658"/>
      <c r="V619" s="658"/>
      <c r="W619" s="658"/>
      <c r="X619" s="658"/>
      <c r="Y619" s="658"/>
      <c r="Z619" s="658"/>
      <c r="AA619" s="658"/>
      <c r="AB619" s="658"/>
      <c r="AC619" s="658"/>
      <c r="AD619" s="658"/>
      <c r="AE619" s="658"/>
      <c r="AF619" s="658"/>
      <c r="AG619" s="658"/>
      <c r="AH619" s="658"/>
      <c r="AI619" s="658"/>
      <c r="AJ619" s="658"/>
      <c r="AK619" s="658"/>
      <c r="AL619" s="658"/>
      <c r="AM619" s="658"/>
      <c r="AN619" s="658"/>
      <c r="AO619" s="658"/>
      <c r="AP619" s="658"/>
      <c r="AQ619" s="658"/>
      <c r="AR619" s="658"/>
      <c r="AS619" s="658"/>
      <c r="AT619" s="658"/>
      <c r="AU619" s="658"/>
      <c r="AV619" s="658"/>
      <c r="AW619" s="658"/>
      <c r="AX619" s="658"/>
      <c r="AY619" s="658"/>
      <c r="AZ619" s="658"/>
      <c r="BA619" s="658"/>
      <c r="BB619" s="658"/>
      <c r="BC619" s="658"/>
      <c r="BD619" s="658"/>
      <c r="BE619" s="658"/>
      <c r="BF619" s="658"/>
      <c r="BG619" s="658"/>
      <c r="BH619" s="592"/>
      <c r="BI619" s="592"/>
      <c r="BJ619" s="592"/>
      <c r="BK619" s="592"/>
      <c r="BL619" s="592"/>
      <c r="BM619" s="592"/>
      <c r="BN619" s="592"/>
      <c r="BO619" s="592"/>
      <c r="BP619" s="592"/>
      <c r="BQ619" s="592"/>
    </row>
    <row r="620" spans="1:69" ht="12" customHeight="1" x14ac:dyDescent="0.15">
      <c r="A620" s="592"/>
      <c r="B620" s="658"/>
      <c r="C620" s="658"/>
      <c r="D620" s="658"/>
      <c r="E620" s="658"/>
      <c r="F620" s="658"/>
      <c r="G620" s="658"/>
      <c r="H620" s="658"/>
      <c r="I620" s="658"/>
      <c r="J620" s="658"/>
      <c r="K620" s="658"/>
      <c r="L620" s="658"/>
      <c r="M620" s="658"/>
      <c r="N620" s="658"/>
      <c r="O620" s="658"/>
      <c r="P620" s="658"/>
      <c r="Q620" s="658"/>
      <c r="R620" s="658"/>
      <c r="S620" s="658"/>
      <c r="T620" s="658"/>
      <c r="U620" s="658"/>
      <c r="V620" s="658"/>
      <c r="W620" s="658"/>
      <c r="X620" s="658"/>
      <c r="Y620" s="658"/>
      <c r="Z620" s="658"/>
      <c r="AA620" s="658"/>
      <c r="AB620" s="658"/>
      <c r="AC620" s="658"/>
      <c r="AD620" s="658"/>
      <c r="AE620" s="658"/>
      <c r="AF620" s="658"/>
      <c r="AG620" s="658"/>
      <c r="AH620" s="658"/>
      <c r="AI620" s="658"/>
      <c r="AJ620" s="658"/>
      <c r="AK620" s="658"/>
      <c r="AL620" s="658"/>
      <c r="AM620" s="658"/>
      <c r="AN620" s="658"/>
      <c r="AO620" s="658"/>
      <c r="AP620" s="658"/>
      <c r="AQ620" s="658"/>
      <c r="AR620" s="658"/>
      <c r="AS620" s="658"/>
      <c r="AT620" s="658"/>
      <c r="AU620" s="658"/>
      <c r="AV620" s="658"/>
      <c r="AW620" s="658"/>
      <c r="AX620" s="658"/>
      <c r="AY620" s="658"/>
      <c r="AZ620" s="658"/>
      <c r="BA620" s="658"/>
      <c r="BB620" s="658"/>
      <c r="BC620" s="658"/>
      <c r="BD620" s="658"/>
      <c r="BE620" s="658"/>
      <c r="BF620" s="658"/>
      <c r="BG620" s="658"/>
      <c r="BH620" s="592"/>
      <c r="BI620" s="592"/>
      <c r="BJ620" s="592"/>
      <c r="BK620" s="592"/>
      <c r="BL620" s="592"/>
      <c r="BM620" s="592"/>
      <c r="BN620" s="592"/>
      <c r="BO620" s="592"/>
      <c r="BP620" s="592"/>
      <c r="BQ620" s="592"/>
    </row>
    <row r="621" spans="1:69" ht="12" customHeight="1" x14ac:dyDescent="0.15">
      <c r="A621" s="592"/>
      <c r="B621" s="658"/>
      <c r="C621" s="658"/>
      <c r="D621" s="658"/>
      <c r="E621" s="658"/>
      <c r="F621" s="658"/>
      <c r="G621" s="658"/>
      <c r="H621" s="658"/>
      <c r="I621" s="658"/>
      <c r="J621" s="658"/>
      <c r="K621" s="658"/>
      <c r="L621" s="658"/>
      <c r="M621" s="658"/>
      <c r="N621" s="658"/>
      <c r="O621" s="658"/>
      <c r="P621" s="658"/>
      <c r="Q621" s="658"/>
      <c r="R621" s="658"/>
      <c r="S621" s="658"/>
      <c r="T621" s="658"/>
      <c r="U621" s="658"/>
      <c r="V621" s="658"/>
      <c r="W621" s="658"/>
      <c r="X621" s="658"/>
      <c r="Y621" s="658"/>
      <c r="Z621" s="658"/>
      <c r="AA621" s="658"/>
      <c r="AB621" s="658"/>
      <c r="AC621" s="658"/>
      <c r="AD621" s="658"/>
      <c r="AE621" s="658"/>
      <c r="AF621" s="658"/>
      <c r="AG621" s="658"/>
      <c r="AH621" s="658"/>
      <c r="AI621" s="658"/>
      <c r="AJ621" s="658"/>
      <c r="AK621" s="658"/>
      <c r="AL621" s="658"/>
      <c r="AM621" s="658"/>
      <c r="AN621" s="658"/>
      <c r="AO621" s="658"/>
      <c r="AP621" s="658"/>
      <c r="AQ621" s="658"/>
      <c r="AR621" s="658"/>
      <c r="AS621" s="658"/>
      <c r="AT621" s="658"/>
      <c r="AU621" s="658"/>
      <c r="AV621" s="658"/>
      <c r="AW621" s="658"/>
      <c r="AX621" s="658"/>
      <c r="AY621" s="658"/>
      <c r="AZ621" s="658"/>
      <c r="BA621" s="658"/>
      <c r="BB621" s="658"/>
      <c r="BC621" s="658"/>
      <c r="BD621" s="658"/>
      <c r="BE621" s="658"/>
      <c r="BF621" s="658"/>
      <c r="BG621" s="658"/>
      <c r="BH621" s="592"/>
      <c r="BI621" s="592"/>
      <c r="BJ621" s="592"/>
      <c r="BK621" s="592"/>
      <c r="BL621" s="592"/>
      <c r="BM621" s="592"/>
      <c r="BN621" s="592"/>
      <c r="BO621" s="592"/>
      <c r="BP621" s="592"/>
      <c r="BQ621" s="592"/>
    </row>
    <row r="622" spans="1:69" ht="12" customHeight="1" x14ac:dyDescent="0.15">
      <c r="A622" s="592"/>
      <c r="B622" s="658"/>
      <c r="C622" s="658"/>
      <c r="D622" s="658"/>
      <c r="E622" s="658"/>
      <c r="F622" s="658"/>
      <c r="G622" s="658"/>
      <c r="H622" s="658"/>
      <c r="I622" s="658"/>
      <c r="J622" s="658"/>
      <c r="K622" s="658"/>
      <c r="L622" s="658"/>
      <c r="M622" s="658"/>
      <c r="N622" s="658"/>
      <c r="O622" s="658"/>
      <c r="P622" s="658"/>
      <c r="Q622" s="658"/>
      <c r="R622" s="658"/>
      <c r="S622" s="658"/>
      <c r="T622" s="658"/>
      <c r="U622" s="658"/>
      <c r="V622" s="658"/>
      <c r="W622" s="658"/>
      <c r="X622" s="658"/>
      <c r="Y622" s="658"/>
      <c r="Z622" s="658"/>
      <c r="AA622" s="658"/>
      <c r="AB622" s="658"/>
      <c r="AC622" s="658"/>
      <c r="AD622" s="658"/>
      <c r="AE622" s="658"/>
      <c r="AF622" s="658"/>
      <c r="AG622" s="658"/>
      <c r="AH622" s="658"/>
      <c r="AI622" s="658"/>
      <c r="AJ622" s="658"/>
      <c r="AK622" s="658"/>
      <c r="AL622" s="658"/>
      <c r="AM622" s="658"/>
      <c r="AN622" s="658"/>
      <c r="AO622" s="658"/>
      <c r="AP622" s="658"/>
      <c r="AQ622" s="658"/>
      <c r="AR622" s="658"/>
      <c r="AS622" s="658"/>
      <c r="AT622" s="658"/>
      <c r="AU622" s="658"/>
      <c r="AV622" s="658"/>
      <c r="AW622" s="658"/>
      <c r="AX622" s="658"/>
      <c r="AY622" s="658"/>
      <c r="AZ622" s="658"/>
      <c r="BA622" s="658"/>
      <c r="BB622" s="658"/>
      <c r="BC622" s="658"/>
      <c r="BD622" s="658"/>
      <c r="BE622" s="658"/>
      <c r="BF622" s="658"/>
      <c r="BG622" s="658"/>
      <c r="BH622" s="592"/>
      <c r="BI622" s="592"/>
      <c r="BJ622" s="592"/>
      <c r="BK622" s="592"/>
      <c r="BL622" s="592"/>
      <c r="BM622" s="592"/>
      <c r="BN622" s="592"/>
      <c r="BO622" s="592"/>
      <c r="BP622" s="592"/>
      <c r="BQ622" s="592"/>
    </row>
    <row r="623" spans="1:69" ht="12" customHeight="1" x14ac:dyDescent="0.15">
      <c r="A623" s="592"/>
      <c r="B623" s="658"/>
      <c r="C623" s="658"/>
      <c r="D623" s="658"/>
      <c r="E623" s="658"/>
      <c r="F623" s="658"/>
      <c r="G623" s="658"/>
      <c r="H623" s="658"/>
      <c r="I623" s="658"/>
      <c r="J623" s="658"/>
      <c r="K623" s="658"/>
      <c r="L623" s="658"/>
      <c r="M623" s="658"/>
      <c r="N623" s="658"/>
      <c r="O623" s="658"/>
      <c r="P623" s="658"/>
      <c r="Q623" s="658"/>
      <c r="R623" s="658"/>
      <c r="S623" s="658"/>
      <c r="T623" s="658"/>
      <c r="U623" s="658"/>
      <c r="V623" s="658"/>
      <c r="W623" s="658"/>
      <c r="X623" s="658"/>
      <c r="Y623" s="658"/>
      <c r="Z623" s="658"/>
      <c r="AA623" s="658"/>
      <c r="AB623" s="658"/>
      <c r="AC623" s="658"/>
      <c r="AD623" s="658"/>
      <c r="AE623" s="658"/>
      <c r="AF623" s="658"/>
      <c r="AG623" s="658"/>
      <c r="AH623" s="658"/>
      <c r="AI623" s="658"/>
      <c r="AJ623" s="658"/>
      <c r="AK623" s="658"/>
      <c r="AL623" s="658"/>
      <c r="AM623" s="658"/>
      <c r="AN623" s="658"/>
      <c r="AO623" s="658"/>
      <c r="AP623" s="658"/>
      <c r="AQ623" s="658"/>
      <c r="AR623" s="658"/>
      <c r="AS623" s="658"/>
      <c r="AT623" s="658"/>
      <c r="AU623" s="658"/>
      <c r="AV623" s="658"/>
      <c r="AW623" s="658"/>
      <c r="AX623" s="658"/>
      <c r="AY623" s="658"/>
      <c r="AZ623" s="658"/>
      <c r="BA623" s="658"/>
      <c r="BB623" s="658"/>
      <c r="BC623" s="658"/>
      <c r="BD623" s="658"/>
      <c r="BE623" s="658"/>
      <c r="BF623" s="658"/>
      <c r="BG623" s="658"/>
      <c r="BH623" s="592"/>
      <c r="BI623" s="592"/>
      <c r="BJ623" s="592"/>
      <c r="BK623" s="592"/>
      <c r="BL623" s="592"/>
      <c r="BM623" s="592"/>
      <c r="BN623" s="592"/>
      <c r="BO623" s="592"/>
      <c r="BP623" s="592"/>
      <c r="BQ623" s="592"/>
    </row>
    <row r="624" spans="1:69" ht="12" customHeight="1" x14ac:dyDescent="0.15">
      <c r="A624" s="592"/>
      <c r="B624" s="658"/>
      <c r="C624" s="658"/>
      <c r="D624" s="658"/>
      <c r="E624" s="658"/>
      <c r="F624" s="658"/>
      <c r="G624" s="658"/>
      <c r="H624" s="658"/>
      <c r="I624" s="658"/>
      <c r="J624" s="658"/>
      <c r="K624" s="658"/>
      <c r="L624" s="658"/>
      <c r="M624" s="658"/>
      <c r="N624" s="658"/>
      <c r="O624" s="658"/>
      <c r="P624" s="658"/>
      <c r="Q624" s="658"/>
      <c r="R624" s="658"/>
      <c r="S624" s="658"/>
      <c r="T624" s="658"/>
      <c r="U624" s="658"/>
      <c r="V624" s="658"/>
      <c r="W624" s="658"/>
      <c r="X624" s="658"/>
      <c r="Y624" s="658"/>
      <c r="Z624" s="658"/>
      <c r="AA624" s="658"/>
      <c r="AB624" s="658"/>
      <c r="AC624" s="658"/>
      <c r="AD624" s="658"/>
      <c r="AE624" s="658"/>
      <c r="AF624" s="658"/>
      <c r="AG624" s="658"/>
      <c r="AH624" s="658"/>
      <c r="AI624" s="658"/>
      <c r="AJ624" s="658"/>
      <c r="AK624" s="658"/>
      <c r="AL624" s="658"/>
      <c r="AM624" s="658"/>
      <c r="AN624" s="658"/>
      <c r="AO624" s="658"/>
      <c r="AP624" s="658"/>
      <c r="AQ624" s="658"/>
      <c r="AR624" s="658"/>
      <c r="AS624" s="658"/>
      <c r="AT624" s="658"/>
      <c r="AU624" s="658"/>
      <c r="AV624" s="658"/>
      <c r="AW624" s="658"/>
      <c r="AX624" s="658"/>
      <c r="AY624" s="658"/>
      <c r="AZ624" s="658"/>
      <c r="BA624" s="658"/>
      <c r="BB624" s="658"/>
      <c r="BC624" s="658"/>
      <c r="BD624" s="658"/>
      <c r="BE624" s="658"/>
      <c r="BF624" s="658"/>
      <c r="BG624" s="658"/>
      <c r="BH624" s="592"/>
      <c r="BI624" s="592"/>
      <c r="BJ624" s="592"/>
      <c r="BK624" s="592"/>
      <c r="BL624" s="592"/>
      <c r="BM624" s="592"/>
      <c r="BN624" s="592"/>
      <c r="BO624" s="592"/>
      <c r="BP624" s="592"/>
      <c r="BQ624" s="592"/>
    </row>
    <row r="625" spans="1:69" ht="12" customHeight="1" x14ac:dyDescent="0.15">
      <c r="A625" s="592"/>
      <c r="B625" s="658"/>
      <c r="C625" s="658"/>
      <c r="D625" s="658"/>
      <c r="E625" s="658"/>
      <c r="F625" s="658"/>
      <c r="G625" s="658"/>
      <c r="H625" s="658"/>
      <c r="I625" s="658"/>
      <c r="J625" s="658"/>
      <c r="K625" s="658"/>
      <c r="L625" s="658"/>
      <c r="M625" s="658"/>
      <c r="N625" s="658"/>
      <c r="O625" s="658"/>
      <c r="P625" s="658"/>
      <c r="Q625" s="658"/>
      <c r="R625" s="658"/>
      <c r="S625" s="658"/>
      <c r="T625" s="658"/>
      <c r="U625" s="658"/>
      <c r="V625" s="658"/>
      <c r="W625" s="658"/>
      <c r="X625" s="658"/>
      <c r="Y625" s="658"/>
      <c r="Z625" s="658"/>
      <c r="AA625" s="658"/>
      <c r="AB625" s="658"/>
      <c r="AC625" s="658"/>
      <c r="AD625" s="658"/>
      <c r="AE625" s="658"/>
      <c r="AF625" s="658"/>
      <c r="AG625" s="658"/>
      <c r="AH625" s="658"/>
      <c r="AI625" s="658"/>
      <c r="AJ625" s="658"/>
      <c r="AK625" s="658"/>
      <c r="AL625" s="658"/>
      <c r="AM625" s="658"/>
      <c r="AN625" s="658"/>
      <c r="AO625" s="658"/>
      <c r="AP625" s="658"/>
      <c r="AQ625" s="658"/>
      <c r="AR625" s="658"/>
      <c r="AS625" s="658"/>
      <c r="AT625" s="658"/>
      <c r="AU625" s="658"/>
      <c r="AV625" s="658"/>
      <c r="AW625" s="658"/>
      <c r="AX625" s="658"/>
      <c r="AY625" s="658"/>
      <c r="AZ625" s="658"/>
      <c r="BA625" s="658"/>
      <c r="BB625" s="658"/>
      <c r="BC625" s="658"/>
      <c r="BD625" s="658"/>
      <c r="BE625" s="658"/>
      <c r="BF625" s="658"/>
      <c r="BG625" s="658"/>
      <c r="BH625" s="592"/>
      <c r="BI625" s="592"/>
      <c r="BJ625" s="592"/>
      <c r="BK625" s="592"/>
      <c r="BL625" s="592"/>
      <c r="BM625" s="592"/>
      <c r="BN625" s="592"/>
      <c r="BO625" s="592"/>
      <c r="BP625" s="592"/>
      <c r="BQ625" s="592"/>
    </row>
    <row r="626" spans="1:69" ht="12" customHeight="1" x14ac:dyDescent="0.15">
      <c r="A626" s="592"/>
      <c r="B626" s="658"/>
      <c r="C626" s="658"/>
      <c r="D626" s="658"/>
      <c r="E626" s="658"/>
      <c r="F626" s="658"/>
      <c r="G626" s="658"/>
      <c r="H626" s="658"/>
      <c r="I626" s="658"/>
      <c r="J626" s="658"/>
      <c r="K626" s="658"/>
      <c r="L626" s="658"/>
      <c r="M626" s="658"/>
      <c r="N626" s="658"/>
      <c r="O626" s="658"/>
      <c r="P626" s="658"/>
      <c r="Q626" s="658"/>
      <c r="R626" s="658"/>
      <c r="S626" s="658"/>
      <c r="T626" s="658"/>
      <c r="U626" s="658"/>
      <c r="V626" s="658"/>
      <c r="W626" s="658"/>
      <c r="X626" s="658"/>
      <c r="Y626" s="658"/>
      <c r="Z626" s="658"/>
      <c r="AA626" s="658"/>
      <c r="AB626" s="658"/>
      <c r="AC626" s="658"/>
      <c r="AD626" s="658"/>
      <c r="AE626" s="658"/>
      <c r="AF626" s="658"/>
      <c r="AG626" s="658"/>
      <c r="AH626" s="658"/>
      <c r="AI626" s="658"/>
      <c r="AJ626" s="658"/>
      <c r="AK626" s="658"/>
      <c r="AL626" s="658"/>
      <c r="AM626" s="658"/>
      <c r="AN626" s="658"/>
      <c r="AO626" s="658"/>
      <c r="AP626" s="658"/>
      <c r="AQ626" s="658"/>
      <c r="AR626" s="658"/>
      <c r="AS626" s="658"/>
      <c r="AT626" s="658"/>
      <c r="AU626" s="658"/>
      <c r="AV626" s="658"/>
      <c r="AW626" s="658"/>
      <c r="AX626" s="658"/>
      <c r="AY626" s="658"/>
      <c r="AZ626" s="658"/>
      <c r="BA626" s="658"/>
      <c r="BB626" s="658"/>
      <c r="BC626" s="658"/>
      <c r="BD626" s="658"/>
      <c r="BE626" s="658"/>
      <c r="BF626" s="658"/>
      <c r="BG626" s="658"/>
      <c r="BH626" s="592"/>
      <c r="BI626" s="592"/>
      <c r="BJ626" s="592"/>
      <c r="BK626" s="592"/>
      <c r="BL626" s="592"/>
      <c r="BM626" s="592"/>
      <c r="BN626" s="592"/>
      <c r="BO626" s="592"/>
      <c r="BP626" s="592"/>
      <c r="BQ626" s="592"/>
    </row>
    <row r="627" spans="1:69" ht="12" customHeight="1" x14ac:dyDescent="0.15">
      <c r="A627" s="592"/>
      <c r="B627" s="658"/>
      <c r="C627" s="658"/>
      <c r="D627" s="658"/>
      <c r="E627" s="658"/>
      <c r="F627" s="658"/>
      <c r="G627" s="658"/>
      <c r="H627" s="658"/>
      <c r="I627" s="658"/>
      <c r="J627" s="658"/>
      <c r="K627" s="658"/>
      <c r="L627" s="658"/>
      <c r="M627" s="658"/>
      <c r="N627" s="658"/>
      <c r="O627" s="658"/>
      <c r="P627" s="658"/>
      <c r="Q627" s="658"/>
      <c r="R627" s="658"/>
      <c r="S627" s="658"/>
      <c r="T627" s="658"/>
      <c r="U627" s="658"/>
      <c r="V627" s="658"/>
      <c r="W627" s="658"/>
      <c r="X627" s="658"/>
      <c r="Y627" s="658"/>
      <c r="Z627" s="658"/>
      <c r="AA627" s="658"/>
      <c r="AB627" s="658"/>
      <c r="AC627" s="658"/>
      <c r="AD627" s="658"/>
      <c r="AE627" s="658"/>
      <c r="AF627" s="658"/>
      <c r="AG627" s="658"/>
      <c r="AH627" s="658"/>
      <c r="AI627" s="658"/>
      <c r="AJ627" s="658"/>
      <c r="AK627" s="658"/>
      <c r="AL627" s="658"/>
      <c r="AM627" s="658"/>
      <c r="AN627" s="658"/>
      <c r="AO627" s="658"/>
      <c r="AP627" s="658"/>
      <c r="AQ627" s="658"/>
      <c r="AR627" s="658"/>
      <c r="AS627" s="658"/>
      <c r="AT627" s="658"/>
      <c r="AU627" s="658"/>
      <c r="AV627" s="658"/>
      <c r="AW627" s="658"/>
      <c r="AX627" s="658"/>
      <c r="AY627" s="658"/>
      <c r="AZ627" s="658"/>
      <c r="BA627" s="658"/>
      <c r="BB627" s="658"/>
      <c r="BC627" s="658"/>
      <c r="BD627" s="658"/>
      <c r="BE627" s="658"/>
      <c r="BF627" s="658"/>
      <c r="BG627" s="658"/>
      <c r="BH627" s="592"/>
      <c r="BI627" s="592"/>
      <c r="BJ627" s="592"/>
      <c r="BK627" s="592"/>
      <c r="BL627" s="592"/>
      <c r="BM627" s="592"/>
      <c r="BN627" s="592"/>
      <c r="BO627" s="592"/>
      <c r="BP627" s="592"/>
      <c r="BQ627" s="592"/>
    </row>
    <row r="628" spans="1:69" ht="12" customHeight="1" x14ac:dyDescent="0.15">
      <c r="A628" s="592"/>
      <c r="B628" s="658"/>
      <c r="C628" s="658"/>
      <c r="D628" s="658"/>
      <c r="E628" s="658"/>
      <c r="F628" s="658"/>
      <c r="G628" s="658"/>
      <c r="H628" s="658"/>
      <c r="I628" s="658"/>
      <c r="J628" s="658"/>
      <c r="K628" s="658"/>
      <c r="L628" s="658"/>
      <c r="M628" s="658"/>
      <c r="N628" s="658"/>
      <c r="O628" s="658"/>
      <c r="P628" s="658"/>
      <c r="Q628" s="658"/>
      <c r="R628" s="658"/>
      <c r="S628" s="658"/>
      <c r="T628" s="658"/>
      <c r="U628" s="658"/>
      <c r="V628" s="658"/>
      <c r="W628" s="658"/>
      <c r="X628" s="658"/>
      <c r="Y628" s="658"/>
      <c r="Z628" s="658"/>
      <c r="AA628" s="658"/>
      <c r="AB628" s="658"/>
      <c r="AC628" s="658"/>
      <c r="AD628" s="658"/>
      <c r="AE628" s="658"/>
      <c r="AF628" s="658"/>
      <c r="AG628" s="658"/>
      <c r="AH628" s="658"/>
      <c r="AI628" s="658"/>
      <c r="AJ628" s="658"/>
      <c r="AK628" s="658"/>
      <c r="AL628" s="658"/>
      <c r="AM628" s="658"/>
      <c r="AN628" s="658"/>
      <c r="AO628" s="658"/>
      <c r="AP628" s="658"/>
      <c r="AQ628" s="658"/>
      <c r="AR628" s="658"/>
      <c r="AS628" s="658"/>
      <c r="AT628" s="658"/>
      <c r="AU628" s="658"/>
      <c r="AV628" s="658"/>
      <c r="AW628" s="658"/>
      <c r="AX628" s="658"/>
      <c r="AY628" s="658"/>
      <c r="AZ628" s="658"/>
      <c r="BA628" s="658"/>
      <c r="BB628" s="658"/>
      <c r="BC628" s="658"/>
      <c r="BD628" s="658"/>
      <c r="BE628" s="658"/>
      <c r="BF628" s="658"/>
      <c r="BG628" s="658"/>
      <c r="BH628" s="592"/>
      <c r="BI628" s="592"/>
      <c r="BJ628" s="592"/>
      <c r="BK628" s="592"/>
      <c r="BL628" s="592"/>
      <c r="BM628" s="592"/>
      <c r="BN628" s="592"/>
      <c r="BO628" s="592"/>
      <c r="BP628" s="592"/>
      <c r="BQ628" s="592"/>
    </row>
    <row r="629" spans="1:69" ht="12" customHeight="1" x14ac:dyDescent="0.15">
      <c r="A629" s="592"/>
      <c r="B629" s="658"/>
      <c r="C629" s="658"/>
      <c r="D629" s="658"/>
      <c r="E629" s="658"/>
      <c r="F629" s="658"/>
      <c r="G629" s="658"/>
      <c r="H629" s="658"/>
      <c r="I629" s="658"/>
      <c r="J629" s="658"/>
      <c r="K629" s="658"/>
      <c r="L629" s="658"/>
      <c r="M629" s="658"/>
      <c r="N629" s="658"/>
      <c r="O629" s="658"/>
      <c r="P629" s="658"/>
      <c r="Q629" s="658"/>
      <c r="R629" s="658"/>
      <c r="S629" s="658"/>
      <c r="T629" s="658"/>
      <c r="U629" s="658"/>
      <c r="V629" s="658"/>
      <c r="W629" s="658"/>
      <c r="X629" s="658"/>
      <c r="Y629" s="658"/>
      <c r="Z629" s="658"/>
      <c r="AA629" s="658"/>
      <c r="AB629" s="658"/>
      <c r="AC629" s="658"/>
      <c r="AD629" s="658"/>
      <c r="AE629" s="658"/>
      <c r="AF629" s="658"/>
      <c r="AG629" s="658"/>
      <c r="AH629" s="658"/>
      <c r="AI629" s="658"/>
      <c r="AJ629" s="658"/>
      <c r="AK629" s="658"/>
      <c r="AL629" s="658"/>
      <c r="AM629" s="658"/>
      <c r="AN629" s="658"/>
      <c r="AO629" s="658"/>
      <c r="AP629" s="658"/>
      <c r="AQ629" s="658"/>
      <c r="AR629" s="658"/>
      <c r="AS629" s="658"/>
      <c r="AT629" s="658"/>
      <c r="AU629" s="658"/>
      <c r="AV629" s="658"/>
      <c r="AW629" s="658"/>
      <c r="AX629" s="658"/>
      <c r="AY629" s="658"/>
      <c r="AZ629" s="658"/>
      <c r="BA629" s="658"/>
      <c r="BB629" s="658"/>
      <c r="BC629" s="658"/>
      <c r="BD629" s="658"/>
      <c r="BE629" s="658"/>
      <c r="BF629" s="658"/>
      <c r="BG629" s="658"/>
      <c r="BH629" s="592"/>
      <c r="BI629" s="592"/>
      <c r="BJ629" s="592"/>
      <c r="BK629" s="592"/>
      <c r="BL629" s="592"/>
      <c r="BM629" s="592"/>
      <c r="BN629" s="592"/>
      <c r="BO629" s="592"/>
      <c r="BP629" s="592"/>
      <c r="BQ629" s="592"/>
    </row>
    <row r="630" spans="1:69" ht="12" customHeight="1" x14ac:dyDescent="0.15">
      <c r="A630" s="592"/>
      <c r="B630" s="658"/>
      <c r="C630" s="658"/>
      <c r="D630" s="658"/>
      <c r="E630" s="658"/>
      <c r="F630" s="658"/>
      <c r="G630" s="658"/>
      <c r="H630" s="658"/>
      <c r="I630" s="658"/>
      <c r="J630" s="658"/>
      <c r="K630" s="658"/>
      <c r="L630" s="658"/>
      <c r="M630" s="658"/>
      <c r="N630" s="658"/>
      <c r="O630" s="658"/>
      <c r="P630" s="658"/>
      <c r="Q630" s="658"/>
      <c r="R630" s="658"/>
      <c r="S630" s="658"/>
      <c r="T630" s="658"/>
      <c r="U630" s="658"/>
      <c r="V630" s="658"/>
      <c r="W630" s="658"/>
      <c r="X630" s="658"/>
      <c r="Y630" s="658"/>
      <c r="Z630" s="658"/>
      <c r="AA630" s="658"/>
      <c r="AB630" s="658"/>
      <c r="AC630" s="658"/>
      <c r="AD630" s="658"/>
      <c r="AE630" s="658"/>
      <c r="AF630" s="658"/>
      <c r="AG630" s="658"/>
      <c r="AH630" s="658"/>
      <c r="AI630" s="658"/>
      <c r="AJ630" s="658"/>
      <c r="AK630" s="658"/>
      <c r="AL630" s="658"/>
      <c r="AM630" s="658"/>
      <c r="AN630" s="658"/>
      <c r="AO630" s="658"/>
      <c r="AP630" s="658"/>
      <c r="AQ630" s="658"/>
      <c r="AR630" s="658"/>
      <c r="AS630" s="658"/>
      <c r="AT630" s="658"/>
      <c r="AU630" s="658"/>
      <c r="AV630" s="658"/>
      <c r="AW630" s="658"/>
      <c r="AX630" s="658"/>
      <c r="AY630" s="658"/>
      <c r="AZ630" s="658"/>
      <c r="BA630" s="658"/>
      <c r="BB630" s="658"/>
      <c r="BC630" s="658"/>
      <c r="BD630" s="658"/>
      <c r="BE630" s="658"/>
      <c r="BF630" s="658"/>
      <c r="BG630" s="658"/>
      <c r="BH630" s="592"/>
      <c r="BI630" s="592"/>
      <c r="BJ630" s="592"/>
      <c r="BK630" s="592"/>
      <c r="BL630" s="592"/>
      <c r="BM630" s="592"/>
      <c r="BN630" s="592"/>
      <c r="BO630" s="592"/>
      <c r="BP630" s="592"/>
      <c r="BQ630" s="592"/>
    </row>
    <row r="631" spans="1:69" ht="12" customHeight="1" x14ac:dyDescent="0.15">
      <c r="A631" s="592"/>
      <c r="B631" s="658"/>
      <c r="C631" s="658"/>
      <c r="D631" s="658"/>
      <c r="E631" s="658"/>
      <c r="F631" s="658"/>
      <c r="G631" s="658"/>
      <c r="H631" s="658"/>
      <c r="I631" s="658"/>
      <c r="J631" s="658"/>
      <c r="K631" s="658"/>
      <c r="L631" s="658"/>
      <c r="M631" s="658"/>
      <c r="N631" s="658"/>
      <c r="O631" s="658"/>
      <c r="P631" s="658"/>
      <c r="Q631" s="658"/>
      <c r="R631" s="658"/>
      <c r="S631" s="658"/>
      <c r="T631" s="658"/>
      <c r="U631" s="658"/>
      <c r="V631" s="658"/>
      <c r="W631" s="658"/>
      <c r="X631" s="658"/>
      <c r="Y631" s="658"/>
      <c r="Z631" s="658"/>
      <c r="AA631" s="658"/>
      <c r="AB631" s="658"/>
      <c r="AC631" s="658"/>
      <c r="AD631" s="658"/>
      <c r="AE631" s="658"/>
      <c r="AF631" s="658"/>
      <c r="AG631" s="658"/>
      <c r="AH631" s="658"/>
      <c r="AI631" s="658"/>
      <c r="AJ631" s="658"/>
      <c r="AK631" s="658"/>
      <c r="AL631" s="658"/>
      <c r="AM631" s="658"/>
      <c r="AN631" s="658"/>
      <c r="AO631" s="658"/>
      <c r="AP631" s="658"/>
      <c r="AQ631" s="658"/>
      <c r="AR631" s="658"/>
      <c r="AS631" s="658"/>
      <c r="AT631" s="658"/>
      <c r="AU631" s="658"/>
      <c r="AV631" s="658"/>
      <c r="AW631" s="658"/>
      <c r="AX631" s="658"/>
      <c r="AY631" s="658"/>
      <c r="AZ631" s="658"/>
      <c r="BA631" s="658"/>
      <c r="BB631" s="658"/>
      <c r="BC631" s="658"/>
      <c r="BD631" s="658"/>
      <c r="BE631" s="658"/>
      <c r="BF631" s="658"/>
      <c r="BG631" s="658"/>
      <c r="BH631" s="592"/>
      <c r="BI631" s="592"/>
      <c r="BJ631" s="592"/>
      <c r="BK631" s="592"/>
      <c r="BL631" s="592"/>
      <c r="BM631" s="592"/>
      <c r="BN631" s="592"/>
      <c r="BO631" s="592"/>
      <c r="BP631" s="592"/>
      <c r="BQ631" s="592"/>
    </row>
    <row r="632" spans="1:69" ht="12" customHeight="1" x14ac:dyDescent="0.15">
      <c r="A632" s="592"/>
      <c r="B632" s="658"/>
      <c r="C632" s="658"/>
      <c r="D632" s="658"/>
      <c r="E632" s="658"/>
      <c r="F632" s="658"/>
      <c r="G632" s="658"/>
      <c r="H632" s="658"/>
      <c r="I632" s="658"/>
      <c r="J632" s="658"/>
      <c r="K632" s="658"/>
      <c r="L632" s="658"/>
      <c r="M632" s="658"/>
      <c r="N632" s="658"/>
      <c r="O632" s="658"/>
      <c r="P632" s="658"/>
      <c r="Q632" s="658"/>
      <c r="R632" s="658"/>
      <c r="S632" s="658"/>
      <c r="T632" s="658"/>
      <c r="U632" s="658"/>
      <c r="V632" s="658"/>
      <c r="W632" s="658"/>
      <c r="X632" s="658"/>
      <c r="Y632" s="658"/>
      <c r="Z632" s="658"/>
      <c r="AA632" s="658"/>
      <c r="AB632" s="658"/>
      <c r="AC632" s="658"/>
      <c r="AD632" s="658"/>
      <c r="AE632" s="658"/>
      <c r="AF632" s="658"/>
      <c r="AG632" s="658"/>
      <c r="AH632" s="658"/>
      <c r="AI632" s="658"/>
      <c r="AJ632" s="658"/>
      <c r="AK632" s="658"/>
      <c r="AL632" s="658"/>
      <c r="AM632" s="658"/>
      <c r="AN632" s="658"/>
      <c r="AO632" s="658"/>
      <c r="AP632" s="658"/>
      <c r="AQ632" s="658"/>
      <c r="AR632" s="658"/>
      <c r="AS632" s="658"/>
      <c r="AT632" s="658"/>
      <c r="AU632" s="658"/>
      <c r="AV632" s="658"/>
      <c r="AW632" s="658"/>
      <c r="AX632" s="658"/>
      <c r="AY632" s="658"/>
      <c r="AZ632" s="658"/>
      <c r="BA632" s="658"/>
      <c r="BB632" s="658"/>
      <c r="BC632" s="658"/>
      <c r="BD632" s="658"/>
      <c r="BE632" s="658"/>
      <c r="BF632" s="658"/>
      <c r="BG632" s="658"/>
      <c r="BH632" s="592"/>
      <c r="BI632" s="592"/>
      <c r="BJ632" s="592"/>
      <c r="BK632" s="592"/>
      <c r="BL632" s="592"/>
      <c r="BM632" s="592"/>
      <c r="BN632" s="592"/>
      <c r="BO632" s="592"/>
      <c r="BP632" s="592"/>
      <c r="BQ632" s="592"/>
    </row>
    <row r="633" spans="1:69" ht="12" customHeight="1" x14ac:dyDescent="0.15">
      <c r="A633" s="592"/>
      <c r="B633" s="658"/>
      <c r="C633" s="658"/>
      <c r="D633" s="658"/>
      <c r="E633" s="658"/>
      <c r="F633" s="658"/>
      <c r="G633" s="658"/>
      <c r="H633" s="658"/>
      <c r="I633" s="658"/>
      <c r="J633" s="658"/>
      <c r="K633" s="658"/>
      <c r="L633" s="658"/>
      <c r="M633" s="658"/>
      <c r="N633" s="658"/>
      <c r="O633" s="658"/>
      <c r="P633" s="658"/>
      <c r="Q633" s="658"/>
      <c r="R633" s="658"/>
      <c r="S633" s="658"/>
      <c r="T633" s="658"/>
      <c r="U633" s="658"/>
      <c r="V633" s="658"/>
      <c r="W633" s="658"/>
      <c r="X633" s="658"/>
      <c r="Y633" s="658"/>
      <c r="Z633" s="658"/>
      <c r="AA633" s="658"/>
      <c r="AB633" s="658"/>
      <c r="AC633" s="658"/>
      <c r="AD633" s="658"/>
      <c r="AE633" s="658"/>
      <c r="AF633" s="658"/>
      <c r="AG633" s="658"/>
      <c r="AH633" s="658"/>
      <c r="AI633" s="658"/>
      <c r="AJ633" s="658"/>
      <c r="AK633" s="658"/>
      <c r="AL633" s="658"/>
      <c r="AM633" s="658"/>
      <c r="AN633" s="658"/>
      <c r="AO633" s="658"/>
      <c r="AP633" s="658"/>
      <c r="AQ633" s="658"/>
      <c r="AR633" s="658"/>
      <c r="AS633" s="658"/>
      <c r="AT633" s="658"/>
      <c r="AU633" s="658"/>
      <c r="AV633" s="658"/>
      <c r="AW633" s="658"/>
      <c r="AX633" s="658"/>
      <c r="AY633" s="658"/>
      <c r="AZ633" s="658"/>
      <c r="BA633" s="658"/>
      <c r="BB633" s="658"/>
      <c r="BC633" s="658"/>
      <c r="BD633" s="658"/>
      <c r="BE633" s="658"/>
      <c r="BF633" s="658"/>
      <c r="BG633" s="658"/>
      <c r="BH633" s="592"/>
      <c r="BI633" s="592"/>
      <c r="BJ633" s="592"/>
      <c r="BK633" s="592"/>
      <c r="BL633" s="592"/>
      <c r="BM633" s="592"/>
      <c r="BN633" s="592"/>
      <c r="BO633" s="592"/>
      <c r="BP633" s="592"/>
      <c r="BQ633" s="592"/>
    </row>
    <row r="634" spans="1:69" ht="12" customHeight="1" x14ac:dyDescent="0.15">
      <c r="A634" s="592"/>
      <c r="B634" s="658"/>
      <c r="C634" s="658"/>
      <c r="D634" s="658"/>
      <c r="E634" s="658"/>
      <c r="F634" s="658"/>
      <c r="G634" s="658"/>
      <c r="H634" s="658"/>
      <c r="I634" s="658"/>
      <c r="J634" s="658"/>
      <c r="K634" s="658"/>
      <c r="L634" s="658"/>
      <c r="M634" s="658"/>
      <c r="N634" s="658"/>
      <c r="O634" s="658"/>
      <c r="P634" s="658"/>
      <c r="Q634" s="658"/>
      <c r="R634" s="658"/>
      <c r="S634" s="658"/>
      <c r="T634" s="658"/>
      <c r="U634" s="658"/>
      <c r="V634" s="658"/>
      <c r="W634" s="658"/>
      <c r="X634" s="658"/>
      <c r="Y634" s="658"/>
      <c r="Z634" s="658"/>
      <c r="AA634" s="658"/>
      <c r="AB634" s="658"/>
      <c r="AC634" s="658"/>
      <c r="AD634" s="658"/>
      <c r="AE634" s="658"/>
      <c r="AF634" s="658"/>
      <c r="AG634" s="658"/>
      <c r="AH634" s="658"/>
      <c r="AI634" s="658"/>
      <c r="AJ634" s="658"/>
      <c r="AK634" s="658"/>
      <c r="AL634" s="658"/>
      <c r="AM634" s="658"/>
      <c r="AN634" s="658"/>
      <c r="AO634" s="658"/>
      <c r="AP634" s="658"/>
      <c r="AQ634" s="658"/>
      <c r="AR634" s="658"/>
      <c r="AS634" s="658"/>
      <c r="AT634" s="658"/>
      <c r="AU634" s="658"/>
      <c r="AV634" s="658"/>
      <c r="AW634" s="658"/>
      <c r="AX634" s="658"/>
      <c r="AY634" s="658"/>
      <c r="AZ634" s="658"/>
      <c r="BA634" s="658"/>
      <c r="BB634" s="658"/>
      <c r="BC634" s="658"/>
      <c r="BD634" s="658"/>
      <c r="BE634" s="658"/>
      <c r="BF634" s="658"/>
      <c r="BG634" s="658"/>
      <c r="BH634" s="592"/>
      <c r="BI634" s="592"/>
      <c r="BJ634" s="592"/>
      <c r="BK634" s="592"/>
      <c r="BL634" s="592"/>
      <c r="BM634" s="592"/>
      <c r="BN634" s="592"/>
      <c r="BO634" s="592"/>
      <c r="BP634" s="592"/>
      <c r="BQ634" s="592"/>
    </row>
    <row r="635" spans="1:69" ht="12" customHeight="1" x14ac:dyDescent="0.15">
      <c r="A635" s="592"/>
      <c r="B635" s="658"/>
      <c r="C635" s="658"/>
      <c r="D635" s="658"/>
      <c r="E635" s="658"/>
      <c r="F635" s="658"/>
      <c r="G635" s="658"/>
      <c r="H635" s="658"/>
      <c r="I635" s="658"/>
      <c r="J635" s="658"/>
      <c r="K635" s="658"/>
      <c r="L635" s="658"/>
      <c r="M635" s="658"/>
      <c r="N635" s="658"/>
      <c r="O635" s="658"/>
      <c r="P635" s="658"/>
      <c r="Q635" s="658"/>
      <c r="R635" s="658"/>
      <c r="S635" s="658"/>
      <c r="T635" s="658"/>
      <c r="U635" s="658"/>
      <c r="V635" s="658"/>
      <c r="W635" s="658"/>
      <c r="X635" s="658"/>
      <c r="Y635" s="658"/>
      <c r="Z635" s="658"/>
      <c r="AA635" s="658"/>
      <c r="AB635" s="658"/>
      <c r="AC635" s="658"/>
      <c r="AD635" s="658"/>
      <c r="AE635" s="658"/>
      <c r="AF635" s="658"/>
      <c r="AG635" s="658"/>
      <c r="AH635" s="658"/>
      <c r="AI635" s="658"/>
      <c r="AJ635" s="658"/>
      <c r="AK635" s="658"/>
      <c r="AL635" s="658"/>
      <c r="AM635" s="658"/>
      <c r="AN635" s="658"/>
      <c r="AO635" s="658"/>
      <c r="AP635" s="658"/>
      <c r="AQ635" s="658"/>
      <c r="AR635" s="658"/>
      <c r="AS635" s="658"/>
      <c r="AT635" s="658"/>
      <c r="AU635" s="658"/>
      <c r="AV635" s="658"/>
      <c r="AW635" s="658"/>
      <c r="AX635" s="658"/>
      <c r="AY635" s="658"/>
      <c r="AZ635" s="658"/>
      <c r="BA635" s="658"/>
      <c r="BB635" s="658"/>
      <c r="BC635" s="658"/>
      <c r="BD635" s="658"/>
      <c r="BE635" s="658"/>
      <c r="BF635" s="658"/>
      <c r="BG635" s="658"/>
      <c r="BH635" s="592"/>
      <c r="BI635" s="592"/>
      <c r="BJ635" s="592"/>
      <c r="BK635" s="592"/>
      <c r="BL635" s="592"/>
      <c r="BM635" s="592"/>
      <c r="BN635" s="592"/>
      <c r="BO635" s="592"/>
      <c r="BP635" s="592"/>
      <c r="BQ635" s="592"/>
    </row>
    <row r="636" spans="1:69" ht="12" customHeight="1" x14ac:dyDescent="0.15">
      <c r="A636" s="592"/>
      <c r="B636" s="658"/>
      <c r="C636" s="658"/>
      <c r="D636" s="658"/>
      <c r="E636" s="658"/>
      <c r="F636" s="658"/>
      <c r="G636" s="658"/>
      <c r="H636" s="658"/>
      <c r="I636" s="658"/>
      <c r="J636" s="658"/>
      <c r="K636" s="658"/>
      <c r="L636" s="658"/>
      <c r="M636" s="658"/>
      <c r="N636" s="658"/>
      <c r="O636" s="658"/>
      <c r="P636" s="658"/>
      <c r="Q636" s="658"/>
      <c r="R636" s="658"/>
      <c r="S636" s="658"/>
      <c r="T636" s="658"/>
      <c r="U636" s="658"/>
      <c r="V636" s="658"/>
      <c r="W636" s="658"/>
      <c r="X636" s="658"/>
      <c r="Y636" s="658"/>
      <c r="Z636" s="658"/>
      <c r="AA636" s="658"/>
      <c r="AB636" s="658"/>
      <c r="AC636" s="658"/>
      <c r="AD636" s="658"/>
      <c r="AE636" s="658"/>
      <c r="AF636" s="658"/>
      <c r="AG636" s="658"/>
      <c r="AH636" s="658"/>
      <c r="AI636" s="658"/>
      <c r="AJ636" s="658"/>
      <c r="AK636" s="658"/>
      <c r="AL636" s="658"/>
      <c r="AM636" s="658"/>
      <c r="AN636" s="658"/>
      <c r="AO636" s="658"/>
      <c r="AP636" s="658"/>
      <c r="AQ636" s="658"/>
      <c r="AR636" s="658"/>
      <c r="AS636" s="658"/>
      <c r="AT636" s="658"/>
      <c r="AU636" s="658"/>
      <c r="AV636" s="658"/>
      <c r="AW636" s="658"/>
      <c r="AX636" s="658"/>
      <c r="AY636" s="658"/>
      <c r="AZ636" s="658"/>
      <c r="BA636" s="658"/>
      <c r="BB636" s="658"/>
      <c r="BC636" s="658"/>
      <c r="BD636" s="658"/>
      <c r="BE636" s="658"/>
      <c r="BF636" s="658"/>
      <c r="BG636" s="658"/>
      <c r="BH636" s="592"/>
      <c r="BI636" s="592"/>
      <c r="BJ636" s="592"/>
      <c r="BK636" s="592"/>
      <c r="BL636" s="592"/>
      <c r="BM636" s="592"/>
      <c r="BN636" s="592"/>
      <c r="BO636" s="592"/>
      <c r="BP636" s="592"/>
      <c r="BQ636" s="592"/>
    </row>
    <row r="637" spans="1:69" ht="12" customHeight="1" x14ac:dyDescent="0.15">
      <c r="A637" s="592"/>
      <c r="B637" s="658"/>
      <c r="C637" s="658"/>
      <c r="D637" s="658"/>
      <c r="E637" s="658"/>
      <c r="F637" s="658"/>
      <c r="G637" s="658"/>
      <c r="H637" s="658"/>
      <c r="I637" s="658"/>
      <c r="J637" s="658"/>
      <c r="K637" s="658"/>
      <c r="L637" s="658"/>
      <c r="M637" s="658"/>
      <c r="N637" s="658"/>
      <c r="O637" s="658"/>
      <c r="P637" s="658"/>
      <c r="Q637" s="658"/>
      <c r="R637" s="658"/>
      <c r="S637" s="658"/>
      <c r="T637" s="658"/>
      <c r="U637" s="658"/>
      <c r="V637" s="658"/>
      <c r="W637" s="658"/>
      <c r="X637" s="658"/>
      <c r="Y637" s="658"/>
      <c r="Z637" s="658"/>
      <c r="AA637" s="658"/>
      <c r="AB637" s="658"/>
      <c r="AC637" s="658"/>
      <c r="AD637" s="658"/>
      <c r="AE637" s="658"/>
      <c r="AF637" s="658"/>
      <c r="AG637" s="658"/>
      <c r="AH637" s="658"/>
      <c r="AI637" s="658"/>
      <c r="AJ637" s="658"/>
      <c r="AK637" s="658"/>
      <c r="AL637" s="658"/>
      <c r="AM637" s="658"/>
      <c r="AN637" s="658"/>
      <c r="AO637" s="658"/>
      <c r="AP637" s="658"/>
      <c r="AQ637" s="658"/>
      <c r="AR637" s="658"/>
      <c r="AS637" s="658"/>
      <c r="AT637" s="658"/>
      <c r="AU637" s="658"/>
      <c r="AV637" s="658"/>
      <c r="AW637" s="658"/>
      <c r="AX637" s="658"/>
      <c r="AY637" s="658"/>
      <c r="AZ637" s="658"/>
      <c r="BA637" s="658"/>
      <c r="BB637" s="658"/>
      <c r="BC637" s="658"/>
      <c r="BD637" s="658"/>
      <c r="BE637" s="658"/>
      <c r="BF637" s="658"/>
      <c r="BG637" s="658"/>
      <c r="BH637" s="592"/>
      <c r="BI637" s="592"/>
      <c r="BJ637" s="592"/>
      <c r="BK637" s="592"/>
      <c r="BL637" s="592"/>
      <c r="BM637" s="592"/>
      <c r="BN637" s="592"/>
      <c r="BO637" s="592"/>
      <c r="BP637" s="592"/>
      <c r="BQ637" s="592"/>
    </row>
    <row r="638" spans="1:69" ht="12" customHeight="1" x14ac:dyDescent="0.15">
      <c r="A638" s="592"/>
      <c r="B638" s="658"/>
      <c r="C638" s="658"/>
      <c r="D638" s="658"/>
      <c r="E638" s="658"/>
      <c r="F638" s="658"/>
      <c r="G638" s="658"/>
      <c r="H638" s="658"/>
      <c r="I638" s="658"/>
      <c r="J638" s="658"/>
      <c r="K638" s="658"/>
      <c r="L638" s="658"/>
      <c r="M638" s="658"/>
      <c r="N638" s="658"/>
      <c r="O638" s="658"/>
      <c r="P638" s="658"/>
      <c r="Q638" s="658"/>
      <c r="R638" s="658"/>
      <c r="S638" s="658"/>
      <c r="T638" s="658"/>
      <c r="U638" s="658"/>
      <c r="V638" s="658"/>
      <c r="W638" s="658"/>
      <c r="X638" s="658"/>
      <c r="Y638" s="658"/>
      <c r="Z638" s="658"/>
      <c r="AA638" s="658"/>
      <c r="AB638" s="658"/>
      <c r="AC638" s="658"/>
      <c r="AD638" s="658"/>
      <c r="AE638" s="658"/>
      <c r="AF638" s="658"/>
      <c r="AG638" s="658"/>
      <c r="AH638" s="658"/>
      <c r="AI638" s="658"/>
      <c r="AJ638" s="658"/>
      <c r="AK638" s="658"/>
      <c r="AL638" s="658"/>
      <c r="AM638" s="658"/>
      <c r="AN638" s="658"/>
      <c r="AO638" s="658"/>
      <c r="AP638" s="658"/>
      <c r="AQ638" s="658"/>
      <c r="AR638" s="658"/>
      <c r="AS638" s="658"/>
      <c r="AT638" s="658"/>
      <c r="AU638" s="658"/>
      <c r="AV638" s="658"/>
      <c r="AW638" s="658"/>
      <c r="AX638" s="658"/>
      <c r="AY638" s="658"/>
      <c r="AZ638" s="658"/>
      <c r="BA638" s="658"/>
      <c r="BB638" s="658"/>
      <c r="BC638" s="658"/>
      <c r="BD638" s="658"/>
      <c r="BE638" s="658"/>
      <c r="BF638" s="658"/>
      <c r="BG638" s="658"/>
      <c r="BH638" s="592"/>
      <c r="BI638" s="592"/>
      <c r="BJ638" s="592"/>
      <c r="BK638" s="592"/>
      <c r="BL638" s="592"/>
      <c r="BM638" s="592"/>
      <c r="BN638" s="592"/>
      <c r="BO638" s="592"/>
      <c r="BP638" s="592"/>
      <c r="BQ638" s="592"/>
    </row>
    <row r="639" spans="1:69" ht="12" customHeight="1" x14ac:dyDescent="0.15">
      <c r="A639" s="592"/>
      <c r="B639" s="658"/>
      <c r="C639" s="658"/>
      <c r="D639" s="658"/>
      <c r="E639" s="658"/>
      <c r="F639" s="658"/>
      <c r="G639" s="658"/>
      <c r="H639" s="658"/>
      <c r="I639" s="658"/>
      <c r="J639" s="658"/>
      <c r="K639" s="658"/>
      <c r="L639" s="658"/>
      <c r="M639" s="658"/>
      <c r="N639" s="658"/>
      <c r="O639" s="658"/>
      <c r="P639" s="658"/>
      <c r="Q639" s="658"/>
      <c r="R639" s="658"/>
      <c r="S639" s="658"/>
      <c r="T639" s="658"/>
      <c r="U639" s="658"/>
      <c r="V639" s="658"/>
      <c r="W639" s="658"/>
      <c r="X639" s="658"/>
      <c r="Y639" s="658"/>
      <c r="Z639" s="658"/>
      <c r="AA639" s="658"/>
      <c r="AB639" s="658"/>
      <c r="AC639" s="658"/>
      <c r="AD639" s="658"/>
      <c r="AE639" s="658"/>
      <c r="AF639" s="658"/>
      <c r="AG639" s="658"/>
      <c r="AH639" s="658"/>
      <c r="AI639" s="658"/>
      <c r="AJ639" s="658"/>
      <c r="AK639" s="658"/>
      <c r="AL639" s="658"/>
      <c r="AM639" s="658"/>
      <c r="AN639" s="658"/>
      <c r="AO639" s="658"/>
      <c r="AP639" s="658"/>
      <c r="AQ639" s="658"/>
      <c r="AR639" s="658"/>
      <c r="AS639" s="658"/>
      <c r="AT639" s="658"/>
      <c r="AU639" s="658"/>
      <c r="AV639" s="658"/>
      <c r="AW639" s="658"/>
      <c r="AX639" s="658"/>
      <c r="AY639" s="658"/>
      <c r="AZ639" s="658"/>
      <c r="BA639" s="658"/>
      <c r="BB639" s="658"/>
      <c r="BC639" s="658"/>
      <c r="BD639" s="658"/>
      <c r="BE639" s="658"/>
      <c r="BF639" s="658"/>
      <c r="BG639" s="658"/>
      <c r="BH639" s="592"/>
      <c r="BI639" s="592"/>
      <c r="BJ639" s="592"/>
      <c r="BK639" s="592"/>
      <c r="BL639" s="592"/>
      <c r="BM639" s="592"/>
      <c r="BN639" s="592"/>
      <c r="BO639" s="592"/>
      <c r="BP639" s="592"/>
      <c r="BQ639" s="592"/>
    </row>
    <row r="640" spans="1:69" ht="12" customHeight="1" x14ac:dyDescent="0.15">
      <c r="A640" s="592"/>
      <c r="B640" s="658"/>
      <c r="C640" s="658"/>
      <c r="D640" s="658"/>
      <c r="E640" s="658"/>
      <c r="F640" s="658"/>
      <c r="G640" s="658"/>
      <c r="H640" s="658"/>
      <c r="I640" s="658"/>
      <c r="J640" s="658"/>
      <c r="K640" s="658"/>
      <c r="L640" s="658"/>
      <c r="M640" s="658"/>
      <c r="N640" s="658"/>
      <c r="O640" s="658"/>
      <c r="P640" s="658"/>
      <c r="Q640" s="658"/>
      <c r="R640" s="658"/>
      <c r="S640" s="658"/>
      <c r="T640" s="658"/>
      <c r="U640" s="658"/>
      <c r="V640" s="658"/>
      <c r="W640" s="658"/>
      <c r="X640" s="658"/>
      <c r="Y640" s="658"/>
      <c r="Z640" s="658"/>
      <c r="AA640" s="658"/>
      <c r="AB640" s="658"/>
      <c r="AC640" s="658"/>
      <c r="AD640" s="658"/>
      <c r="AE640" s="658"/>
      <c r="AF640" s="658"/>
      <c r="AG640" s="658"/>
      <c r="AH640" s="658"/>
      <c r="AI640" s="658"/>
      <c r="AJ640" s="658"/>
      <c r="AK640" s="658"/>
      <c r="AL640" s="658"/>
      <c r="AM640" s="658"/>
      <c r="AN640" s="658"/>
      <c r="AO640" s="658"/>
      <c r="AP640" s="658"/>
      <c r="AQ640" s="658"/>
      <c r="AR640" s="658"/>
      <c r="AS640" s="658"/>
      <c r="AT640" s="658"/>
      <c r="AU640" s="658"/>
      <c r="AV640" s="658"/>
      <c r="AW640" s="658"/>
      <c r="AX640" s="658"/>
      <c r="AY640" s="658"/>
      <c r="AZ640" s="658"/>
      <c r="BA640" s="658"/>
      <c r="BB640" s="658"/>
      <c r="BC640" s="658"/>
      <c r="BD640" s="658"/>
      <c r="BE640" s="658"/>
      <c r="BF640" s="658"/>
      <c r="BG640" s="658"/>
      <c r="BH640" s="592"/>
      <c r="BI640" s="592"/>
      <c r="BJ640" s="592"/>
      <c r="BK640" s="592"/>
      <c r="BL640" s="592"/>
      <c r="BM640" s="592"/>
      <c r="BN640" s="592"/>
      <c r="BO640" s="592"/>
      <c r="BP640" s="592"/>
      <c r="BQ640" s="592"/>
    </row>
    <row r="641" spans="1:69" ht="12" customHeight="1" x14ac:dyDescent="0.15">
      <c r="A641" s="592"/>
      <c r="B641" s="658"/>
      <c r="C641" s="658"/>
      <c r="D641" s="658"/>
      <c r="E641" s="658"/>
      <c r="F641" s="658"/>
      <c r="G641" s="658"/>
      <c r="H641" s="658"/>
      <c r="I641" s="658"/>
      <c r="J641" s="658"/>
      <c r="K641" s="658"/>
      <c r="L641" s="658"/>
      <c r="M641" s="658"/>
      <c r="N641" s="658"/>
      <c r="O641" s="658"/>
      <c r="P641" s="658"/>
      <c r="Q641" s="658"/>
      <c r="R641" s="658"/>
      <c r="S641" s="658"/>
      <c r="T641" s="658"/>
      <c r="U641" s="658"/>
      <c r="V641" s="658"/>
      <c r="W641" s="658"/>
      <c r="X641" s="658"/>
      <c r="Y641" s="658"/>
      <c r="Z641" s="658"/>
      <c r="AA641" s="658"/>
      <c r="AB641" s="658"/>
      <c r="AC641" s="658"/>
      <c r="AD641" s="658"/>
      <c r="AE641" s="658"/>
      <c r="AF641" s="658"/>
      <c r="AG641" s="658"/>
      <c r="AH641" s="658"/>
      <c r="AI641" s="658"/>
      <c r="AJ641" s="658"/>
      <c r="AK641" s="658"/>
      <c r="AL641" s="658"/>
      <c r="AM641" s="658"/>
      <c r="AN641" s="658"/>
      <c r="AO641" s="658"/>
      <c r="AP641" s="658"/>
      <c r="AQ641" s="658"/>
      <c r="AR641" s="658"/>
      <c r="AS641" s="658"/>
      <c r="AT641" s="658"/>
      <c r="AU641" s="658"/>
      <c r="AV641" s="658"/>
      <c r="AW641" s="658"/>
      <c r="AX641" s="658"/>
      <c r="AY641" s="658"/>
      <c r="AZ641" s="658"/>
      <c r="BA641" s="658"/>
      <c r="BB641" s="658"/>
      <c r="BC641" s="658"/>
      <c r="BD641" s="658"/>
      <c r="BE641" s="658"/>
      <c r="BF641" s="658"/>
      <c r="BG641" s="658"/>
      <c r="BH641" s="592"/>
      <c r="BI641" s="592"/>
      <c r="BJ641" s="592"/>
      <c r="BK641" s="592"/>
      <c r="BL641" s="592"/>
      <c r="BM641" s="592"/>
      <c r="BN641" s="592"/>
      <c r="BO641" s="592"/>
      <c r="BP641" s="592"/>
      <c r="BQ641" s="592"/>
    </row>
    <row r="642" spans="1:69" ht="12" customHeight="1" x14ac:dyDescent="0.15">
      <c r="A642" s="592"/>
      <c r="B642" s="658"/>
      <c r="C642" s="658"/>
      <c r="D642" s="658"/>
      <c r="E642" s="658"/>
      <c r="F642" s="658"/>
      <c r="G642" s="658"/>
      <c r="H642" s="658"/>
      <c r="I642" s="658"/>
      <c r="J642" s="658"/>
      <c r="K642" s="658"/>
      <c r="L642" s="658"/>
      <c r="M642" s="658"/>
      <c r="N642" s="658"/>
      <c r="O642" s="658"/>
      <c r="P642" s="658"/>
      <c r="Q642" s="658"/>
      <c r="R642" s="658"/>
      <c r="S642" s="658"/>
      <c r="T642" s="658"/>
      <c r="U642" s="658"/>
      <c r="V642" s="658"/>
      <c r="W642" s="658"/>
      <c r="X642" s="658"/>
      <c r="Y642" s="658"/>
      <c r="Z642" s="658"/>
      <c r="AA642" s="658"/>
      <c r="AB642" s="658"/>
      <c r="AC642" s="658"/>
      <c r="AD642" s="658"/>
      <c r="AE642" s="658"/>
      <c r="AF642" s="658"/>
      <c r="AG642" s="658"/>
      <c r="AH642" s="658"/>
      <c r="AI642" s="658"/>
      <c r="AJ642" s="658"/>
      <c r="AK642" s="658"/>
      <c r="AL642" s="658"/>
      <c r="AM642" s="658"/>
      <c r="AN642" s="658"/>
      <c r="AO642" s="658"/>
      <c r="AP642" s="658"/>
      <c r="AQ642" s="658"/>
      <c r="AR642" s="658"/>
      <c r="AS642" s="658"/>
      <c r="AT642" s="658"/>
      <c r="AU642" s="658"/>
      <c r="AV642" s="658"/>
      <c r="AW642" s="658"/>
      <c r="AX642" s="658"/>
      <c r="AY642" s="658"/>
      <c r="AZ642" s="658"/>
      <c r="BA642" s="658"/>
      <c r="BB642" s="658"/>
      <c r="BC642" s="658"/>
      <c r="BD642" s="658"/>
      <c r="BE642" s="658"/>
      <c r="BF642" s="658"/>
      <c r="BG642" s="658"/>
      <c r="BH642" s="592"/>
      <c r="BI642" s="592"/>
      <c r="BJ642" s="592"/>
      <c r="BK642" s="592"/>
      <c r="BL642" s="592"/>
      <c r="BM642" s="592"/>
      <c r="BN642" s="592"/>
      <c r="BO642" s="592"/>
      <c r="BP642" s="592"/>
      <c r="BQ642" s="592"/>
    </row>
    <row r="643" spans="1:69" ht="12" customHeight="1" x14ac:dyDescent="0.15">
      <c r="A643" s="592"/>
      <c r="B643" s="658"/>
      <c r="C643" s="658"/>
      <c r="D643" s="658"/>
      <c r="E643" s="658"/>
      <c r="F643" s="658"/>
      <c r="G643" s="658"/>
      <c r="H643" s="658"/>
      <c r="I643" s="658"/>
      <c r="J643" s="658"/>
      <c r="K643" s="658"/>
      <c r="L643" s="658"/>
      <c r="M643" s="658"/>
      <c r="N643" s="658"/>
      <c r="O643" s="658"/>
      <c r="P643" s="658"/>
      <c r="Q643" s="658"/>
      <c r="R643" s="658"/>
      <c r="S643" s="658"/>
      <c r="T643" s="658"/>
      <c r="U643" s="658"/>
      <c r="V643" s="658"/>
      <c r="W643" s="658"/>
      <c r="X643" s="658"/>
      <c r="Y643" s="658"/>
      <c r="Z643" s="658"/>
      <c r="AA643" s="658"/>
      <c r="AB643" s="658"/>
      <c r="AC643" s="658"/>
      <c r="AD643" s="658"/>
      <c r="AE643" s="658"/>
      <c r="AF643" s="658"/>
      <c r="AG643" s="658"/>
      <c r="AH643" s="658"/>
      <c r="AI643" s="658"/>
      <c r="AJ643" s="658"/>
      <c r="AK643" s="658"/>
      <c r="AL643" s="658"/>
      <c r="AM643" s="658"/>
      <c r="AN643" s="658"/>
      <c r="AO643" s="658"/>
      <c r="AP643" s="658"/>
      <c r="AQ643" s="658"/>
      <c r="AR643" s="658"/>
      <c r="AS643" s="658"/>
      <c r="AT643" s="658"/>
      <c r="AU643" s="658"/>
      <c r="AV643" s="658"/>
      <c r="AW643" s="658"/>
      <c r="AX643" s="658"/>
      <c r="AY643" s="658"/>
      <c r="AZ643" s="658"/>
      <c r="BA643" s="658"/>
      <c r="BB643" s="658"/>
      <c r="BC643" s="658"/>
      <c r="BD643" s="658"/>
      <c r="BE643" s="658"/>
      <c r="BF643" s="658"/>
      <c r="BG643" s="658"/>
      <c r="BH643" s="592"/>
      <c r="BI643" s="592"/>
      <c r="BJ643" s="592"/>
      <c r="BK643" s="592"/>
      <c r="BL643" s="592"/>
      <c r="BM643" s="592"/>
      <c r="BN643" s="592"/>
      <c r="BO643" s="592"/>
      <c r="BP643" s="592"/>
      <c r="BQ643" s="592"/>
    </row>
    <row r="644" spans="1:69" ht="12" customHeight="1" x14ac:dyDescent="0.15">
      <c r="A644" s="592"/>
      <c r="B644" s="658"/>
      <c r="C644" s="658"/>
      <c r="D644" s="658"/>
      <c r="E644" s="658"/>
      <c r="F644" s="658"/>
      <c r="G644" s="658"/>
      <c r="H644" s="658"/>
      <c r="I644" s="658"/>
      <c r="J644" s="658"/>
      <c r="K644" s="658"/>
      <c r="L644" s="658"/>
      <c r="M644" s="658"/>
      <c r="N644" s="658"/>
      <c r="O644" s="658"/>
      <c r="P644" s="658"/>
      <c r="Q644" s="658"/>
      <c r="R644" s="658"/>
      <c r="S644" s="658"/>
      <c r="T644" s="658"/>
      <c r="U644" s="658"/>
      <c r="V644" s="658"/>
      <c r="W644" s="658"/>
      <c r="X644" s="658"/>
      <c r="Y644" s="658"/>
      <c r="Z644" s="658"/>
      <c r="AA644" s="658"/>
      <c r="AB644" s="658"/>
      <c r="AC644" s="658"/>
      <c r="AD644" s="658"/>
      <c r="AE644" s="658"/>
      <c r="AF644" s="658"/>
      <c r="AG644" s="658"/>
      <c r="AH644" s="658"/>
      <c r="AI644" s="658"/>
      <c r="AJ644" s="658"/>
      <c r="AK644" s="658"/>
      <c r="AL644" s="658"/>
      <c r="AM644" s="658"/>
      <c r="AN644" s="658"/>
      <c r="AO644" s="658"/>
      <c r="AP644" s="658"/>
      <c r="AQ644" s="658"/>
      <c r="AR644" s="658"/>
      <c r="AS644" s="658"/>
      <c r="AT644" s="658"/>
      <c r="AU644" s="658"/>
      <c r="AV644" s="658"/>
      <c r="AW644" s="658"/>
      <c r="AX644" s="658"/>
      <c r="AY644" s="658"/>
      <c r="AZ644" s="658"/>
      <c r="BA644" s="658"/>
      <c r="BB644" s="658"/>
      <c r="BC644" s="658"/>
      <c r="BD644" s="658"/>
      <c r="BE644" s="658"/>
      <c r="BF644" s="658"/>
      <c r="BG644" s="658"/>
      <c r="BH644" s="592"/>
      <c r="BI644" s="592"/>
      <c r="BJ644" s="592"/>
      <c r="BK644" s="592"/>
      <c r="BL644" s="592"/>
      <c r="BM644" s="592"/>
      <c r="BN644" s="592"/>
      <c r="BO644" s="592"/>
      <c r="BP644" s="592"/>
      <c r="BQ644" s="592"/>
    </row>
    <row r="645" spans="1:69" ht="12" customHeight="1" x14ac:dyDescent="0.15">
      <c r="A645" s="592"/>
      <c r="B645" s="658"/>
      <c r="C645" s="658"/>
      <c r="D645" s="658"/>
      <c r="E645" s="658"/>
      <c r="F645" s="658"/>
      <c r="G645" s="658"/>
      <c r="H645" s="658"/>
      <c r="I645" s="658"/>
      <c r="J645" s="658"/>
      <c r="K645" s="658"/>
      <c r="L645" s="658"/>
      <c r="M645" s="658"/>
      <c r="N645" s="658"/>
      <c r="O645" s="658"/>
      <c r="P645" s="658"/>
      <c r="Q645" s="658"/>
      <c r="R645" s="658"/>
      <c r="S645" s="658"/>
      <c r="T645" s="658"/>
      <c r="U645" s="658"/>
      <c r="V645" s="658"/>
      <c r="W645" s="658"/>
      <c r="X645" s="658"/>
      <c r="Y645" s="658"/>
      <c r="Z645" s="658"/>
      <c r="AA645" s="658"/>
      <c r="AB645" s="658"/>
      <c r="AC645" s="658"/>
      <c r="AD645" s="658"/>
      <c r="AE645" s="658"/>
      <c r="AF645" s="658"/>
      <c r="AG645" s="658"/>
      <c r="AH645" s="658"/>
      <c r="AI645" s="658"/>
      <c r="AJ645" s="658"/>
      <c r="AK645" s="658"/>
      <c r="AL645" s="658"/>
      <c r="AM645" s="658"/>
      <c r="AN645" s="658"/>
      <c r="AO645" s="658"/>
      <c r="AP645" s="658"/>
      <c r="AQ645" s="658"/>
      <c r="AR645" s="658"/>
      <c r="AS645" s="658"/>
      <c r="AT645" s="658"/>
      <c r="AU645" s="658"/>
      <c r="AV645" s="658"/>
      <c r="AW645" s="658"/>
      <c r="AX645" s="658"/>
      <c r="AY645" s="658"/>
      <c r="AZ645" s="658"/>
      <c r="BA645" s="658"/>
      <c r="BB645" s="658"/>
      <c r="BC645" s="658"/>
      <c r="BD645" s="658"/>
      <c r="BE645" s="658"/>
      <c r="BF645" s="658"/>
      <c r="BG645" s="658"/>
      <c r="BH645" s="592"/>
      <c r="BI645" s="592"/>
      <c r="BJ645" s="592"/>
      <c r="BK645" s="592"/>
      <c r="BL645" s="592"/>
      <c r="BM645" s="592"/>
      <c r="BN645" s="592"/>
      <c r="BO645" s="592"/>
      <c r="BP645" s="592"/>
      <c r="BQ645" s="592"/>
    </row>
    <row r="646" spans="1:69" ht="12" customHeight="1" x14ac:dyDescent="0.15">
      <c r="A646" s="592"/>
      <c r="B646" s="658"/>
      <c r="C646" s="658"/>
      <c r="D646" s="658"/>
      <c r="E646" s="658"/>
      <c r="F646" s="658"/>
      <c r="G646" s="658"/>
      <c r="H646" s="658"/>
      <c r="I646" s="658"/>
      <c r="J646" s="658"/>
      <c r="K646" s="658"/>
      <c r="L646" s="658"/>
      <c r="M646" s="658"/>
      <c r="N646" s="658"/>
      <c r="O646" s="658"/>
      <c r="P646" s="658"/>
      <c r="Q646" s="658"/>
      <c r="R646" s="658"/>
      <c r="S646" s="658"/>
      <c r="T646" s="658"/>
      <c r="U646" s="658"/>
      <c r="V646" s="658"/>
      <c r="W646" s="658"/>
      <c r="X646" s="658"/>
      <c r="Y646" s="658"/>
      <c r="Z646" s="658"/>
      <c r="AA646" s="658"/>
      <c r="AB646" s="658"/>
      <c r="AC646" s="658"/>
      <c r="AD646" s="658"/>
      <c r="AE646" s="658"/>
      <c r="AF646" s="658"/>
      <c r="AG646" s="658"/>
      <c r="AH646" s="658"/>
      <c r="AI646" s="658"/>
      <c r="AJ646" s="658"/>
      <c r="AK646" s="658"/>
      <c r="AL646" s="658"/>
      <c r="AM646" s="658"/>
      <c r="AN646" s="658"/>
      <c r="AO646" s="658"/>
      <c r="AP646" s="658"/>
      <c r="AQ646" s="658"/>
      <c r="AR646" s="658"/>
      <c r="AS646" s="658"/>
      <c r="AT646" s="658"/>
      <c r="AU646" s="658"/>
      <c r="AV646" s="658"/>
      <c r="AW646" s="658"/>
      <c r="AX646" s="658"/>
      <c r="AY646" s="658"/>
      <c r="AZ646" s="658"/>
      <c r="BA646" s="658"/>
      <c r="BB646" s="658"/>
      <c r="BC646" s="658"/>
      <c r="BD646" s="658"/>
      <c r="BE646" s="658"/>
      <c r="BF646" s="658"/>
      <c r="BG646" s="658"/>
      <c r="BH646" s="592"/>
      <c r="BI646" s="592"/>
      <c r="BJ646" s="592"/>
      <c r="BK646" s="592"/>
      <c r="BL646" s="592"/>
      <c r="BM646" s="592"/>
      <c r="BN646" s="592"/>
      <c r="BO646" s="592"/>
      <c r="BP646" s="592"/>
      <c r="BQ646" s="592"/>
    </row>
    <row r="647" spans="1:69" ht="12" customHeight="1" x14ac:dyDescent="0.15">
      <c r="A647" s="592"/>
      <c r="B647" s="658"/>
      <c r="C647" s="658"/>
      <c r="D647" s="658"/>
      <c r="E647" s="658"/>
      <c r="F647" s="658"/>
      <c r="G647" s="658"/>
      <c r="H647" s="658"/>
      <c r="I647" s="658"/>
      <c r="J647" s="658"/>
      <c r="K647" s="658"/>
      <c r="L647" s="658"/>
      <c r="M647" s="658"/>
      <c r="N647" s="658"/>
      <c r="O647" s="658"/>
      <c r="P647" s="658"/>
      <c r="Q647" s="658"/>
      <c r="R647" s="658"/>
      <c r="S647" s="658"/>
      <c r="T647" s="658"/>
      <c r="U647" s="658"/>
      <c r="V647" s="658"/>
      <c r="W647" s="658"/>
      <c r="X647" s="658"/>
      <c r="Y647" s="658"/>
      <c r="Z647" s="658"/>
      <c r="AA647" s="658"/>
      <c r="AB647" s="658"/>
      <c r="AC647" s="658"/>
      <c r="AD647" s="658"/>
      <c r="AE647" s="658"/>
      <c r="AF647" s="658"/>
      <c r="AG647" s="658"/>
      <c r="AH647" s="658"/>
      <c r="AI647" s="658"/>
      <c r="AJ647" s="658"/>
      <c r="AK647" s="658"/>
      <c r="AL647" s="658"/>
      <c r="AM647" s="658"/>
      <c r="AN647" s="658"/>
      <c r="AO647" s="658"/>
      <c r="AP647" s="658"/>
      <c r="AQ647" s="658"/>
      <c r="AR647" s="658"/>
      <c r="AS647" s="658"/>
      <c r="AT647" s="658"/>
      <c r="AU647" s="658"/>
      <c r="AV647" s="658"/>
      <c r="AW647" s="658"/>
      <c r="AX647" s="658"/>
      <c r="AY647" s="658"/>
      <c r="AZ647" s="658"/>
      <c r="BA647" s="658"/>
      <c r="BB647" s="658"/>
      <c r="BC647" s="658"/>
      <c r="BD647" s="658"/>
      <c r="BE647" s="658"/>
      <c r="BF647" s="658"/>
      <c r="BG647" s="658"/>
      <c r="BH647" s="592"/>
      <c r="BI647" s="592"/>
      <c r="BJ647" s="592"/>
      <c r="BK647" s="592"/>
      <c r="BL647" s="592"/>
      <c r="BM647" s="592"/>
      <c r="BN647" s="592"/>
      <c r="BO647" s="592"/>
      <c r="BP647" s="592"/>
      <c r="BQ647" s="592"/>
    </row>
    <row r="648" spans="1:69" ht="12" customHeight="1" x14ac:dyDescent="0.15">
      <c r="A648" s="592"/>
      <c r="B648" s="658"/>
      <c r="C648" s="658"/>
      <c r="D648" s="658"/>
      <c r="E648" s="658"/>
      <c r="F648" s="658"/>
      <c r="G648" s="658"/>
      <c r="H648" s="658"/>
      <c r="I648" s="658"/>
      <c r="J648" s="658"/>
      <c r="K648" s="658"/>
      <c r="L648" s="658"/>
      <c r="M648" s="658"/>
      <c r="N648" s="658"/>
      <c r="O648" s="658"/>
      <c r="P648" s="658"/>
      <c r="Q648" s="658"/>
      <c r="R648" s="658"/>
      <c r="S648" s="658"/>
      <c r="T648" s="658"/>
      <c r="U648" s="658"/>
      <c r="V648" s="658"/>
      <c r="W648" s="658"/>
      <c r="X648" s="658"/>
      <c r="Y648" s="658"/>
      <c r="Z648" s="658"/>
      <c r="AA648" s="658"/>
      <c r="AB648" s="658"/>
      <c r="AC648" s="658"/>
      <c r="AD648" s="658"/>
      <c r="AE648" s="658"/>
      <c r="AF648" s="658"/>
      <c r="AG648" s="658"/>
      <c r="AH648" s="658"/>
      <c r="AI648" s="658"/>
      <c r="AJ648" s="658"/>
      <c r="AK648" s="658"/>
      <c r="AL648" s="658"/>
      <c r="AM648" s="658"/>
      <c r="AN648" s="658"/>
      <c r="AO648" s="658"/>
      <c r="AP648" s="658"/>
      <c r="AQ648" s="658"/>
      <c r="AR648" s="658"/>
      <c r="AS648" s="658"/>
      <c r="AT648" s="658"/>
      <c r="AU648" s="658"/>
      <c r="AV648" s="658"/>
      <c r="AW648" s="658"/>
      <c r="AX648" s="658"/>
      <c r="AY648" s="658"/>
      <c r="AZ648" s="658"/>
      <c r="BA648" s="658"/>
      <c r="BB648" s="658"/>
      <c r="BC648" s="658"/>
      <c r="BD648" s="658"/>
      <c r="BE648" s="658"/>
      <c r="BF648" s="658"/>
      <c r="BG648" s="658"/>
      <c r="BH648" s="592"/>
      <c r="BI648" s="592"/>
      <c r="BJ648" s="592"/>
      <c r="BK648" s="592"/>
      <c r="BL648" s="592"/>
      <c r="BM648" s="592"/>
      <c r="BN648" s="592"/>
      <c r="BO648" s="592"/>
      <c r="BP648" s="592"/>
      <c r="BQ648" s="592"/>
    </row>
    <row r="649" spans="1:69" ht="12" customHeight="1" x14ac:dyDescent="0.15">
      <c r="A649" s="592"/>
      <c r="B649" s="658"/>
      <c r="C649" s="658"/>
      <c r="D649" s="658"/>
      <c r="E649" s="658"/>
      <c r="F649" s="658"/>
      <c r="G649" s="658"/>
      <c r="H649" s="658"/>
      <c r="I649" s="658"/>
      <c r="J649" s="658"/>
      <c r="K649" s="658"/>
      <c r="L649" s="658"/>
      <c r="M649" s="658"/>
      <c r="N649" s="658"/>
      <c r="O649" s="658"/>
      <c r="P649" s="658"/>
      <c r="Q649" s="658"/>
      <c r="R649" s="658"/>
      <c r="S649" s="658"/>
      <c r="T649" s="658"/>
      <c r="U649" s="658"/>
      <c r="V649" s="658"/>
      <c r="W649" s="658"/>
      <c r="X649" s="658"/>
      <c r="Y649" s="658"/>
      <c r="Z649" s="658"/>
      <c r="AA649" s="658"/>
      <c r="AB649" s="658"/>
      <c r="AC649" s="658"/>
      <c r="AD649" s="658"/>
      <c r="AE649" s="658"/>
      <c r="AF649" s="658"/>
      <c r="AG649" s="658"/>
      <c r="AH649" s="658"/>
      <c r="AI649" s="658"/>
      <c r="AJ649" s="658"/>
      <c r="AK649" s="658"/>
      <c r="AL649" s="658"/>
      <c r="AM649" s="658"/>
      <c r="AN649" s="658"/>
      <c r="AO649" s="658"/>
      <c r="AP649" s="658"/>
      <c r="AQ649" s="658"/>
      <c r="AR649" s="658"/>
      <c r="AS649" s="658"/>
      <c r="AT649" s="658"/>
      <c r="AU649" s="658"/>
      <c r="AV649" s="658"/>
      <c r="AW649" s="658"/>
      <c r="AX649" s="658"/>
      <c r="AY649" s="658"/>
      <c r="AZ649" s="658"/>
      <c r="BA649" s="658"/>
      <c r="BB649" s="658"/>
      <c r="BC649" s="658"/>
      <c r="BD649" s="658"/>
      <c r="BE649" s="658"/>
      <c r="BF649" s="658"/>
      <c r="BG649" s="658"/>
      <c r="BH649" s="592"/>
      <c r="BI649" s="592"/>
      <c r="BJ649" s="592"/>
      <c r="BK649" s="592"/>
      <c r="BL649" s="592"/>
      <c r="BM649" s="592"/>
      <c r="BN649" s="592"/>
      <c r="BO649" s="592"/>
      <c r="BP649" s="592"/>
      <c r="BQ649" s="592"/>
    </row>
    <row r="650" spans="1:69" ht="12" customHeight="1" x14ac:dyDescent="0.15">
      <c r="A650" s="592"/>
      <c r="B650" s="658"/>
      <c r="C650" s="658"/>
      <c r="D650" s="658"/>
      <c r="E650" s="658"/>
      <c r="F650" s="658"/>
      <c r="G650" s="658"/>
      <c r="H650" s="658"/>
      <c r="I650" s="658"/>
      <c r="J650" s="658"/>
      <c r="K650" s="658"/>
      <c r="L650" s="658"/>
      <c r="M650" s="658"/>
      <c r="N650" s="658"/>
      <c r="O650" s="658"/>
      <c r="P650" s="658"/>
      <c r="Q650" s="658"/>
      <c r="R650" s="658"/>
      <c r="S650" s="658"/>
      <c r="T650" s="658"/>
      <c r="U650" s="658"/>
      <c r="V650" s="658"/>
      <c r="W650" s="658"/>
      <c r="X650" s="658"/>
      <c r="Y650" s="658"/>
      <c r="Z650" s="658"/>
      <c r="AA650" s="658"/>
      <c r="AB650" s="658"/>
      <c r="AC650" s="658"/>
      <c r="AD650" s="658"/>
      <c r="AE650" s="658"/>
      <c r="AF650" s="658"/>
      <c r="AG650" s="658"/>
      <c r="AH650" s="658"/>
      <c r="AI650" s="658"/>
      <c r="AJ650" s="658"/>
      <c r="AK650" s="658"/>
      <c r="AL650" s="658"/>
      <c r="AM650" s="658"/>
      <c r="AN650" s="658"/>
      <c r="AO650" s="658"/>
      <c r="AP650" s="658"/>
      <c r="AQ650" s="658"/>
      <c r="AR650" s="658"/>
      <c r="AS650" s="658"/>
      <c r="AT650" s="658"/>
      <c r="AU650" s="658"/>
      <c r="AV650" s="658"/>
      <c r="AW650" s="658"/>
      <c r="AX650" s="658"/>
      <c r="AY650" s="658"/>
      <c r="AZ650" s="658"/>
      <c r="BA650" s="658"/>
      <c r="BB650" s="658"/>
      <c r="BC650" s="658"/>
      <c r="BD650" s="658"/>
      <c r="BE650" s="658"/>
      <c r="BF650" s="658"/>
      <c r="BG650" s="658"/>
      <c r="BH650" s="592"/>
      <c r="BI650" s="592"/>
      <c r="BJ650" s="592"/>
      <c r="BK650" s="592"/>
      <c r="BL650" s="592"/>
      <c r="BM650" s="592"/>
      <c r="BN650" s="592"/>
      <c r="BO650" s="592"/>
      <c r="BP650" s="592"/>
      <c r="BQ650" s="592"/>
    </row>
    <row r="651" spans="1:69" ht="12" customHeight="1" x14ac:dyDescent="0.15">
      <c r="A651" s="592"/>
      <c r="B651" s="658"/>
      <c r="C651" s="658"/>
      <c r="D651" s="658"/>
      <c r="E651" s="658"/>
      <c r="F651" s="658"/>
      <c r="G651" s="658"/>
      <c r="H651" s="658"/>
      <c r="I651" s="658"/>
      <c r="J651" s="658"/>
      <c r="K651" s="658"/>
      <c r="L651" s="658"/>
      <c r="M651" s="658"/>
      <c r="N651" s="658"/>
      <c r="O651" s="658"/>
      <c r="P651" s="658"/>
      <c r="Q651" s="658"/>
      <c r="R651" s="658"/>
      <c r="S651" s="658"/>
      <c r="T651" s="658"/>
      <c r="U651" s="658"/>
      <c r="V651" s="658"/>
      <c r="W651" s="658"/>
      <c r="X651" s="658"/>
      <c r="Y651" s="658"/>
      <c r="Z651" s="658"/>
      <c r="AA651" s="658"/>
      <c r="AB651" s="658"/>
      <c r="AC651" s="658"/>
      <c r="AD651" s="658"/>
      <c r="AE651" s="658"/>
      <c r="AF651" s="658"/>
      <c r="AG651" s="658"/>
      <c r="AH651" s="658"/>
      <c r="AI651" s="658"/>
      <c r="AJ651" s="658"/>
      <c r="AK651" s="658"/>
      <c r="AL651" s="658"/>
      <c r="AM651" s="658"/>
      <c r="AN651" s="658"/>
      <c r="AO651" s="658"/>
      <c r="AP651" s="658"/>
      <c r="AQ651" s="658"/>
      <c r="AR651" s="658"/>
      <c r="AS651" s="658"/>
      <c r="AT651" s="658"/>
      <c r="AU651" s="658"/>
      <c r="AV651" s="658"/>
      <c r="AW651" s="658"/>
      <c r="AX651" s="658"/>
      <c r="AY651" s="658"/>
      <c r="AZ651" s="658"/>
      <c r="BA651" s="658"/>
      <c r="BB651" s="658"/>
      <c r="BC651" s="658"/>
      <c r="BD651" s="658"/>
      <c r="BE651" s="658"/>
      <c r="BF651" s="658"/>
      <c r="BG651" s="658"/>
      <c r="BH651" s="592"/>
      <c r="BI651" s="592"/>
      <c r="BJ651" s="592"/>
      <c r="BK651" s="592"/>
      <c r="BL651" s="592"/>
      <c r="BM651" s="592"/>
      <c r="BN651" s="592"/>
      <c r="BO651" s="592"/>
      <c r="BP651" s="592"/>
      <c r="BQ651" s="592"/>
    </row>
    <row r="652" spans="1:69" ht="12" customHeight="1" x14ac:dyDescent="0.15">
      <c r="A652" s="592"/>
      <c r="B652" s="658"/>
      <c r="C652" s="658"/>
      <c r="D652" s="658"/>
      <c r="E652" s="658"/>
      <c r="F652" s="658"/>
      <c r="G652" s="658"/>
      <c r="H652" s="658"/>
      <c r="I652" s="658"/>
      <c r="J652" s="658"/>
      <c r="K652" s="658"/>
      <c r="L652" s="658"/>
      <c r="M652" s="658"/>
      <c r="N652" s="658"/>
      <c r="O652" s="658"/>
      <c r="P652" s="658"/>
      <c r="Q652" s="658"/>
      <c r="R652" s="658"/>
      <c r="S652" s="658"/>
      <c r="T652" s="658"/>
      <c r="U652" s="658"/>
      <c r="V652" s="658"/>
      <c r="W652" s="658"/>
      <c r="X652" s="658"/>
      <c r="Y652" s="658"/>
      <c r="Z652" s="658"/>
      <c r="AA652" s="658"/>
      <c r="AB652" s="658"/>
      <c r="AC652" s="658"/>
      <c r="AD652" s="658"/>
      <c r="AE652" s="658"/>
      <c r="AF652" s="658"/>
      <c r="AG652" s="658"/>
      <c r="AH652" s="658"/>
      <c r="AI652" s="658"/>
      <c r="AJ652" s="658"/>
      <c r="AK652" s="658"/>
      <c r="AL652" s="658"/>
      <c r="AM652" s="658"/>
      <c r="AN652" s="658"/>
      <c r="AO652" s="658"/>
      <c r="AP652" s="658"/>
      <c r="AQ652" s="658"/>
      <c r="AR652" s="658"/>
      <c r="AS652" s="658"/>
      <c r="AT652" s="658"/>
      <c r="AU652" s="658"/>
      <c r="AV652" s="658"/>
      <c r="AW652" s="658"/>
      <c r="AX652" s="658"/>
      <c r="AY652" s="658"/>
      <c r="AZ652" s="658"/>
      <c r="BA652" s="658"/>
      <c r="BB652" s="658"/>
      <c r="BC652" s="658"/>
      <c r="BD652" s="658"/>
      <c r="BE652" s="658"/>
      <c r="BF652" s="658"/>
      <c r="BG652" s="658"/>
      <c r="BH652" s="592"/>
      <c r="BI652" s="592"/>
      <c r="BJ652" s="592"/>
      <c r="BK652" s="592"/>
      <c r="BL652" s="592"/>
      <c r="BM652" s="592"/>
      <c r="BN652" s="592"/>
      <c r="BO652" s="592"/>
      <c r="BP652" s="592"/>
      <c r="BQ652" s="592"/>
    </row>
    <row r="653" spans="1:69" ht="12" customHeight="1" x14ac:dyDescent="0.15">
      <c r="A653" s="592"/>
      <c r="B653" s="658"/>
      <c r="C653" s="658"/>
      <c r="D653" s="658"/>
      <c r="E653" s="658"/>
      <c r="F653" s="658"/>
      <c r="G653" s="658"/>
      <c r="H653" s="658"/>
      <c r="I653" s="658"/>
      <c r="J653" s="658"/>
      <c r="K653" s="658"/>
      <c r="L653" s="658"/>
      <c r="M653" s="658"/>
      <c r="N653" s="658"/>
      <c r="O653" s="658"/>
      <c r="P653" s="658"/>
      <c r="Q653" s="658"/>
      <c r="R653" s="658"/>
      <c r="S653" s="658"/>
      <c r="T653" s="658"/>
      <c r="U653" s="658"/>
      <c r="V653" s="658"/>
      <c r="W653" s="658"/>
      <c r="X653" s="658"/>
      <c r="Y653" s="658"/>
      <c r="Z653" s="658"/>
      <c r="AA653" s="658"/>
      <c r="AB653" s="658"/>
      <c r="AC653" s="658"/>
      <c r="AD653" s="658"/>
      <c r="AE653" s="658"/>
      <c r="AF653" s="658"/>
      <c r="AG653" s="658"/>
      <c r="AH653" s="658"/>
      <c r="AI653" s="658"/>
      <c r="AJ653" s="658"/>
      <c r="AK653" s="658"/>
      <c r="AL653" s="658"/>
      <c r="AM653" s="658"/>
      <c r="AN653" s="658"/>
      <c r="AO653" s="658"/>
      <c r="AP653" s="658"/>
      <c r="AQ653" s="658"/>
      <c r="AR653" s="658"/>
      <c r="AS653" s="658"/>
      <c r="AT653" s="658"/>
      <c r="AU653" s="658"/>
      <c r="AV653" s="658"/>
      <c r="AW653" s="658"/>
      <c r="AX653" s="658"/>
      <c r="AY653" s="658"/>
      <c r="AZ653" s="658"/>
      <c r="BA653" s="658"/>
      <c r="BB653" s="658"/>
      <c r="BC653" s="658"/>
      <c r="BD653" s="658"/>
      <c r="BE653" s="658"/>
      <c r="BF653" s="658"/>
      <c r="BG653" s="658"/>
      <c r="BH653" s="592"/>
      <c r="BI653" s="592"/>
      <c r="BJ653" s="592"/>
      <c r="BK653" s="592"/>
      <c r="BL653" s="592"/>
      <c r="BM653" s="592"/>
      <c r="BN653" s="592"/>
      <c r="BO653" s="592"/>
      <c r="BP653" s="592"/>
      <c r="BQ653" s="592"/>
    </row>
    <row r="654" spans="1:69" ht="12" customHeight="1" x14ac:dyDescent="0.15">
      <c r="A654" s="592"/>
      <c r="B654" s="658"/>
      <c r="C654" s="658"/>
      <c r="D654" s="658"/>
      <c r="E654" s="658"/>
      <c r="F654" s="658"/>
      <c r="G654" s="658"/>
      <c r="H654" s="658"/>
      <c r="I654" s="658"/>
      <c r="J654" s="658"/>
      <c r="K654" s="658"/>
      <c r="L654" s="658"/>
      <c r="M654" s="658"/>
      <c r="N654" s="658"/>
      <c r="O654" s="658"/>
      <c r="P654" s="658"/>
      <c r="Q654" s="658"/>
      <c r="R654" s="658"/>
      <c r="S654" s="658"/>
      <c r="T654" s="658"/>
      <c r="U654" s="658"/>
      <c r="V654" s="658"/>
      <c r="W654" s="658"/>
      <c r="X654" s="658"/>
      <c r="Y654" s="658"/>
      <c r="Z654" s="658"/>
      <c r="AA654" s="658"/>
      <c r="AB654" s="658"/>
      <c r="AC654" s="658"/>
      <c r="AD654" s="658"/>
      <c r="AE654" s="658"/>
      <c r="AF654" s="658"/>
      <c r="AG654" s="658"/>
      <c r="AH654" s="658"/>
      <c r="AI654" s="658"/>
      <c r="AJ654" s="658"/>
      <c r="AK654" s="658"/>
      <c r="AL654" s="658"/>
      <c r="AM654" s="658"/>
      <c r="AN654" s="658"/>
      <c r="AO654" s="658"/>
      <c r="AP654" s="658"/>
      <c r="AQ654" s="658"/>
      <c r="AR654" s="658"/>
      <c r="AS654" s="658"/>
      <c r="AT654" s="658"/>
      <c r="AU654" s="658"/>
      <c r="AV654" s="658"/>
      <c r="AW654" s="658"/>
      <c r="AX654" s="658"/>
      <c r="AY654" s="658"/>
      <c r="AZ654" s="658"/>
      <c r="BA654" s="658"/>
      <c r="BB654" s="658"/>
      <c r="BC654" s="658"/>
      <c r="BD654" s="658"/>
      <c r="BE654" s="658"/>
      <c r="BF654" s="658"/>
      <c r="BG654" s="658"/>
      <c r="BH654" s="592"/>
      <c r="BI654" s="592"/>
      <c r="BJ654" s="592"/>
      <c r="BK654" s="592"/>
      <c r="BL654" s="592"/>
      <c r="BM654" s="592"/>
      <c r="BN654" s="592"/>
      <c r="BO654" s="592"/>
      <c r="BP654" s="592"/>
      <c r="BQ654" s="592"/>
    </row>
    <row r="655" spans="1:69" ht="12" customHeight="1" x14ac:dyDescent="0.15">
      <c r="A655" s="592"/>
      <c r="B655" s="658"/>
      <c r="C655" s="658"/>
      <c r="D655" s="658"/>
      <c r="E655" s="658"/>
      <c r="F655" s="658"/>
      <c r="G655" s="658"/>
      <c r="H655" s="658"/>
      <c r="I655" s="658"/>
      <c r="J655" s="658"/>
      <c r="K655" s="658"/>
      <c r="L655" s="658"/>
      <c r="M655" s="658"/>
      <c r="N655" s="658"/>
      <c r="O655" s="658"/>
      <c r="P655" s="658"/>
      <c r="Q655" s="658"/>
      <c r="R655" s="658"/>
      <c r="S655" s="658"/>
      <c r="T655" s="658"/>
      <c r="U655" s="658"/>
      <c r="V655" s="658"/>
      <c r="W655" s="658"/>
      <c r="X655" s="658"/>
      <c r="Y655" s="658"/>
      <c r="Z655" s="658"/>
      <c r="AA655" s="658"/>
      <c r="AB655" s="658"/>
      <c r="AC655" s="658"/>
      <c r="AD655" s="658"/>
      <c r="AE655" s="658"/>
      <c r="AF655" s="658"/>
      <c r="AG655" s="658"/>
      <c r="AH655" s="658"/>
      <c r="AI655" s="658"/>
      <c r="AJ655" s="658"/>
      <c r="AK655" s="658"/>
      <c r="AL655" s="658"/>
      <c r="AM655" s="658"/>
      <c r="AN655" s="658"/>
      <c r="AO655" s="658"/>
      <c r="AP655" s="658"/>
      <c r="AQ655" s="658"/>
      <c r="AR655" s="658"/>
      <c r="AS655" s="658"/>
      <c r="AT655" s="658"/>
      <c r="AU655" s="658"/>
      <c r="AV655" s="658"/>
      <c r="AW655" s="658"/>
      <c r="AX655" s="658"/>
      <c r="AY655" s="658"/>
      <c r="AZ655" s="658"/>
      <c r="BA655" s="658"/>
      <c r="BB655" s="658"/>
      <c r="BC655" s="658"/>
      <c r="BD655" s="658"/>
      <c r="BE655" s="658"/>
      <c r="BF655" s="658"/>
      <c r="BG655" s="658"/>
      <c r="BH655" s="592"/>
      <c r="BI655" s="592"/>
      <c r="BJ655" s="592"/>
      <c r="BK655" s="592"/>
      <c r="BL655" s="592"/>
      <c r="BM655" s="592"/>
      <c r="BN655" s="592"/>
      <c r="BO655" s="592"/>
      <c r="BP655" s="592"/>
      <c r="BQ655" s="592"/>
    </row>
    <row r="656" spans="1:69" ht="12" customHeight="1" x14ac:dyDescent="0.15">
      <c r="A656" s="592"/>
      <c r="B656" s="658"/>
      <c r="C656" s="658"/>
      <c r="D656" s="658"/>
      <c r="E656" s="658"/>
      <c r="F656" s="658"/>
      <c r="G656" s="658"/>
      <c r="H656" s="658"/>
      <c r="I656" s="658"/>
      <c r="J656" s="658"/>
      <c r="K656" s="658"/>
      <c r="L656" s="658"/>
      <c r="M656" s="658"/>
      <c r="N656" s="658"/>
      <c r="O656" s="658"/>
      <c r="P656" s="658"/>
      <c r="Q656" s="658"/>
      <c r="R656" s="658"/>
      <c r="S656" s="658"/>
      <c r="T656" s="658"/>
      <c r="U656" s="658"/>
      <c r="V656" s="658"/>
      <c r="W656" s="658"/>
      <c r="X656" s="658"/>
      <c r="Y656" s="658"/>
      <c r="Z656" s="658"/>
      <c r="AA656" s="658"/>
      <c r="AB656" s="658"/>
      <c r="AC656" s="658"/>
      <c r="AD656" s="658"/>
      <c r="AE656" s="658"/>
      <c r="AF656" s="658"/>
      <c r="AG656" s="658"/>
      <c r="AH656" s="658"/>
      <c r="AI656" s="658"/>
      <c r="AJ656" s="658"/>
      <c r="AK656" s="658"/>
      <c r="AL656" s="658"/>
      <c r="AM656" s="658"/>
      <c r="AN656" s="658"/>
      <c r="AO656" s="658"/>
      <c r="AP656" s="658"/>
      <c r="AQ656" s="658"/>
      <c r="AR656" s="658"/>
      <c r="AS656" s="658"/>
      <c r="AT656" s="658"/>
      <c r="AU656" s="658"/>
      <c r="AV656" s="658"/>
      <c r="AW656" s="658"/>
      <c r="AX656" s="658"/>
      <c r="AY656" s="658"/>
      <c r="AZ656" s="658"/>
      <c r="BA656" s="658"/>
      <c r="BB656" s="658"/>
      <c r="BC656" s="658"/>
      <c r="BD656" s="658"/>
      <c r="BE656" s="658"/>
      <c r="BF656" s="658"/>
      <c r="BG656" s="658"/>
      <c r="BH656" s="592"/>
      <c r="BI656" s="592"/>
      <c r="BJ656" s="592"/>
      <c r="BK656" s="592"/>
      <c r="BL656" s="592"/>
      <c r="BM656" s="592"/>
      <c r="BN656" s="592"/>
      <c r="BO656" s="592"/>
      <c r="BP656" s="592"/>
      <c r="BQ656" s="592"/>
    </row>
    <row r="657" spans="1:69" ht="12" customHeight="1" x14ac:dyDescent="0.15">
      <c r="A657" s="592"/>
      <c r="B657" s="658"/>
      <c r="C657" s="658"/>
      <c r="D657" s="658"/>
      <c r="E657" s="658"/>
      <c r="F657" s="658"/>
      <c r="G657" s="658"/>
      <c r="H657" s="658"/>
      <c r="I657" s="658"/>
      <c r="J657" s="658"/>
      <c r="K657" s="658"/>
      <c r="L657" s="658"/>
      <c r="M657" s="658"/>
      <c r="N657" s="658"/>
      <c r="O657" s="658"/>
      <c r="P657" s="658"/>
      <c r="Q657" s="658"/>
      <c r="R657" s="658"/>
      <c r="S657" s="658"/>
      <c r="T657" s="658"/>
      <c r="U657" s="658"/>
      <c r="V657" s="658"/>
      <c r="W657" s="658"/>
      <c r="X657" s="658"/>
      <c r="Y657" s="658"/>
      <c r="Z657" s="658"/>
      <c r="AA657" s="658"/>
      <c r="AB657" s="658"/>
      <c r="AC657" s="658"/>
      <c r="AD657" s="658"/>
      <c r="AE657" s="658"/>
      <c r="AF657" s="658"/>
      <c r="AG657" s="658"/>
      <c r="AH657" s="658"/>
      <c r="AI657" s="658"/>
      <c r="AJ657" s="658"/>
      <c r="AK657" s="658"/>
      <c r="AL657" s="658"/>
      <c r="AM657" s="658"/>
      <c r="AN657" s="658"/>
      <c r="AO657" s="658"/>
      <c r="AP657" s="658"/>
      <c r="AQ657" s="658"/>
      <c r="AR657" s="658"/>
      <c r="AS657" s="658"/>
      <c r="AT657" s="658"/>
      <c r="AU657" s="658"/>
      <c r="AV657" s="658"/>
      <c r="AW657" s="658"/>
      <c r="AX657" s="658"/>
      <c r="AY657" s="658"/>
      <c r="AZ657" s="658"/>
      <c r="BA657" s="658"/>
      <c r="BB657" s="658"/>
      <c r="BC657" s="658"/>
      <c r="BD657" s="658"/>
      <c r="BE657" s="658"/>
      <c r="BF657" s="658"/>
      <c r="BG657" s="658"/>
      <c r="BH657" s="592"/>
      <c r="BI657" s="592"/>
      <c r="BJ657" s="592"/>
      <c r="BK657" s="592"/>
      <c r="BL657" s="592"/>
      <c r="BM657" s="592"/>
      <c r="BN657" s="592"/>
      <c r="BO657" s="592"/>
      <c r="BP657" s="592"/>
      <c r="BQ657" s="592"/>
    </row>
    <row r="658" spans="1:69" ht="12" customHeight="1" x14ac:dyDescent="0.15">
      <c r="A658" s="592"/>
      <c r="B658" s="658"/>
      <c r="C658" s="658"/>
      <c r="D658" s="658"/>
      <c r="E658" s="658"/>
      <c r="F658" s="658"/>
      <c r="G658" s="658"/>
      <c r="H658" s="658"/>
      <c r="I658" s="658"/>
      <c r="J658" s="658"/>
      <c r="K658" s="658"/>
      <c r="L658" s="658"/>
      <c r="M658" s="658"/>
      <c r="N658" s="658"/>
      <c r="O658" s="658"/>
      <c r="P658" s="658"/>
      <c r="Q658" s="658"/>
      <c r="R658" s="658"/>
      <c r="S658" s="658"/>
      <c r="T658" s="658"/>
      <c r="U658" s="658"/>
      <c r="V658" s="658"/>
      <c r="W658" s="658"/>
      <c r="X658" s="658"/>
      <c r="Y658" s="658"/>
      <c r="Z658" s="658"/>
      <c r="AA658" s="658"/>
      <c r="AB658" s="658"/>
      <c r="AC658" s="658"/>
      <c r="AD658" s="658"/>
      <c r="AE658" s="658"/>
      <c r="AF658" s="658"/>
      <c r="AG658" s="658"/>
      <c r="AH658" s="658"/>
      <c r="AI658" s="658"/>
      <c r="AJ658" s="658"/>
      <c r="AK658" s="658"/>
      <c r="AL658" s="658"/>
      <c r="AM658" s="658"/>
      <c r="AN658" s="658"/>
      <c r="AO658" s="658"/>
      <c r="AP658" s="658"/>
      <c r="AQ658" s="658"/>
      <c r="AR658" s="658"/>
      <c r="AS658" s="658"/>
      <c r="AT658" s="658"/>
      <c r="AU658" s="658"/>
      <c r="AV658" s="658"/>
      <c r="AW658" s="658"/>
      <c r="AX658" s="658"/>
      <c r="AY658" s="658"/>
      <c r="AZ658" s="658"/>
      <c r="BA658" s="658"/>
      <c r="BB658" s="658"/>
      <c r="BC658" s="658"/>
      <c r="BD658" s="658"/>
      <c r="BE658" s="658"/>
      <c r="BF658" s="658"/>
      <c r="BG658" s="658"/>
      <c r="BH658" s="592"/>
      <c r="BI658" s="592"/>
      <c r="BJ658" s="592"/>
      <c r="BK658" s="592"/>
      <c r="BL658" s="592"/>
      <c r="BM658" s="592"/>
      <c r="BN658" s="592"/>
      <c r="BO658" s="592"/>
      <c r="BP658" s="592"/>
      <c r="BQ658" s="592"/>
    </row>
    <row r="659" spans="1:69" ht="12" customHeight="1" x14ac:dyDescent="0.15">
      <c r="A659" s="592"/>
      <c r="B659" s="658"/>
      <c r="C659" s="658"/>
      <c r="D659" s="658"/>
      <c r="E659" s="658"/>
      <c r="F659" s="658"/>
      <c r="G659" s="658"/>
      <c r="H659" s="658"/>
      <c r="I659" s="658"/>
      <c r="J659" s="658"/>
      <c r="K659" s="658"/>
      <c r="L659" s="658"/>
      <c r="M659" s="658"/>
      <c r="N659" s="658"/>
      <c r="O659" s="658"/>
      <c r="P659" s="658"/>
      <c r="Q659" s="658"/>
      <c r="R659" s="658"/>
      <c r="S659" s="658"/>
      <c r="T659" s="658"/>
      <c r="U659" s="658"/>
      <c r="V659" s="658"/>
      <c r="W659" s="658"/>
      <c r="X659" s="658"/>
      <c r="Y659" s="658"/>
      <c r="Z659" s="658"/>
      <c r="AA659" s="658"/>
      <c r="AB659" s="658"/>
      <c r="AC659" s="658"/>
      <c r="AD659" s="658"/>
      <c r="AE659" s="658"/>
      <c r="AF659" s="658"/>
      <c r="AG659" s="658"/>
      <c r="AH659" s="658"/>
      <c r="AI659" s="658"/>
      <c r="AJ659" s="658"/>
      <c r="AK659" s="658"/>
      <c r="AL659" s="658"/>
      <c r="AM659" s="658"/>
      <c r="AN659" s="658"/>
      <c r="AO659" s="658"/>
      <c r="AP659" s="658"/>
      <c r="AQ659" s="658"/>
      <c r="AR659" s="658"/>
      <c r="AS659" s="658"/>
      <c r="AT659" s="658"/>
      <c r="AU659" s="658"/>
      <c r="AV659" s="658"/>
      <c r="AW659" s="658"/>
      <c r="AX659" s="658"/>
      <c r="AY659" s="658"/>
      <c r="AZ659" s="658"/>
      <c r="BA659" s="658"/>
      <c r="BB659" s="658"/>
      <c r="BC659" s="658"/>
      <c r="BD659" s="658"/>
      <c r="BE659" s="658"/>
      <c r="BF659" s="658"/>
      <c r="BG659" s="658"/>
      <c r="BH659" s="592"/>
      <c r="BI659" s="592"/>
      <c r="BJ659" s="592"/>
      <c r="BK659" s="592"/>
      <c r="BL659" s="592"/>
      <c r="BM659" s="592"/>
      <c r="BN659" s="592"/>
      <c r="BO659" s="592"/>
      <c r="BP659" s="592"/>
      <c r="BQ659" s="592"/>
    </row>
    <row r="660" spans="1:69" ht="12" customHeight="1" x14ac:dyDescent="0.15">
      <c r="A660" s="592"/>
      <c r="B660" s="658"/>
      <c r="C660" s="658"/>
      <c r="D660" s="658"/>
      <c r="E660" s="658"/>
      <c r="F660" s="658"/>
      <c r="G660" s="658"/>
      <c r="H660" s="658"/>
      <c r="I660" s="658"/>
      <c r="J660" s="658"/>
      <c r="K660" s="658"/>
      <c r="L660" s="658"/>
      <c r="M660" s="658"/>
      <c r="N660" s="658"/>
      <c r="O660" s="658"/>
      <c r="P660" s="658"/>
      <c r="Q660" s="658"/>
      <c r="R660" s="658"/>
      <c r="S660" s="658"/>
      <c r="T660" s="658"/>
      <c r="U660" s="658"/>
      <c r="V660" s="658"/>
      <c r="W660" s="658"/>
      <c r="X660" s="658"/>
      <c r="Y660" s="658"/>
      <c r="Z660" s="658"/>
      <c r="AA660" s="658"/>
      <c r="AB660" s="658"/>
      <c r="AC660" s="658"/>
      <c r="AD660" s="658"/>
      <c r="AE660" s="658"/>
      <c r="AF660" s="658"/>
      <c r="AG660" s="658"/>
      <c r="AH660" s="658"/>
      <c r="AI660" s="658"/>
      <c r="AJ660" s="658"/>
      <c r="AK660" s="658"/>
      <c r="AL660" s="658"/>
      <c r="AM660" s="658"/>
      <c r="AN660" s="658"/>
      <c r="AO660" s="658"/>
      <c r="AP660" s="658"/>
      <c r="AQ660" s="658"/>
      <c r="AR660" s="658"/>
      <c r="AS660" s="658"/>
      <c r="AT660" s="658"/>
      <c r="AU660" s="658"/>
      <c r="AV660" s="658"/>
      <c r="AW660" s="658"/>
      <c r="AX660" s="658"/>
      <c r="AY660" s="658"/>
      <c r="AZ660" s="658"/>
      <c r="BA660" s="658"/>
      <c r="BB660" s="658"/>
      <c r="BC660" s="658"/>
      <c r="BD660" s="658"/>
      <c r="BE660" s="658"/>
      <c r="BF660" s="658"/>
      <c r="BG660" s="658"/>
      <c r="BH660" s="592"/>
      <c r="BI660" s="592"/>
      <c r="BJ660" s="592"/>
      <c r="BK660" s="592"/>
      <c r="BL660" s="592"/>
      <c r="BM660" s="592"/>
      <c r="BN660" s="592"/>
      <c r="BO660" s="592"/>
      <c r="BP660" s="592"/>
      <c r="BQ660" s="592"/>
    </row>
    <row r="661" spans="1:69" ht="12" customHeight="1" x14ac:dyDescent="0.15">
      <c r="A661" s="592"/>
      <c r="B661" s="658"/>
      <c r="C661" s="658"/>
      <c r="D661" s="658"/>
      <c r="E661" s="658"/>
      <c r="F661" s="658"/>
      <c r="G661" s="658"/>
      <c r="H661" s="658"/>
      <c r="I661" s="658"/>
      <c r="J661" s="658"/>
      <c r="K661" s="658"/>
      <c r="L661" s="658"/>
      <c r="M661" s="658"/>
      <c r="N661" s="658"/>
      <c r="O661" s="658"/>
      <c r="P661" s="658"/>
      <c r="Q661" s="658"/>
      <c r="R661" s="658"/>
      <c r="S661" s="658"/>
      <c r="T661" s="658"/>
      <c r="U661" s="658"/>
      <c r="V661" s="658"/>
      <c r="W661" s="658"/>
      <c r="X661" s="658"/>
      <c r="Y661" s="658"/>
      <c r="Z661" s="658"/>
      <c r="AA661" s="658"/>
      <c r="AB661" s="658"/>
      <c r="AC661" s="658"/>
      <c r="AD661" s="658"/>
      <c r="AE661" s="658"/>
      <c r="AF661" s="658"/>
      <c r="AG661" s="658"/>
      <c r="AH661" s="658"/>
      <c r="AI661" s="658"/>
      <c r="AJ661" s="658"/>
      <c r="AK661" s="658"/>
      <c r="AL661" s="658"/>
      <c r="AM661" s="658"/>
      <c r="AN661" s="658"/>
      <c r="AO661" s="658"/>
      <c r="AP661" s="658"/>
      <c r="AQ661" s="658"/>
      <c r="AR661" s="658"/>
      <c r="AS661" s="658"/>
      <c r="AT661" s="658"/>
      <c r="AU661" s="658"/>
      <c r="AV661" s="658"/>
      <c r="AW661" s="658"/>
      <c r="AX661" s="658"/>
      <c r="AY661" s="658"/>
      <c r="AZ661" s="658"/>
      <c r="BA661" s="658"/>
      <c r="BB661" s="658"/>
      <c r="BC661" s="658"/>
      <c r="BD661" s="658"/>
      <c r="BE661" s="658"/>
      <c r="BF661" s="658"/>
      <c r="BG661" s="658"/>
      <c r="BH661" s="592"/>
      <c r="BI661" s="592"/>
      <c r="BJ661" s="592"/>
      <c r="BK661" s="592"/>
      <c r="BL661" s="592"/>
      <c r="BM661" s="592"/>
      <c r="BN661" s="592"/>
      <c r="BO661" s="592"/>
      <c r="BP661" s="592"/>
      <c r="BQ661" s="592"/>
    </row>
    <row r="662" spans="1:69" ht="12" customHeight="1" x14ac:dyDescent="0.15">
      <c r="A662" s="592"/>
      <c r="B662" s="658"/>
      <c r="C662" s="658"/>
      <c r="D662" s="658"/>
      <c r="E662" s="658"/>
      <c r="F662" s="658"/>
      <c r="G662" s="658"/>
      <c r="H662" s="658"/>
      <c r="I662" s="658"/>
      <c r="J662" s="658"/>
      <c r="K662" s="658"/>
      <c r="L662" s="658"/>
      <c r="M662" s="658"/>
      <c r="N662" s="658"/>
      <c r="O662" s="658"/>
      <c r="P662" s="658"/>
      <c r="Q662" s="658"/>
      <c r="R662" s="658"/>
      <c r="S662" s="658"/>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8"/>
      <c r="AZ662" s="658"/>
      <c r="BA662" s="658"/>
      <c r="BB662" s="658"/>
      <c r="BC662" s="658"/>
      <c r="BD662" s="658"/>
      <c r="BE662" s="658"/>
      <c r="BF662" s="658"/>
      <c r="BG662" s="658"/>
      <c r="BH662" s="592"/>
      <c r="BI662" s="592"/>
      <c r="BJ662" s="592"/>
      <c r="BK662" s="592"/>
      <c r="BL662" s="592"/>
      <c r="BM662" s="592"/>
      <c r="BN662" s="592"/>
      <c r="BO662" s="592"/>
      <c r="BP662" s="592"/>
      <c r="BQ662" s="592"/>
    </row>
    <row r="663" spans="1:69" ht="12" customHeight="1" x14ac:dyDescent="0.15">
      <c r="A663" s="592"/>
      <c r="B663" s="658"/>
      <c r="C663" s="658"/>
      <c r="D663" s="658"/>
      <c r="E663" s="658"/>
      <c r="F663" s="658"/>
      <c r="G663" s="658"/>
      <c r="H663" s="658"/>
      <c r="I663" s="658"/>
      <c r="J663" s="658"/>
      <c r="K663" s="658"/>
      <c r="L663" s="658"/>
      <c r="M663" s="658"/>
      <c r="N663" s="658"/>
      <c r="O663" s="658"/>
      <c r="P663" s="658"/>
      <c r="Q663" s="658"/>
      <c r="R663" s="658"/>
      <c r="S663" s="658"/>
      <c r="T663" s="658"/>
      <c r="U663" s="658"/>
      <c r="V663" s="658"/>
      <c r="W663" s="658"/>
      <c r="X663" s="658"/>
      <c r="Y663" s="658"/>
      <c r="Z663" s="658"/>
      <c r="AA663" s="658"/>
      <c r="AB663" s="658"/>
      <c r="AC663" s="658"/>
      <c r="AD663" s="658"/>
      <c r="AE663" s="658"/>
      <c r="AF663" s="658"/>
      <c r="AG663" s="658"/>
      <c r="AH663" s="658"/>
      <c r="AI663" s="658"/>
      <c r="AJ663" s="658"/>
      <c r="AK663" s="658"/>
      <c r="AL663" s="658"/>
      <c r="AM663" s="658"/>
      <c r="AN663" s="658"/>
      <c r="AO663" s="658"/>
      <c r="AP663" s="658"/>
      <c r="AQ663" s="658"/>
      <c r="AR663" s="658"/>
      <c r="AS663" s="658"/>
      <c r="AT663" s="658"/>
      <c r="AU663" s="658"/>
      <c r="AV663" s="658"/>
      <c r="AW663" s="658"/>
      <c r="AX663" s="658"/>
      <c r="AY663" s="658"/>
      <c r="AZ663" s="658"/>
      <c r="BA663" s="658"/>
      <c r="BB663" s="658"/>
      <c r="BC663" s="658"/>
      <c r="BD663" s="658"/>
      <c r="BE663" s="658"/>
      <c r="BF663" s="658"/>
      <c r="BG663" s="658"/>
      <c r="BH663" s="592"/>
      <c r="BI663" s="592"/>
      <c r="BJ663" s="592"/>
      <c r="BK663" s="592"/>
      <c r="BL663" s="592"/>
      <c r="BM663" s="592"/>
      <c r="BN663" s="592"/>
      <c r="BO663" s="592"/>
      <c r="BP663" s="592"/>
      <c r="BQ663" s="592"/>
    </row>
    <row r="664" spans="1:69" ht="12" customHeight="1" x14ac:dyDescent="0.15">
      <c r="A664" s="592"/>
      <c r="B664" s="658"/>
      <c r="C664" s="658"/>
      <c r="D664" s="658"/>
      <c r="E664" s="658"/>
      <c r="F664" s="658"/>
      <c r="G664" s="658"/>
      <c r="H664" s="658"/>
      <c r="I664" s="658"/>
      <c r="J664" s="658"/>
      <c r="K664" s="658"/>
      <c r="L664" s="658"/>
      <c r="M664" s="658"/>
      <c r="N664" s="658"/>
      <c r="O664" s="658"/>
      <c r="P664" s="658"/>
      <c r="Q664" s="658"/>
      <c r="R664" s="658"/>
      <c r="S664" s="658"/>
      <c r="T664" s="658"/>
      <c r="U664" s="658"/>
      <c r="V664" s="658"/>
      <c r="W664" s="658"/>
      <c r="X664" s="658"/>
      <c r="Y664" s="658"/>
      <c r="Z664" s="658"/>
      <c r="AA664" s="658"/>
      <c r="AB664" s="658"/>
      <c r="AC664" s="658"/>
      <c r="AD664" s="658"/>
      <c r="AE664" s="658"/>
      <c r="AF664" s="658"/>
      <c r="AG664" s="658"/>
      <c r="AH664" s="658"/>
      <c r="AI664" s="658"/>
      <c r="AJ664" s="658"/>
      <c r="AK664" s="658"/>
      <c r="AL664" s="658"/>
      <c r="AM664" s="658"/>
      <c r="AN664" s="658"/>
      <c r="AO664" s="658"/>
      <c r="AP664" s="658"/>
      <c r="AQ664" s="658"/>
      <c r="AR664" s="658"/>
      <c r="AS664" s="658"/>
      <c r="AT664" s="658"/>
      <c r="AU664" s="658"/>
      <c r="AV664" s="658"/>
      <c r="AW664" s="658"/>
      <c r="AX664" s="658"/>
      <c r="AY664" s="658"/>
      <c r="AZ664" s="658"/>
      <c r="BA664" s="658"/>
      <c r="BB664" s="658"/>
      <c r="BC664" s="658"/>
      <c r="BD664" s="658"/>
      <c r="BE664" s="658"/>
      <c r="BF664" s="658"/>
      <c r="BG664" s="658"/>
      <c r="BH664" s="592"/>
      <c r="BI664" s="592"/>
      <c r="BJ664" s="592"/>
      <c r="BK664" s="592"/>
      <c r="BL664" s="592"/>
      <c r="BM664" s="592"/>
      <c r="BN664" s="592"/>
      <c r="BO664" s="592"/>
      <c r="BP664" s="592"/>
      <c r="BQ664" s="592"/>
    </row>
    <row r="665" spans="1:69" ht="12" customHeight="1" x14ac:dyDescent="0.15">
      <c r="A665" s="592"/>
      <c r="B665" s="658"/>
      <c r="C665" s="658"/>
      <c r="D665" s="658"/>
      <c r="E665" s="658"/>
      <c r="F665" s="658"/>
      <c r="G665" s="658"/>
      <c r="H665" s="658"/>
      <c r="I665" s="658"/>
      <c r="J665" s="658"/>
      <c r="K665" s="658"/>
      <c r="L665" s="658"/>
      <c r="M665" s="658"/>
      <c r="N665" s="658"/>
      <c r="O665" s="658"/>
      <c r="P665" s="658"/>
      <c r="Q665" s="658"/>
      <c r="R665" s="658"/>
      <c r="S665" s="658"/>
      <c r="T665" s="658"/>
      <c r="U665" s="658"/>
      <c r="V665" s="658"/>
      <c r="W665" s="658"/>
      <c r="X665" s="658"/>
      <c r="Y665" s="658"/>
      <c r="Z665" s="658"/>
      <c r="AA665" s="658"/>
      <c r="AB665" s="658"/>
      <c r="AC665" s="658"/>
      <c r="AD665" s="658"/>
      <c r="AE665" s="658"/>
      <c r="AF665" s="658"/>
      <c r="AG665" s="658"/>
      <c r="AH665" s="658"/>
      <c r="AI665" s="658"/>
      <c r="AJ665" s="658"/>
      <c r="AK665" s="658"/>
      <c r="AL665" s="658"/>
      <c r="AM665" s="658"/>
      <c r="AN665" s="658"/>
      <c r="AO665" s="658"/>
      <c r="AP665" s="658"/>
      <c r="AQ665" s="658"/>
      <c r="AR665" s="658"/>
      <c r="AS665" s="658"/>
      <c r="AT665" s="658"/>
      <c r="AU665" s="658"/>
      <c r="AV665" s="658"/>
      <c r="AW665" s="658"/>
      <c r="AX665" s="658"/>
      <c r="AY665" s="658"/>
      <c r="AZ665" s="658"/>
      <c r="BA665" s="658"/>
      <c r="BB665" s="658"/>
      <c r="BC665" s="658"/>
      <c r="BD665" s="658"/>
      <c r="BE665" s="658"/>
      <c r="BF665" s="658"/>
      <c r="BG665" s="658"/>
      <c r="BH665" s="592"/>
      <c r="BI665" s="592"/>
      <c r="BJ665" s="592"/>
      <c r="BK665" s="592"/>
      <c r="BL665" s="592"/>
      <c r="BM665" s="592"/>
      <c r="BN665" s="592"/>
      <c r="BO665" s="592"/>
      <c r="BP665" s="592"/>
      <c r="BQ665" s="592"/>
    </row>
    <row r="666" spans="1:69" ht="12" customHeight="1" x14ac:dyDescent="0.15">
      <c r="A666" s="592"/>
      <c r="BH666" s="592"/>
      <c r="BI666" s="592"/>
      <c r="BJ666" s="592"/>
      <c r="BK666" s="592"/>
      <c r="BL666" s="592"/>
      <c r="BM666" s="592"/>
      <c r="BN666" s="592"/>
      <c r="BO666" s="592"/>
      <c r="BP666" s="592"/>
      <c r="BQ666" s="592"/>
    </row>
    <row r="667" spans="1:69" ht="12" customHeight="1" x14ac:dyDescent="0.15">
      <c r="A667" s="592"/>
      <c r="BH667" s="592"/>
      <c r="BI667" s="592"/>
      <c r="BJ667" s="592"/>
      <c r="BK667" s="592"/>
      <c r="BL667" s="592"/>
      <c r="BM667" s="592"/>
      <c r="BN667" s="592"/>
      <c r="BO667" s="592"/>
      <c r="BP667" s="592"/>
      <c r="BQ667" s="592"/>
    </row>
    <row r="668" spans="1:69" ht="12" customHeight="1" x14ac:dyDescent="0.15">
      <c r="A668" s="592"/>
      <c r="BH668" s="592"/>
      <c r="BI668" s="592"/>
      <c r="BJ668" s="592"/>
      <c r="BK668" s="592"/>
      <c r="BL668" s="592"/>
      <c r="BM668" s="592"/>
      <c r="BN668" s="592"/>
      <c r="BO668" s="592"/>
      <c r="BP668" s="592"/>
      <c r="BQ668" s="592"/>
    </row>
    <row r="669" spans="1:69" ht="12" customHeight="1" x14ac:dyDescent="0.15">
      <c r="BH669" s="592"/>
    </row>
    <row r="670" spans="1:69" ht="12" customHeight="1" x14ac:dyDescent="0.15">
      <c r="BH670" s="592"/>
    </row>
  </sheetData>
  <sheetProtection algorithmName="SHA-512" hashValue="A5ZngdZX+dQPLvDvnD1r12hdPSboeck87dEp+tek5vQ2TXjVPNZcZZLDfJrlV3QunDQEgdMWi9sLx34WUliB7g==" saltValue="PnBlKkL4N2pIOlBmZcLDBw==" spinCount="100000" sheet="1" pivotTables="0"/>
  <sortState xmlns:xlrd2="http://schemas.microsoft.com/office/spreadsheetml/2017/richdata2" ref="BV30:BV36">
    <sortCondition ref="BV29"/>
  </sortState>
  <dataConsolidate/>
  <mergeCells count="688">
    <mergeCell ref="L223:M223"/>
    <mergeCell ref="D228:AL228"/>
    <mergeCell ref="Y208:AE208"/>
    <mergeCell ref="Y194:AE194"/>
    <mergeCell ref="S200:W200"/>
    <mergeCell ref="BV69:CC69"/>
    <mergeCell ref="AP160:AS160"/>
    <mergeCell ref="S196:W196"/>
    <mergeCell ref="AP150:AS150"/>
    <mergeCell ref="AY160:BE160"/>
    <mergeCell ref="AY162:BE162"/>
    <mergeCell ref="AO204:AS204"/>
    <mergeCell ref="AO208:AS208"/>
    <mergeCell ref="AH204:AM204"/>
    <mergeCell ref="Y200:AE200"/>
    <mergeCell ref="S190:W190"/>
    <mergeCell ref="Y190:AE190"/>
    <mergeCell ref="AY181:BC181"/>
    <mergeCell ref="AY178:BE178"/>
    <mergeCell ref="D179:Y179"/>
    <mergeCell ref="AI174:AN174"/>
    <mergeCell ref="D169:Y169"/>
    <mergeCell ref="Z170:AG170"/>
    <mergeCell ref="AP170:AS170"/>
    <mergeCell ref="AO237:BC237"/>
    <mergeCell ref="S208:W208"/>
    <mergeCell ref="Y213:AE213"/>
    <mergeCell ref="AH213:AM213"/>
    <mergeCell ref="AY228:BB228"/>
    <mergeCell ref="AY225:BB225"/>
    <mergeCell ref="Q225:AW225"/>
    <mergeCell ref="AO211:AS211"/>
    <mergeCell ref="Y198:AE198"/>
    <mergeCell ref="AH206:AM206"/>
    <mergeCell ref="AH208:AM208"/>
    <mergeCell ref="AH211:AM211"/>
    <mergeCell ref="AN228:AS228"/>
    <mergeCell ref="S206:W206"/>
    <mergeCell ref="S211:W211"/>
    <mergeCell ref="AH200:AM200"/>
    <mergeCell ref="AO198:AS198"/>
    <mergeCell ref="AO200:AS200"/>
    <mergeCell ref="B3:BG3"/>
    <mergeCell ref="AP86:BC86"/>
    <mergeCell ref="AN93:AR93"/>
    <mergeCell ref="AA90:AI90"/>
    <mergeCell ref="BA90:BE90"/>
    <mergeCell ref="AA93:AI93"/>
    <mergeCell ref="AA88:AC88"/>
    <mergeCell ref="AD88:AN88"/>
    <mergeCell ref="C28:BF28"/>
    <mergeCell ref="D34:AC34"/>
    <mergeCell ref="AF34:AP34"/>
    <mergeCell ref="AX34:BF34"/>
    <mergeCell ref="E22:O22"/>
    <mergeCell ref="R22:BC22"/>
    <mergeCell ref="B26:BG26"/>
    <mergeCell ref="D30:N32"/>
    <mergeCell ref="P43:S43"/>
    <mergeCell ref="BA31:BF31"/>
    <mergeCell ref="AP88:BA88"/>
    <mergeCell ref="AT93:AY93"/>
    <mergeCell ref="Z86:AO86"/>
    <mergeCell ref="D92:W93"/>
    <mergeCell ref="D90:M90"/>
    <mergeCell ref="X90:Y90"/>
    <mergeCell ref="BT162:BU162"/>
    <mergeCell ref="BT161:CC161"/>
    <mergeCell ref="BT184:BU184"/>
    <mergeCell ref="BT183:BX183"/>
    <mergeCell ref="D94:X95"/>
    <mergeCell ref="G210:Q211"/>
    <mergeCell ref="B245:AD245"/>
    <mergeCell ref="AE245:BG245"/>
    <mergeCell ref="AO206:AS206"/>
    <mergeCell ref="N244:AM244"/>
    <mergeCell ref="Y204:AE204"/>
    <mergeCell ref="Y206:AE206"/>
    <mergeCell ref="K225:N225"/>
    <mergeCell ref="Y223:BB223"/>
    <mergeCell ref="AH202:AM202"/>
    <mergeCell ref="BA244:BG244"/>
    <mergeCell ref="AY176:BE176"/>
    <mergeCell ref="AI178:AN178"/>
    <mergeCell ref="Z181:AS181"/>
    <mergeCell ref="B218:BG219"/>
    <mergeCell ref="BD228:BF228"/>
    <mergeCell ref="AY148:BE148"/>
    <mergeCell ref="AY156:BE156"/>
    <mergeCell ref="Z146:AG146"/>
    <mergeCell ref="CA116:CD116"/>
    <mergeCell ref="CA117:CD117"/>
    <mergeCell ref="CA118:CD118"/>
    <mergeCell ref="CE113:CM113"/>
    <mergeCell ref="CN119:CT119"/>
    <mergeCell ref="CN120:CT120"/>
    <mergeCell ref="CN118:CT118"/>
    <mergeCell ref="BM285:CW285"/>
    <mergeCell ref="BM1:CW2"/>
    <mergeCell ref="BM4:CW4"/>
    <mergeCell ref="BM55:CW55"/>
    <mergeCell ref="BM150:CW150"/>
    <mergeCell ref="BM56:CW56"/>
    <mergeCell ref="BM77:CW77"/>
    <mergeCell ref="CA111:CD111"/>
    <mergeCell ref="CA112:CD112"/>
    <mergeCell ref="CA113:CD113"/>
    <mergeCell ref="CA114:CD114"/>
    <mergeCell ref="CA115:CD115"/>
    <mergeCell ref="CN113:CT113"/>
    <mergeCell ref="CN122:CT122"/>
    <mergeCell ref="CN123:CT123"/>
    <mergeCell ref="CA95:CD95"/>
    <mergeCell ref="CA96:CD96"/>
    <mergeCell ref="CN124:CT124"/>
    <mergeCell ref="CE122:CM122"/>
    <mergeCell ref="CE123:CM123"/>
    <mergeCell ref="CE124:CM124"/>
    <mergeCell ref="CA122:CD122"/>
    <mergeCell ref="CA123:CD123"/>
    <mergeCell ref="CA124:CD124"/>
    <mergeCell ref="CE121:CM121"/>
    <mergeCell ref="CA119:CD119"/>
    <mergeCell ref="CA120:CD120"/>
    <mergeCell ref="CA121:CD121"/>
    <mergeCell ref="CN114:CT114"/>
    <mergeCell ref="CN115:CT115"/>
    <mergeCell ref="CE119:CM119"/>
    <mergeCell ref="CE120:CM120"/>
    <mergeCell ref="CN121:CT121"/>
    <mergeCell ref="CN104:CT104"/>
    <mergeCell ref="CN105:CT105"/>
    <mergeCell ref="CN106:CT106"/>
    <mergeCell ref="CN107:CT107"/>
    <mergeCell ref="CN108:CT108"/>
    <mergeCell ref="CN109:CT109"/>
    <mergeCell ref="CN110:CT110"/>
    <mergeCell ref="CN111:CT111"/>
    <mergeCell ref="CN112:CT112"/>
    <mergeCell ref="CN116:CT116"/>
    <mergeCell ref="CN117:CT117"/>
    <mergeCell ref="CE112:CM112"/>
    <mergeCell ref="CE116:CM116"/>
    <mergeCell ref="CE117:CM117"/>
    <mergeCell ref="CE118:CM118"/>
    <mergeCell ref="CN95:CT95"/>
    <mergeCell ref="CN96:CT96"/>
    <mergeCell ref="CN97:CT97"/>
    <mergeCell ref="CN98:CT98"/>
    <mergeCell ref="CN99:CT99"/>
    <mergeCell ref="CN100:CT100"/>
    <mergeCell ref="CN101:CT101"/>
    <mergeCell ref="CN102:CT102"/>
    <mergeCell ref="CN103:CT103"/>
    <mergeCell ref="BX123:BZ123"/>
    <mergeCell ref="BV118:BW118"/>
    <mergeCell ref="BX118:BZ118"/>
    <mergeCell ref="BV119:BW119"/>
    <mergeCell ref="BX119:BZ119"/>
    <mergeCell ref="BV120:BW120"/>
    <mergeCell ref="BX120:BZ120"/>
    <mergeCell ref="BV115:BW115"/>
    <mergeCell ref="BX115:BZ115"/>
    <mergeCell ref="BV116:BW116"/>
    <mergeCell ref="BV117:BW117"/>
    <mergeCell ref="BX117:BZ117"/>
    <mergeCell ref="BX116:BZ116"/>
    <mergeCell ref="BX114:BZ114"/>
    <mergeCell ref="BV111:BW111"/>
    <mergeCell ref="BX111:BZ111"/>
    <mergeCell ref="BV112:BW112"/>
    <mergeCell ref="BX112:BZ112"/>
    <mergeCell ref="CE114:CM114"/>
    <mergeCell ref="CE115:CM115"/>
    <mergeCell ref="CE104:CM104"/>
    <mergeCell ref="CE105:CM105"/>
    <mergeCell ref="CE106:CM106"/>
    <mergeCell ref="CA106:CD106"/>
    <mergeCell ref="CA107:CD107"/>
    <mergeCell ref="CA108:CD108"/>
    <mergeCell ref="CA104:CD104"/>
    <mergeCell ref="CA105:CD105"/>
    <mergeCell ref="CE102:CM102"/>
    <mergeCell ref="CE103:CM103"/>
    <mergeCell ref="CE110:CM110"/>
    <mergeCell ref="CE111:CM111"/>
    <mergeCell ref="BV113:BW113"/>
    <mergeCell ref="BX113:BZ113"/>
    <mergeCell ref="CA109:CD109"/>
    <mergeCell ref="CA110:CD110"/>
    <mergeCell ref="BV109:BW109"/>
    <mergeCell ref="BX109:BZ109"/>
    <mergeCell ref="BV110:BW110"/>
    <mergeCell ref="BX110:BZ110"/>
    <mergeCell ref="CE107:CM107"/>
    <mergeCell ref="CE108:CM108"/>
    <mergeCell ref="CE109:CM109"/>
    <mergeCell ref="BV102:BW102"/>
    <mergeCell ref="BV108:BW108"/>
    <mergeCell ref="BX108:BZ108"/>
    <mergeCell ref="BV104:BW104"/>
    <mergeCell ref="BX106:BZ106"/>
    <mergeCell ref="BX107:BZ107"/>
    <mergeCell ref="BV106:BW106"/>
    <mergeCell ref="AL90:AM90"/>
    <mergeCell ref="X99:Y99"/>
    <mergeCell ref="N97:U97"/>
    <mergeCell ref="BA99:BE99"/>
    <mergeCell ref="BV101:BW101"/>
    <mergeCell ref="CE100:CM100"/>
    <mergeCell ref="CE95:CM95"/>
    <mergeCell ref="CE96:CM96"/>
    <mergeCell ref="CE97:CM97"/>
    <mergeCell ref="BV97:BW97"/>
    <mergeCell ref="BX97:BZ97"/>
    <mergeCell ref="BX101:BZ101"/>
    <mergeCell ref="X101:Y101"/>
    <mergeCell ref="CE98:CM98"/>
    <mergeCell ref="CE99:CM99"/>
    <mergeCell ref="CE101:CM101"/>
    <mergeCell ref="CA97:CD97"/>
    <mergeCell ref="CA98:CD98"/>
    <mergeCell ref="CA99:CD99"/>
    <mergeCell ref="Z80:AO80"/>
    <mergeCell ref="CA100:CD100"/>
    <mergeCell ref="CA101:CD101"/>
    <mergeCell ref="CA102:CD102"/>
    <mergeCell ref="CA103:CD103"/>
    <mergeCell ref="BV103:BW103"/>
    <mergeCell ref="BX103:BZ103"/>
    <mergeCell ref="BV95:BW95"/>
    <mergeCell ref="BA43:BF43"/>
    <mergeCell ref="BV64:CC64"/>
    <mergeCell ref="BV65:CC65"/>
    <mergeCell ref="BV66:CC66"/>
    <mergeCell ref="BV67:CC67"/>
    <mergeCell ref="AN90:AR90"/>
    <mergeCell ref="Z84:AO84"/>
    <mergeCell ref="Z76:AO76"/>
    <mergeCell ref="Z74:AO74"/>
    <mergeCell ref="U43:AY43"/>
    <mergeCell ref="D46:AC46"/>
    <mergeCell ref="AF46:AP46"/>
    <mergeCell ref="AX46:BF46"/>
    <mergeCell ref="BV57:CC57"/>
    <mergeCell ref="BV63:CC63"/>
    <mergeCell ref="BV58:CC58"/>
    <mergeCell ref="B286:F286"/>
    <mergeCell ref="B217:BG217"/>
    <mergeCell ref="S204:W204"/>
    <mergeCell ref="D170:Y170"/>
    <mergeCell ref="Z176:AG176"/>
    <mergeCell ref="AI172:AN172"/>
    <mergeCell ref="AO202:AS202"/>
    <mergeCell ref="Y202:AE202"/>
    <mergeCell ref="AH198:AM198"/>
    <mergeCell ref="Y211:AE211"/>
    <mergeCell ref="S194:W194"/>
    <mergeCell ref="E278:AI278"/>
    <mergeCell ref="S213:W213"/>
    <mergeCell ref="J265:Y265"/>
    <mergeCell ref="W242:AY242"/>
    <mergeCell ref="AN244:AZ244"/>
    <mergeCell ref="BE214:BG214"/>
    <mergeCell ref="AO213:AS213"/>
    <mergeCell ref="D216:BG216"/>
    <mergeCell ref="S202:W202"/>
    <mergeCell ref="G196:Q196"/>
    <mergeCell ref="AY179:BC179"/>
    <mergeCell ref="AY172:BE172"/>
    <mergeCell ref="S198:W198"/>
    <mergeCell ref="D42:N44"/>
    <mergeCell ref="AR78:BB78"/>
    <mergeCell ref="BA72:BG72"/>
    <mergeCell ref="BV59:CC59"/>
    <mergeCell ref="BV60:CC60"/>
    <mergeCell ref="BV61:CC61"/>
    <mergeCell ref="BV62:CC62"/>
    <mergeCell ref="AT60:BE60"/>
    <mergeCell ref="B55:BG55"/>
    <mergeCell ref="Y60:AP60"/>
    <mergeCell ref="Z62:AO62"/>
    <mergeCell ref="BA73:BG73"/>
    <mergeCell ref="Y49:AP49"/>
    <mergeCell ref="Y51:AP51"/>
    <mergeCell ref="AS51:BF51"/>
    <mergeCell ref="Y53:AP53"/>
    <mergeCell ref="AS52:BF52"/>
    <mergeCell ref="AS53:BF53"/>
    <mergeCell ref="Z68:AO68"/>
    <mergeCell ref="Z70:AO70"/>
    <mergeCell ref="AZ242:BG242"/>
    <mergeCell ref="B243:V243"/>
    <mergeCell ref="E247:O247"/>
    <mergeCell ref="S1:AE1"/>
    <mergeCell ref="Z64:AO64"/>
    <mergeCell ref="Z66:AO66"/>
    <mergeCell ref="Z72:AO72"/>
    <mergeCell ref="N90:U90"/>
    <mergeCell ref="AA99:AI99"/>
    <mergeCell ref="AL99:AM99"/>
    <mergeCell ref="P31:S31"/>
    <mergeCell ref="U31:AY31"/>
    <mergeCell ref="AA94:AI94"/>
    <mergeCell ref="AN94:AR94"/>
    <mergeCell ref="Z78:AO78"/>
    <mergeCell ref="Z82:AO82"/>
    <mergeCell ref="Y38:AP38"/>
    <mergeCell ref="Y40:AP40"/>
    <mergeCell ref="N5:BA5"/>
    <mergeCell ref="V7:AQ7"/>
    <mergeCell ref="B24:BF24"/>
    <mergeCell ref="AL13:BB14"/>
    <mergeCell ref="AL16:BB16"/>
    <mergeCell ref="R20:BC20"/>
    <mergeCell ref="AP262:BE262"/>
    <mergeCell ref="AP263:BE263"/>
    <mergeCell ref="AP265:BE265"/>
    <mergeCell ref="AP266:BE266"/>
    <mergeCell ref="AP268:BE268"/>
    <mergeCell ref="AP270:BE270"/>
    <mergeCell ref="AK256:BE256"/>
    <mergeCell ref="L256:AG256"/>
    <mergeCell ref="AK253:BE254"/>
    <mergeCell ref="H253:AH254"/>
    <mergeCell ref="B318:BG318"/>
    <mergeCell ref="E290:AH290"/>
    <mergeCell ref="Q231:T231"/>
    <mergeCell ref="AP280:AS280"/>
    <mergeCell ref="D283:H283"/>
    <mergeCell ref="B274:BG274"/>
    <mergeCell ref="D276:J276"/>
    <mergeCell ref="J262:Y262"/>
    <mergeCell ref="E280:AI280"/>
    <mergeCell ref="C242:V242"/>
    <mergeCell ref="J263:Y263"/>
    <mergeCell ref="B244:M244"/>
    <mergeCell ref="D234:BC235"/>
    <mergeCell ref="J266:Y266"/>
    <mergeCell ref="J268:Y268"/>
    <mergeCell ref="S295:BB295"/>
    <mergeCell ref="AP286:BF293"/>
    <mergeCell ref="B288:F288"/>
    <mergeCell ref="AK255:BE255"/>
    <mergeCell ref="J270:Y270"/>
    <mergeCell ref="AP278:AS278"/>
    <mergeCell ref="R237:AA237"/>
    <mergeCell ref="W243:AQ243"/>
    <mergeCell ref="AR243:BG243"/>
    <mergeCell ref="F322:O322"/>
    <mergeCell ref="E294:Q296"/>
    <mergeCell ref="E297:R297"/>
    <mergeCell ref="S297:V297"/>
    <mergeCell ref="D304:J304"/>
    <mergeCell ref="E321:BF321"/>
    <mergeCell ref="B311:BG311"/>
    <mergeCell ref="K304:N304"/>
    <mergeCell ref="S304:V304"/>
    <mergeCell ref="E301:R301"/>
    <mergeCell ref="S301:V301"/>
    <mergeCell ref="E298:Q300"/>
    <mergeCell ref="D306:AE306"/>
    <mergeCell ref="AO306:AX306"/>
    <mergeCell ref="B315:BG315"/>
    <mergeCell ref="B316:BG316"/>
    <mergeCell ref="B317:BG317"/>
    <mergeCell ref="B320:BG320"/>
    <mergeCell ref="B312:BG312"/>
    <mergeCell ref="B314:BG314"/>
    <mergeCell ref="B319:BG319"/>
    <mergeCell ref="D308:AE308"/>
    <mergeCell ref="B313:BG313"/>
    <mergeCell ref="S299:AI299"/>
    <mergeCell ref="Z162:AG162"/>
    <mergeCell ref="D168:Y168"/>
    <mergeCell ref="Z179:AC179"/>
    <mergeCell ref="AI179:AL179"/>
    <mergeCell ref="B185:BG186"/>
    <mergeCell ref="AP162:AS162"/>
    <mergeCell ref="AP167:AS168"/>
    <mergeCell ref="D167:Y167"/>
    <mergeCell ref="AY170:BE170"/>
    <mergeCell ref="AI164:AN164"/>
    <mergeCell ref="AP164:AS164"/>
    <mergeCell ref="Z174:AG174"/>
    <mergeCell ref="AI162:AN162"/>
    <mergeCell ref="AO196:AS196"/>
    <mergeCell ref="Y192:AE192"/>
    <mergeCell ref="Z172:AG172"/>
    <mergeCell ref="S192:W192"/>
    <mergeCell ref="B187:BG188"/>
    <mergeCell ref="AI170:AN170"/>
    <mergeCell ref="AY167:BE168"/>
    <mergeCell ref="AH190:AM190"/>
    <mergeCell ref="AO190:AR190"/>
    <mergeCell ref="AY174:BE174"/>
    <mergeCell ref="E171:Z171"/>
    <mergeCell ref="AP172:AS172"/>
    <mergeCell ref="AP174:AS174"/>
    <mergeCell ref="Z178:AG178"/>
    <mergeCell ref="AH196:AM196"/>
    <mergeCell ref="AP179:AS179"/>
    <mergeCell ref="AH194:AM194"/>
    <mergeCell ref="AI176:AN176"/>
    <mergeCell ref="Y196:AE196"/>
    <mergeCell ref="Z167:AG168"/>
    <mergeCell ref="AI167:AN168"/>
    <mergeCell ref="D176:Y176"/>
    <mergeCell ref="AP176:AS176"/>
    <mergeCell ref="AP178:AS178"/>
    <mergeCell ref="B137:BG138"/>
    <mergeCell ref="AI146:AN146"/>
    <mergeCell ref="AY150:BE150"/>
    <mergeCell ref="AY152:BE152"/>
    <mergeCell ref="AY146:BE146"/>
    <mergeCell ref="AP148:AS148"/>
    <mergeCell ref="AI140:AN140"/>
    <mergeCell ref="AP152:AS152"/>
    <mergeCell ref="AI152:AN152"/>
    <mergeCell ref="AI150:AN150"/>
    <mergeCell ref="Z150:AG150"/>
    <mergeCell ref="Z144:AG144"/>
    <mergeCell ref="AI144:AN144"/>
    <mergeCell ref="AZ140:BC140"/>
    <mergeCell ref="AP140:AS140"/>
    <mergeCell ref="Z152:AG152"/>
    <mergeCell ref="AP146:AS146"/>
    <mergeCell ref="AI148:AN148"/>
    <mergeCell ref="AR108:BF108"/>
    <mergeCell ref="B115:BG115"/>
    <mergeCell ref="B136:BG136"/>
    <mergeCell ref="AA134:AM134"/>
    <mergeCell ref="BV107:BW107"/>
    <mergeCell ref="Z107:AO107"/>
    <mergeCell ref="BV114:BW114"/>
    <mergeCell ref="AR107:BE107"/>
    <mergeCell ref="AA128:AM128"/>
    <mergeCell ref="AN132:BF132"/>
    <mergeCell ref="AO134:BF135"/>
    <mergeCell ref="D129:BF129"/>
    <mergeCell ref="Z108:AO108"/>
    <mergeCell ref="D122:Z122"/>
    <mergeCell ref="AH192:AM192"/>
    <mergeCell ref="AO192:AS192"/>
    <mergeCell ref="G194:Q194"/>
    <mergeCell ref="AO194:AS194"/>
    <mergeCell ref="B121:B134"/>
    <mergeCell ref="Z148:AG148"/>
    <mergeCell ref="AN126:BF126"/>
    <mergeCell ref="D126:Z126"/>
    <mergeCell ref="AY154:BE154"/>
    <mergeCell ref="AI160:AN160"/>
    <mergeCell ref="AY158:BE158"/>
    <mergeCell ref="AP154:AS154"/>
    <mergeCell ref="AP156:AS156"/>
    <mergeCell ref="E154:O154"/>
    <mergeCell ref="E156:O156"/>
    <mergeCell ref="Z154:AG154"/>
    <mergeCell ref="AI158:AN158"/>
    <mergeCell ref="AP142:AS142"/>
    <mergeCell ref="AI154:AN154"/>
    <mergeCell ref="Z160:AG160"/>
    <mergeCell ref="Z158:AG158"/>
    <mergeCell ref="Z156:AG156"/>
    <mergeCell ref="AP158:AS158"/>
    <mergeCell ref="AI156:AN156"/>
    <mergeCell ref="CA143:CD143"/>
    <mergeCell ref="Z140:AG140"/>
    <mergeCell ref="D125:BF125"/>
    <mergeCell ref="AA126:AM126"/>
    <mergeCell ref="D131:BF131"/>
    <mergeCell ref="CA128:CD128"/>
    <mergeCell ref="BX130:BZ130"/>
    <mergeCell ref="AN128:BF128"/>
    <mergeCell ref="D130:Z130"/>
    <mergeCell ref="D128:Z128"/>
    <mergeCell ref="D127:BF127"/>
    <mergeCell ref="AA130:AM130"/>
    <mergeCell ref="D132:Z132"/>
    <mergeCell ref="CA140:CD140"/>
    <mergeCell ref="CA139:CD139"/>
    <mergeCell ref="BG121:BG133"/>
    <mergeCell ref="BV124:BW124"/>
    <mergeCell ref="BX124:BZ124"/>
    <mergeCell ref="BX125:BZ125"/>
    <mergeCell ref="BV121:BW121"/>
    <mergeCell ref="BX121:BZ121"/>
    <mergeCell ref="BV122:BW122"/>
    <mergeCell ref="BX122:BZ122"/>
    <mergeCell ref="BV123:BW123"/>
    <mergeCell ref="CE134:CM134"/>
    <mergeCell ref="CA137:CD137"/>
    <mergeCell ref="CE137:CM137"/>
    <mergeCell ref="BV142:BW142"/>
    <mergeCell ref="AP144:AS144"/>
    <mergeCell ref="B116:BG118"/>
    <mergeCell ref="AN124:BF124"/>
    <mergeCell ref="AA124:AM124"/>
    <mergeCell ref="D124:Z124"/>
    <mergeCell ref="AA122:AM122"/>
    <mergeCell ref="CE142:CM142"/>
    <mergeCell ref="CE138:CM138"/>
    <mergeCell ref="BX142:BZ142"/>
    <mergeCell ref="CA142:CD142"/>
    <mergeCell ref="AA132:AM132"/>
    <mergeCell ref="AN130:BF130"/>
    <mergeCell ref="AY144:BE144"/>
    <mergeCell ref="BX138:BZ138"/>
    <mergeCell ref="CA138:CD138"/>
    <mergeCell ref="AY142:BE142"/>
    <mergeCell ref="Z142:AG142"/>
    <mergeCell ref="BV140:BW140"/>
    <mergeCell ref="BX140:BZ140"/>
    <mergeCell ref="AI142:AN142"/>
    <mergeCell ref="CN125:CT125"/>
    <mergeCell ref="CN126:CT126"/>
    <mergeCell ref="BV127:BW127"/>
    <mergeCell ref="CA127:CD127"/>
    <mergeCell ref="CE127:CM127"/>
    <mergeCell ref="CE125:CM125"/>
    <mergeCell ref="BV126:BW126"/>
    <mergeCell ref="CA126:CD126"/>
    <mergeCell ref="CE126:CM126"/>
    <mergeCell ref="CA125:CD125"/>
    <mergeCell ref="BX126:BZ126"/>
    <mergeCell ref="BV125:BW125"/>
    <mergeCell ref="CN130:CT130"/>
    <mergeCell ref="BX128:BZ128"/>
    <mergeCell ref="BX129:BZ129"/>
    <mergeCell ref="BV128:BW128"/>
    <mergeCell ref="CN127:CT127"/>
    <mergeCell ref="BX127:BZ127"/>
    <mergeCell ref="CN128:CT128"/>
    <mergeCell ref="BV129:BW129"/>
    <mergeCell ref="CA129:CD129"/>
    <mergeCell ref="CE129:CM129"/>
    <mergeCell ref="CN129:CT129"/>
    <mergeCell ref="BV130:BW130"/>
    <mergeCell ref="CE128:CM128"/>
    <mergeCell ref="CA130:CD130"/>
    <mergeCell ref="CE130:CM130"/>
    <mergeCell ref="CE132:CM132"/>
    <mergeCell ref="CN132:CT132"/>
    <mergeCell ref="BV133:BW133"/>
    <mergeCell ref="CA133:CD133"/>
    <mergeCell ref="CE133:CM133"/>
    <mergeCell ref="CN133:CT133"/>
    <mergeCell ref="BX133:BZ133"/>
    <mergeCell ref="BX131:BZ131"/>
    <mergeCell ref="BX132:BZ132"/>
    <mergeCell ref="BV131:BW131"/>
    <mergeCell ref="CA131:CD131"/>
    <mergeCell ref="CE131:CM131"/>
    <mergeCell ref="CE140:CM140"/>
    <mergeCell ref="CN140:CT140"/>
    <mergeCell ref="BV141:BW141"/>
    <mergeCell ref="BV139:BW139"/>
    <mergeCell ref="BX141:BZ141"/>
    <mergeCell ref="CN134:CT134"/>
    <mergeCell ref="BV135:BW135"/>
    <mergeCell ref="CA135:CD135"/>
    <mergeCell ref="CE135:CM135"/>
    <mergeCell ref="CN135:CT135"/>
    <mergeCell ref="BV136:BW136"/>
    <mergeCell ref="CA136:CD136"/>
    <mergeCell ref="CE136:CM136"/>
    <mergeCell ref="CN136:CT136"/>
    <mergeCell ref="BX136:BZ136"/>
    <mergeCell ref="BX134:BZ134"/>
    <mergeCell ref="BX135:BZ135"/>
    <mergeCell ref="BV134:BW134"/>
    <mergeCell ref="CA134:CD134"/>
    <mergeCell ref="CN138:CT138"/>
    <mergeCell ref="BX137:BZ137"/>
    <mergeCell ref="BV137:BW137"/>
    <mergeCell ref="CA141:CD141"/>
    <mergeCell ref="CE141:CM141"/>
    <mergeCell ref="CN149:CT149"/>
    <mergeCell ref="BV147:BW147"/>
    <mergeCell ref="BX147:BZ147"/>
    <mergeCell ref="CA147:CD147"/>
    <mergeCell ref="CE147:CM147"/>
    <mergeCell ref="CN147:CT147"/>
    <mergeCell ref="BV148:BW148"/>
    <mergeCell ref="BX148:BZ148"/>
    <mergeCell ref="CA148:CD148"/>
    <mergeCell ref="CE148:CM148"/>
    <mergeCell ref="CN148:CT148"/>
    <mergeCell ref="BV149:BW149"/>
    <mergeCell ref="BX149:BZ149"/>
    <mergeCell ref="CA149:CD149"/>
    <mergeCell ref="CE149:CM149"/>
    <mergeCell ref="CN141:CT141"/>
    <mergeCell ref="CE139:CM139"/>
    <mergeCell ref="CN139:CT139"/>
    <mergeCell ref="CN146:CT146"/>
    <mergeCell ref="BV143:BW143"/>
    <mergeCell ref="BX143:BZ143"/>
    <mergeCell ref="CN143:CT143"/>
    <mergeCell ref="BV144:BW144"/>
    <mergeCell ref="BX144:BZ144"/>
    <mergeCell ref="CA144:CD144"/>
    <mergeCell ref="CE144:CM144"/>
    <mergeCell ref="CN144:CT144"/>
    <mergeCell ref="BV145:BW145"/>
    <mergeCell ref="BX145:BZ145"/>
    <mergeCell ref="CA145:CD145"/>
    <mergeCell ref="CE145:CM145"/>
    <mergeCell ref="CN145:CT145"/>
    <mergeCell ref="CE143:CM143"/>
    <mergeCell ref="BV146:BW146"/>
    <mergeCell ref="BX146:BZ146"/>
    <mergeCell ref="CA146:CD146"/>
    <mergeCell ref="CE146:CM146"/>
    <mergeCell ref="CN142:CT142"/>
    <mergeCell ref="BX139:BZ139"/>
    <mergeCell ref="CN137:CT137"/>
    <mergeCell ref="BV138:BW138"/>
    <mergeCell ref="BV105:BW105"/>
    <mergeCell ref="AL97:AM97"/>
    <mergeCell ref="AN97:AR97"/>
    <mergeCell ref="AA97:AI97"/>
    <mergeCell ref="Z112:AO112"/>
    <mergeCell ref="BX98:BZ98"/>
    <mergeCell ref="BV99:BW99"/>
    <mergeCell ref="BX99:BZ99"/>
    <mergeCell ref="BV100:BW100"/>
    <mergeCell ref="BX100:BZ100"/>
    <mergeCell ref="BV98:BW98"/>
    <mergeCell ref="AN99:AR99"/>
    <mergeCell ref="AN102:AR102"/>
    <mergeCell ref="D103:BF103"/>
    <mergeCell ref="N101:U101"/>
    <mergeCell ref="BX102:BZ102"/>
    <mergeCell ref="AA102:AI102"/>
    <mergeCell ref="AR106:BE106"/>
    <mergeCell ref="BX104:BZ104"/>
    <mergeCell ref="CN131:CT131"/>
    <mergeCell ref="BV132:BW132"/>
    <mergeCell ref="CA132:CD132"/>
    <mergeCell ref="CF79:CH79"/>
    <mergeCell ref="CF80:CH80"/>
    <mergeCell ref="CF81:CH81"/>
    <mergeCell ref="CF82:CH82"/>
    <mergeCell ref="CF83:CH83"/>
    <mergeCell ref="CF84:CH84"/>
    <mergeCell ref="CF85:CH85"/>
    <mergeCell ref="Z109:AO109"/>
    <mergeCell ref="AA92:AI92"/>
    <mergeCell ref="AN92:AR92"/>
    <mergeCell ref="BA93:BE93"/>
    <mergeCell ref="BA94:BE94"/>
    <mergeCell ref="BA95:BE95"/>
    <mergeCell ref="BA92:BE92"/>
    <mergeCell ref="AT92:AY92"/>
    <mergeCell ref="AT94:AY94"/>
    <mergeCell ref="AT95:AY95"/>
    <mergeCell ref="BX95:BZ95"/>
    <mergeCell ref="BV96:BW96"/>
    <mergeCell ref="BX96:BZ96"/>
    <mergeCell ref="Z106:AO106"/>
    <mergeCell ref="BA101:BE101"/>
    <mergeCell ref="N104:AX104"/>
    <mergeCell ref="AA105:AO105"/>
    <mergeCell ref="AK326:BE326"/>
    <mergeCell ref="BV68:CC68"/>
    <mergeCell ref="AA95:AI95"/>
    <mergeCell ref="AN95:AR95"/>
    <mergeCell ref="BA97:BE97"/>
    <mergeCell ref="AA101:AI101"/>
    <mergeCell ref="AN101:AR101"/>
    <mergeCell ref="AN122:BF122"/>
    <mergeCell ref="D123:BF123"/>
    <mergeCell ref="AR110:BF110"/>
    <mergeCell ref="AR111:BF111"/>
    <mergeCell ref="B120:BG120"/>
    <mergeCell ref="Z110:AO110"/>
    <mergeCell ref="X97:Y97"/>
    <mergeCell ref="Z111:AO111"/>
    <mergeCell ref="D121:BF121"/>
    <mergeCell ref="BA112:BE112"/>
    <mergeCell ref="AL101:AM101"/>
    <mergeCell ref="AA180:AM180"/>
    <mergeCell ref="D108:O108"/>
    <mergeCell ref="D106:O106"/>
    <mergeCell ref="D104:L104"/>
    <mergeCell ref="D99:M99"/>
    <mergeCell ref="BX105:BZ105"/>
  </mergeCells>
  <conditionalFormatting sqref="AH193">
    <cfRule type="expression" dxfId="241" priority="160">
      <formula>$AO$192&lt;$AY$167*0.1</formula>
    </cfRule>
  </conditionalFormatting>
  <conditionalFormatting sqref="BN98">
    <cfRule type="expression" dxfId="240" priority="155">
      <formula>$BN$98&gt;0</formula>
    </cfRule>
  </conditionalFormatting>
  <conditionalFormatting sqref="Z142:BE163 Z172:BE178 Z165:BE170 AH164 AO164 AT164:BE164">
    <cfRule type="expression" dxfId="239" priority="131">
      <formula>$AQ$72="HUF"</formula>
    </cfRule>
  </conditionalFormatting>
  <conditionalFormatting sqref="Z172:BE173 Z175:BE178 Z174:AP174 AT174:BE174">
    <cfRule type="expression" dxfId="238" priority="128">
      <formula>$AQ$72="EUR"</formula>
    </cfRule>
    <cfRule type="expression" dxfId="237" priority="130">
      <formula>$AQ$72="HUF"</formula>
    </cfRule>
  </conditionalFormatting>
  <conditionalFormatting sqref="S192:AS213">
    <cfRule type="expression" dxfId="236" priority="126">
      <formula>$AQ$72="EUR"</formula>
    </cfRule>
    <cfRule type="expression" dxfId="235" priority="127">
      <formula>$AQ$72="HUF"</formula>
    </cfRule>
  </conditionalFormatting>
  <conditionalFormatting sqref="I181:BC182">
    <cfRule type="expression" dxfId="234" priority="122">
      <formula>$N$104&lt;&gt;"helyi infrastruktúrára irányuló támogatás"</formula>
    </cfRule>
  </conditionalFormatting>
  <conditionalFormatting sqref="D86:AP86">
    <cfRule type="expression" dxfId="233" priority="121">
      <formula>$R$22&lt;&gt;"Patika Hitelprogram"</formula>
    </cfRule>
  </conditionalFormatting>
  <conditionalFormatting sqref="Z108:AO108">
    <cfRule type="expression" dxfId="232" priority="162">
      <formula>IF($Z$108="standard",$B$115)</formula>
    </cfRule>
  </conditionalFormatting>
  <conditionalFormatting sqref="R22:BC22">
    <cfRule type="expression" dxfId="231" priority="112">
      <formula>$R$20&lt;&gt;"MFB Vállalkozásfinanszírozási Program 2020"</formula>
    </cfRule>
  </conditionalFormatting>
  <conditionalFormatting sqref="B308:BG310 B306:AZ306 B307:BA307 BC306:BG307 B286:BG305 B285:D285 F285:BG285 B274:BG284">
    <cfRule type="expression" dxfId="230" priority="106">
      <formula>$R$20="MFB NHP Fix Lízing Refinanszírozási Program"</formula>
    </cfRule>
  </conditionalFormatting>
  <conditionalFormatting sqref="T255:AG255 L256">
    <cfRule type="expression" dxfId="229" priority="104">
      <formula>+$R$20="MFB NHP Fix Lízing Refinanszírozási Program"</formula>
    </cfRule>
    <cfRule type="expression" dxfId="228" priority="105">
      <formula>$R$20="MFB Lízing Refinanszírozási Program"</formula>
    </cfRule>
  </conditionalFormatting>
  <conditionalFormatting sqref="D146:BE149 D150:AP150 AT150:BE150">
    <cfRule type="expression" dxfId="227" priority="103">
      <formula>$R$20="MFB Lízing Refinanszírozási Program"</formula>
    </cfRule>
  </conditionalFormatting>
  <conditionalFormatting sqref="D146:BE149">
    <cfRule type="expression" dxfId="226" priority="102">
      <formula>$R$20="MFB NHP Fix Lízing Refinanszírozási Program"</formula>
    </cfRule>
  </conditionalFormatting>
  <conditionalFormatting sqref="D150:AP150 AT150:BE150">
    <cfRule type="expression" dxfId="225" priority="101">
      <formula>$R$20="MFB NHP Fix Lízing Refinanszírozási Program"</formula>
    </cfRule>
  </conditionalFormatting>
  <conditionalFormatting sqref="D160:BE163 D165:BE165 E164:Y164 AH164 AO164 AT164:BE164">
    <cfRule type="expression" dxfId="224" priority="99">
      <formula>$R$20="MFB NHP Fix Lízing Refinanszírozási Program"</formula>
    </cfRule>
    <cfRule type="expression" dxfId="223" priority="100">
      <formula>$R$20="MFB Lízing Refinanszírozási Program"</formula>
    </cfRule>
  </conditionalFormatting>
  <conditionalFormatting sqref="E172:BE172">
    <cfRule type="expression" dxfId="222" priority="97">
      <formula>$R$20="MFB NHP Fix Lízing Refinanszírozási Program"</formula>
    </cfRule>
    <cfRule type="expression" dxfId="221" priority="98">
      <formula>$R$20="MFB Lízing Refinanszírozási Program"</formula>
    </cfRule>
  </conditionalFormatting>
  <conditionalFormatting sqref="G206:AY206">
    <cfRule type="expression" dxfId="220" priority="95">
      <formula>$R$20="MFB NHP Fix Lízing Refinanszírozási Program"</formula>
    </cfRule>
    <cfRule type="expression" dxfId="219" priority="96">
      <formula>$R$20="MFB Lízing Refinanszírozási Program"</formula>
    </cfRule>
  </conditionalFormatting>
  <conditionalFormatting sqref="B245:AE245 B243:W243 AR243 B244:N244 AN244 BA244:BG244 W242:BG242 B242:C242">
    <cfRule type="expression" dxfId="218" priority="94">
      <formula>+$R$20&lt;&gt;"MFB Gazdaság Újjáépítési Hitel Program"</formula>
    </cfRule>
  </conditionalFormatting>
  <conditionalFormatting sqref="BH240:BH243">
    <cfRule type="expression" dxfId="217" priority="93">
      <formula>$R$20&lt;&gt;"MFB Pénzügyi Vállalkozás Refinanszírozási Konstrukció II."</formula>
    </cfRule>
  </conditionalFormatting>
  <conditionalFormatting sqref="A238:A241">
    <cfRule type="expression" dxfId="216" priority="92">
      <formula>$R$20&lt;&gt;"MFB Pénzügyi Vállalkozás Refinanszírozási Konstrukció II."</formula>
    </cfRule>
  </conditionalFormatting>
  <conditionalFormatting sqref="B320:BG320">
    <cfRule type="expression" dxfId="215" priority="91">
      <formula>$R$20="MFB NHP Fix Lízing Refinanszírozási Program"</formula>
    </cfRule>
  </conditionalFormatting>
  <conditionalFormatting sqref="BH318">
    <cfRule type="expression" dxfId="214" priority="90">
      <formula>$R$20="MFB NHP Fix Lízing Refinanszírozási Program"</formula>
    </cfRule>
  </conditionalFormatting>
  <conditionalFormatting sqref="A316">
    <cfRule type="expression" dxfId="213" priority="89">
      <formula>$R$20="MFB NHP Fix Lízing Refinanszírozási Program"</formula>
    </cfRule>
  </conditionalFormatting>
  <conditionalFormatting sqref="BA112:BE112">
    <cfRule type="expression" dxfId="212" priority="87">
      <formula>$BU$10=4</formula>
    </cfRule>
    <cfRule type="expression" dxfId="211" priority="88">
      <formula>$BU$7=1</formula>
    </cfRule>
  </conditionalFormatting>
  <conditionalFormatting sqref="AP106:BE106 D109:Z109 D106:Z106 AP109:AQ109">
    <cfRule type="expression" dxfId="210" priority="86">
      <formula>$BU$7=1</formula>
    </cfRule>
  </conditionalFormatting>
  <conditionalFormatting sqref="D107:BE107">
    <cfRule type="expression" dxfId="209" priority="84">
      <formula>$BO$98&lt;&gt;"igen"</formula>
    </cfRule>
  </conditionalFormatting>
  <conditionalFormatting sqref="D108:BF108 D110:BF112 BF109">
    <cfRule type="expression" dxfId="208" priority="82">
      <formula>OR($BU$10=4,$BU$11=5)</formula>
    </cfRule>
    <cfRule type="expression" dxfId="207" priority="83">
      <formula>$BU$7=1</formula>
    </cfRule>
  </conditionalFormatting>
  <conditionalFormatting sqref="AA105:AO105">
    <cfRule type="expression" dxfId="206" priority="79">
      <formula>$BO$98&lt;&gt;"igen"</formula>
    </cfRule>
  </conditionalFormatting>
  <conditionalFormatting sqref="B217:BG222 B261:BG273 C259:BG260 B229:AX229 BF229:BG229 AZ229:BD229 B228:BD228 BG228 B223:D223 BC223 X223:Y223 B224:BG224 B226:BG227 B225:D225 G225:BG225 L223:M223 B230:BG252 B257:BG258 B255:AK255 AH256:AK256 B256:L256 B254:G254 B253:H253 BF253:BG256 AI253:AK253 AI254:AJ254">
    <cfRule type="expression" dxfId="205" priority="78">
      <formula>$CB$9="c"</formula>
    </cfRule>
  </conditionalFormatting>
  <conditionalFormatting sqref="D38:BF53">
    <cfRule type="expression" dxfId="204" priority="77">
      <formula>$CB$9&lt;&gt;"c"</formula>
    </cfRule>
  </conditionalFormatting>
  <conditionalFormatting sqref="AP86">
    <cfRule type="expression" dxfId="203" priority="76">
      <formula>$CB$9&lt;&gt;"c"</formula>
    </cfRule>
  </conditionalFormatting>
  <conditionalFormatting sqref="D134:AO134">
    <cfRule type="expression" dxfId="202" priority="74">
      <formula>$BU$7=1</formula>
    </cfRule>
    <cfRule type="expression" dxfId="201" priority="75">
      <formula>OR($BU$10=4,$BU$11=5)</formula>
    </cfRule>
  </conditionalFormatting>
  <conditionalFormatting sqref="D241:V241">
    <cfRule type="expression" dxfId="200" priority="73">
      <formula>$BU$1&lt;&gt;4</formula>
    </cfRule>
  </conditionalFormatting>
  <conditionalFormatting sqref="AF246:BG246">
    <cfRule type="expression" dxfId="199" priority="72">
      <formula>$BU$10&lt;&gt;4</formula>
    </cfRule>
  </conditionalFormatting>
  <conditionalFormatting sqref="BH244">
    <cfRule type="expression" dxfId="198" priority="71">
      <formula>$BU$10&lt;&gt;4</formula>
    </cfRule>
  </conditionalFormatting>
  <conditionalFormatting sqref="Z76:AO76">
    <cfRule type="expression" dxfId="197" priority="69">
      <formula>$Z$80="kitöltendő legördülő cella "</formula>
    </cfRule>
  </conditionalFormatting>
  <conditionalFormatting sqref="V90:V91">
    <cfRule type="expression" dxfId="196" priority="68">
      <formula>$N$90=""</formula>
    </cfRule>
  </conditionalFormatting>
  <conditionalFormatting sqref="V97:V98">
    <cfRule type="expression" dxfId="195" priority="67">
      <formula>$N$97=""</formula>
    </cfRule>
  </conditionalFormatting>
  <conditionalFormatting sqref="V101">
    <cfRule type="expression" dxfId="194" priority="66">
      <formula>$N$101=""</formula>
    </cfRule>
  </conditionalFormatting>
  <conditionalFormatting sqref="AA94:AI94 AA95:AA96">
    <cfRule type="expression" dxfId="193" priority="64">
      <formula>$AQ$68="EUR"</formula>
    </cfRule>
    <cfRule type="expression" dxfId="192" priority="65">
      <formula>$AQ$68="HUF"</formula>
    </cfRule>
  </conditionalFormatting>
  <conditionalFormatting sqref="AN94:AR94 AN95:AN96">
    <cfRule type="expression" dxfId="191" priority="62">
      <formula>$AQ$68="EUR"</formula>
    </cfRule>
    <cfRule type="expression" dxfId="190" priority="63">
      <formula>$AQ$68="HUF"</formula>
    </cfRule>
  </conditionalFormatting>
  <conditionalFormatting sqref="BA94:BA96">
    <cfRule type="expression" dxfId="189" priority="60">
      <formula>$AQ$68="EUR"</formula>
    </cfRule>
    <cfRule type="expression" dxfId="188" priority="61">
      <formula>$AQ$68="HUF"</formula>
    </cfRule>
  </conditionalFormatting>
  <conditionalFormatting sqref="D101:AR101">
    <cfRule type="expression" dxfId="187" priority="58">
      <formula>$BU$9=3</formula>
    </cfRule>
    <cfRule type="expression" dxfId="186" priority="59">
      <formula>$BU$8=2</formula>
    </cfRule>
  </conditionalFormatting>
  <conditionalFormatting sqref="C259:BF272">
    <cfRule type="expression" dxfId="185" priority="53">
      <formula>+gazform="zártkörűen működő részvénytársaság"</formula>
    </cfRule>
    <cfRule type="expression" dxfId="184" priority="54">
      <formula>+gazform="nyílvánosan működő részvénytársaság"</formula>
    </cfRule>
    <cfRule type="expression" dxfId="183" priority="55">
      <formula>+gazform="közkereseti társaság"</formula>
    </cfRule>
    <cfRule type="expression" dxfId="182" priority="56">
      <formula>+gazform="korlátolt felelősségű társaság"</formula>
    </cfRule>
    <cfRule type="expression" dxfId="181" priority="57">
      <formula>+gazform="betéti társaság"</formula>
    </cfRule>
  </conditionalFormatting>
  <conditionalFormatting sqref="Z68:AO68">
    <cfRule type="expression" dxfId="180" priority="52">
      <formula>OR($BU$10=4,$BU$11=5)</formula>
    </cfRule>
  </conditionalFormatting>
  <conditionalFormatting sqref="D53">
    <cfRule type="expression" dxfId="179" priority="51">
      <formula>+$CB$9&lt;&gt;"c"</formula>
    </cfRule>
  </conditionalFormatting>
  <conditionalFormatting sqref="AA94:AI96 AN94:AR96 BA94:BE96">
    <cfRule type="expression" dxfId="178" priority="49">
      <formula>$AQ$68="EUR"</formula>
    </cfRule>
    <cfRule type="expression" dxfId="177" priority="50">
      <formula>$AQ$68="HUF"</formula>
    </cfRule>
  </conditionalFormatting>
  <conditionalFormatting sqref="Z109:AO109">
    <cfRule type="expression" dxfId="176" priority="48">
      <formula>$BO$98&lt;&gt;"igen"</formula>
    </cfRule>
  </conditionalFormatting>
  <conditionalFormatting sqref="Z106:BE106">
    <cfRule type="expression" dxfId="175" priority="47">
      <formula>OR($BU$10=4,$BU$11=5)</formula>
    </cfRule>
  </conditionalFormatting>
  <conditionalFormatting sqref="C70:AO70 AS68:BE70">
    <cfRule type="expression" dxfId="174" priority="44">
      <formula>$AQ$68="HUF"</formula>
    </cfRule>
  </conditionalFormatting>
  <conditionalFormatting sqref="D70:AO70 AS68:BE70">
    <cfRule type="expression" dxfId="173" priority="43">
      <formula>$AQ$68="legördülő cella"</formula>
    </cfRule>
  </conditionalFormatting>
  <conditionalFormatting sqref="D76">
    <cfRule type="expression" dxfId="172" priority="42">
      <formula>$Z$74="fix"</formula>
    </cfRule>
  </conditionalFormatting>
  <conditionalFormatting sqref="D80">
    <cfRule type="expression" dxfId="171" priority="41">
      <formula>kamatozastipusa="fix"</formula>
    </cfRule>
  </conditionalFormatting>
  <conditionalFormatting sqref="Z80:AO80">
    <cfRule type="expression" dxfId="170" priority="40">
      <formula>kamatozastipusa="fix"</formula>
    </cfRule>
  </conditionalFormatting>
  <conditionalFormatting sqref="Z78:AO78">
    <cfRule type="expression" dxfId="169" priority="39">
      <formula>kamatozastipusa="fix"</formula>
    </cfRule>
  </conditionalFormatting>
  <conditionalFormatting sqref="AQ78">
    <cfRule type="expression" dxfId="168" priority="38">
      <formula>kamatozastipusa="fix"</formula>
    </cfRule>
  </conditionalFormatting>
  <conditionalFormatting sqref="Z74:AO74">
    <cfRule type="expression" dxfId="167" priority="36">
      <formula>OR($BT$7=1,$BT$7=2,$BT$7=3,$BT$7=5)</formula>
    </cfRule>
  </conditionalFormatting>
  <conditionalFormatting sqref="BA73:BG73">
    <cfRule type="expression" dxfId="166" priority="35">
      <formula>"Refinanszírozási összeg túl sok!"</formula>
    </cfRule>
  </conditionalFormatting>
  <conditionalFormatting sqref="D106:O106">
    <cfRule type="expression" dxfId="165" priority="32">
      <formula>BU10=4</formula>
    </cfRule>
    <cfRule type="expression" dxfId="164" priority="33">
      <formula>$BU$11=5</formula>
    </cfRule>
    <cfRule type="expression" dxfId="163" priority="34">
      <formula>"bu10=4"</formula>
    </cfRule>
  </conditionalFormatting>
  <conditionalFormatting sqref="AY142:BE142">
    <cfRule type="expression" dxfId="162" priority="30">
      <formula>$AQ$72="EUR"</formula>
    </cfRule>
    <cfRule type="expression" dxfId="161" priority="31">
      <formula>$AQ$72="HUF"</formula>
    </cfRule>
  </conditionalFormatting>
  <conditionalFormatting sqref="D142:BE142">
    <cfRule type="expression" dxfId="160" priority="29">
      <formula>$Y$60&lt;&gt;"akvizíciós hitel"</formula>
    </cfRule>
  </conditionalFormatting>
  <conditionalFormatting sqref="Z142:AG142">
    <cfRule type="expression" dxfId="159" priority="27">
      <formula>$AQ$72="EUR"</formula>
    </cfRule>
    <cfRule type="expression" dxfId="158" priority="28">
      <formula>$AQ$72="HUF"</formula>
    </cfRule>
  </conditionalFormatting>
  <conditionalFormatting sqref="AI142:AN142">
    <cfRule type="expression" dxfId="157" priority="25">
      <formula>$AQ$72="EUR"</formula>
    </cfRule>
    <cfRule type="expression" dxfId="156" priority="26">
      <formula>$AQ$72="HUF"</formula>
    </cfRule>
  </conditionalFormatting>
  <conditionalFormatting sqref="AP142:AS142">
    <cfRule type="expression" dxfId="155" priority="23">
      <formula>$AQ$72="EUR"</formula>
    </cfRule>
    <cfRule type="expression" dxfId="154" priority="24">
      <formula>$AQ$72="HUF"</formula>
    </cfRule>
  </conditionalFormatting>
  <conditionalFormatting sqref="Z142:BF163 Z172:BE178 Z165:BF170 AH164 AO164 AT164:BF164">
    <cfRule type="expression" dxfId="153" priority="129">
      <formula>$AQ$72="EUR"</formula>
    </cfRule>
  </conditionalFormatting>
  <conditionalFormatting sqref="D180:AO180">
    <cfRule type="expression" dxfId="152" priority="22">
      <formula>$AQ$68&lt;&gt;"EUR"</formula>
    </cfRule>
  </conditionalFormatting>
  <conditionalFormatting sqref="D164">
    <cfRule type="expression" dxfId="151" priority="20">
      <formula>$R$20="MFB NHP Fix Lízing Refinanszírozási Program"</formula>
    </cfRule>
    <cfRule type="expression" dxfId="150" priority="21">
      <formula>$R$20="MFB Lízing Refinanszírozási Program"</formula>
    </cfRule>
  </conditionalFormatting>
  <conditionalFormatting sqref="D164">
    <cfRule type="expression" dxfId="149" priority="19">
      <formula>"vagy($BU$7=1;$BU$8_=2;$BU$9=3;$BU$10=4)"</formula>
    </cfRule>
  </conditionalFormatting>
  <conditionalFormatting sqref="Z164:AG164">
    <cfRule type="expression" dxfId="148" priority="18">
      <formula>$AQ$72="HUF"</formula>
    </cfRule>
  </conditionalFormatting>
  <conditionalFormatting sqref="Z164:AG164">
    <cfRule type="expression" dxfId="147" priority="15">
      <formula>$R$20="MFB NHP Fix Lízing Refinanszírozási Program"</formula>
    </cfRule>
    <cfRule type="expression" dxfId="146" priority="16">
      <formula>$R$20="MFB Lízing Refinanszírozási Program"</formula>
    </cfRule>
  </conditionalFormatting>
  <conditionalFormatting sqref="Z164:AG164">
    <cfRule type="expression" dxfId="145" priority="17">
      <formula>$AQ$72="EUR"</formula>
    </cfRule>
  </conditionalFormatting>
  <conditionalFormatting sqref="Z164:AG164">
    <cfRule type="expression" dxfId="144" priority="14">
      <formula>"vagy($BU$7=1;$BU$8_=2;$BU$9=3;$BU$10=4)"</formula>
    </cfRule>
  </conditionalFormatting>
  <conditionalFormatting sqref="Z164:AG164">
    <cfRule type="expression" dxfId="143" priority="13">
      <formula>$BL$165=0</formula>
    </cfRule>
  </conditionalFormatting>
  <conditionalFormatting sqref="AI164:AN164">
    <cfRule type="expression" dxfId="142" priority="12">
      <formula>$AQ$72="HUF"</formula>
    </cfRule>
  </conditionalFormatting>
  <conditionalFormatting sqref="AI164:AN164">
    <cfRule type="expression" dxfId="141" priority="9">
      <formula>$R$20="MFB NHP Fix Lízing Refinanszírozási Program"</formula>
    </cfRule>
    <cfRule type="expression" dxfId="140" priority="10">
      <formula>$R$20="MFB Lízing Refinanszírozási Program"</formula>
    </cfRule>
  </conditionalFormatting>
  <conditionalFormatting sqref="AI164:AN164">
    <cfRule type="expression" dxfId="139" priority="11">
      <formula>$AQ$72="EUR"</formula>
    </cfRule>
  </conditionalFormatting>
  <conditionalFormatting sqref="AI164:AN164">
    <cfRule type="expression" dxfId="138" priority="8">
      <formula>"vagy($BU$7=1;$BU$8_=2;$BU$9=3;$BU$10=4)"</formula>
    </cfRule>
  </conditionalFormatting>
  <conditionalFormatting sqref="AI164:AN164">
    <cfRule type="expression" dxfId="137" priority="7">
      <formula>$BL$165=0</formula>
    </cfRule>
  </conditionalFormatting>
  <conditionalFormatting sqref="AP164:AS164">
    <cfRule type="expression" dxfId="136" priority="6">
      <formula>$AQ$72="HUF"</formula>
    </cfRule>
  </conditionalFormatting>
  <conditionalFormatting sqref="AP164:AS164">
    <cfRule type="expression" dxfId="135" priority="3">
      <formula>$R$20="MFB NHP Fix Lízing Refinanszírozási Program"</formula>
    </cfRule>
    <cfRule type="expression" dxfId="134" priority="4">
      <formula>$R$20="MFB Lízing Refinanszírozási Program"</formula>
    </cfRule>
  </conditionalFormatting>
  <conditionalFormatting sqref="AP164:AS164">
    <cfRule type="expression" dxfId="133" priority="5">
      <formula>$AQ$72="EUR"</formula>
    </cfRule>
  </conditionalFormatting>
  <conditionalFormatting sqref="AP164:AS164">
    <cfRule type="expression" dxfId="132" priority="2">
      <formula>"vagy($BU$7=1;$BU$8_=2;$BU$9=3;$BU$10=4)"</formula>
    </cfRule>
  </conditionalFormatting>
  <conditionalFormatting sqref="AP164:AS164">
    <cfRule type="expression" dxfId="131" priority="1">
      <formula>$BL$165=0</formula>
    </cfRule>
  </conditionalFormatting>
  <dataValidations xWindow="876" yWindow="776" count="24">
    <dataValidation type="list" allowBlank="1" showInputMessage="1" showErrorMessage="1" sqref="BP191:BQ193" xr:uid="{00000000-0002-0000-0200-000000000000}">
      <formula1>$BP$191:$BP$193</formula1>
    </dataValidation>
    <dataValidation allowBlank="1" showInputMessage="1" showErrorMessage="1" sqref="CM114 CG114 CJ114" xr:uid="{00000000-0002-0000-0200-000001000000}"/>
    <dataValidation type="list" allowBlank="1" showInputMessage="1" showErrorMessage="1" sqref="S295" xr:uid="{00000000-0002-0000-0200-000002000000}">
      <formula1>$BN$299:$BN$304</formula1>
    </dataValidation>
    <dataValidation type="date" operator="lessThanOrEqual" allowBlank="1" showInputMessage="1" showErrorMessage="1" prompt="A futamidő kezdete nem lehet későbbi mint a rendelkezésre tartás kezdete!" sqref="BU102 BS102" xr:uid="{00000000-0002-0000-0200-000003000000}">
      <formula1>RendtartKezdete</formula1>
    </dataValidation>
    <dataValidation type="whole" operator="lessThanOrEqual" allowBlank="1" showInputMessage="1" prompt="A rendelkezésre tartás ideje maximum 12 hónap lehet." sqref="N90:U91" xr:uid="{00000000-0002-0000-0200-000004000000}">
      <formula1>12</formula1>
    </dataValidation>
    <dataValidation allowBlank="1" showInputMessage="1" showErrorMessage="1" prompt="Beruházási hitel és kapcsolódó forgóeszközhitel esetén legfeljebb 2 év, Önálló forgóeszközhitel esetén legfeljebb 1 év" sqref="AS79:AW85" xr:uid="{00000000-0002-0000-0200-000005000000}"/>
    <dataValidation type="decimal" operator="lessThanOrEqual" allowBlank="1" showInputMessage="1" showErrorMessage="1" sqref="Z81:AO81 Z79:AO79 Z83:AO83 Z85:AO85" xr:uid="{00000000-0002-0000-0200-000006000000}">
      <formula1>2</formula1>
    </dataValidation>
    <dataValidation type="list" allowBlank="1" showInputMessage="1" showErrorMessage="1" sqref="Y60:AP60" xr:uid="{00000000-0002-0000-0200-000007000000}">
      <formula1>$BV$57:$BV$69</formula1>
    </dataValidation>
    <dataValidation operator="lessThanOrEqual" allowBlank="1" showInputMessage="1" showErrorMessage="1" sqref="Z82:AO82" xr:uid="{00000000-0002-0000-0200-000008000000}"/>
    <dataValidation type="list" allowBlank="1" showInputMessage="1" showErrorMessage="1" sqref="AQ68" xr:uid="{00000000-0002-0000-0200-000009000000}">
      <formula1>$BV$79:$BV$81</formula1>
    </dataValidation>
    <dataValidation type="list" operator="lessThanOrEqual" allowBlank="1" showInputMessage="1" showErrorMessage="1" sqref="Z80:AO80" xr:uid="{00000000-0002-0000-0200-00000A000000}">
      <formula1>$BV$86:$BV$88</formula1>
    </dataValidation>
    <dataValidation type="list" allowBlank="1" showInputMessage="1" showErrorMessage="1" sqref="AR106:BE106" xr:uid="{00000000-0002-0000-0200-00000B000000}">
      <formula1>$CE$152:$CE$154</formula1>
    </dataValidation>
    <dataValidation type="list" allowBlank="1" showInputMessage="1" showErrorMessage="1" sqref="Z108:AO108" xr:uid="{00000000-0002-0000-0200-00000C000000}">
      <formula1>$CE$156:$CE$159</formula1>
    </dataValidation>
    <dataValidation type="list" allowBlank="1" showInputMessage="1" showErrorMessage="1" sqref="AD88" xr:uid="{00000000-0002-0000-0200-00000D000000}">
      <formula1>$BV$152:$BV$160</formula1>
    </dataValidation>
    <dataValidation type="list" allowBlank="1" showInputMessage="1" showErrorMessage="1" sqref="AP88" xr:uid="{00000000-0002-0000-0200-00000E000000}">
      <formula1>$BO$152:$BO$155</formula1>
    </dataValidation>
    <dataValidation type="list" allowBlank="1" showInputMessage="1" showErrorMessage="1" sqref="Z107:AO107 AA134:AM134" xr:uid="{00000000-0002-0000-0200-00000F000000}">
      <formula1>$BO$157:$BO$159</formula1>
    </dataValidation>
    <dataValidation type="list" allowBlank="1" showInputMessage="1" showErrorMessage="1" sqref="N104:AX104" xr:uid="{00000000-0002-0000-0200-000010000000}">
      <formula1>$CE$185:$CE$194</formula1>
    </dataValidation>
    <dataValidation allowBlank="1" showInputMessage="1" showErrorMessage="1" promptTitle="Pl.:" prompt="Számlakonverziós, eladási, devizaeladási." sqref="BE70" xr:uid="{00000000-0002-0000-0200-000011000000}"/>
    <dataValidation operator="lessThanOrEqual" allowBlank="1" sqref="Z78:AO78" xr:uid="{00000000-0002-0000-0200-000012000000}"/>
    <dataValidation type="list" allowBlank="1" showInputMessage="1" showErrorMessage="1" sqref="Z74:AO74" xr:uid="{00000000-0002-0000-0200-000013000000}">
      <formula1>$BO$86:$BO$88</formula1>
    </dataValidation>
    <dataValidation type="list" allowBlank="1" showInputMessage="1" showErrorMessage="1" sqref="L223:M223" xr:uid="{00000000-0002-0000-0200-000014000000}">
      <formula1>$BO$222:$BO$228</formula1>
    </dataValidation>
    <dataValidation type="list" allowBlank="1" showInputMessage="1" showErrorMessage="1" sqref="BC223" xr:uid="{00000000-0002-0000-0200-000015000000}">
      <formula1>$CD$222:$CD$230</formula1>
    </dataValidation>
    <dataValidation type="list" allowBlank="1" showInputMessage="1" showErrorMessage="1" sqref="Y223:BB223" xr:uid="{00000000-0002-0000-0200-000016000000}">
      <formula1>$BZ$222:$BZ$231</formula1>
    </dataValidation>
    <dataValidation type="decimal" operator="lessThanOrEqual" allowBlank="1" showInputMessage="1" showErrorMessage="1" sqref="Z84:AO84" xr:uid="{00000000-0002-0000-0200-000017000000}">
      <formula1>0.04</formula1>
    </dataValidation>
  </dataValidations>
  <hyperlinks>
    <hyperlink ref="AZ280" r:id="rId1" xr:uid="{00000000-0004-0000-0200-000000000000}"/>
    <hyperlink ref="AZ278" r:id="rId2" xr:uid="{00000000-0004-0000-0200-000001000000}"/>
    <hyperlink ref="BV83" r:id="rId3" xr:uid="{00000000-0004-0000-0200-000002000000}"/>
    <hyperlink ref="BV84" r:id="rId4" xr:uid="{00000000-0004-0000-0200-000003000000}"/>
    <hyperlink ref="AQ76" r:id="rId5" display="Link" xr:uid="{00000000-0004-0000-0200-000004000000}"/>
    <hyperlink ref="AR76:BB76" r:id="rId6" display="Link" xr:uid="{00000000-0004-0000-0200-000005000000}"/>
    <hyperlink ref="BO313" r:id="rId7" xr:uid="{00000000-0004-0000-0200-000006000000}"/>
    <hyperlink ref="BO314" r:id="rId8" xr:uid="{00000000-0004-0000-0200-000007000000}"/>
    <hyperlink ref="BA112:BE112" location="Eredményterv!A1" display="Kattintson ide!" xr:uid="{00000000-0004-0000-0200-000008000000}"/>
    <hyperlink ref="AA105:AO105" location="Eredményterv!A1" display="Mi az az ügyfélcsoport?" xr:uid="{00000000-0004-0000-0200-000009000000}"/>
    <hyperlink ref="AP86" location="'Patika Hitelprogram - Kérelem'!A1" display="Kérem töltse ki és cégszerűen aláírva csatolja!" xr:uid="{00000000-0004-0000-0200-00000A000000}"/>
    <hyperlink ref="BB306" r:id="rId9" xr:uid="{00000000-0004-0000-0200-00000B000000}"/>
    <hyperlink ref="BB307" r:id="rId10" xr:uid="{00000000-0004-0000-0200-00000C000000}"/>
  </hyperlinks>
  <printOptions horizontalCentered="1"/>
  <pageMargins left="0" right="0" top="0" bottom="0" header="0" footer="0"/>
  <pageSetup paperSize="9" scale="50" firstPageNumber="4" fitToHeight="0" orientation="landscape" verticalDpi="4294967293" r:id="rId11"/>
  <headerFooter alignWithMargins="0">
    <oddFooter>&amp;R&amp;"Arial Black,Félkövér"&amp;P</oddFooter>
  </headerFooter>
  <rowBreaks count="5" manualBreakCount="5">
    <brk id="54" min="1" max="66" man="1"/>
    <brk id="114" min="1" max="66" man="1"/>
    <brk id="182" min="1" max="66" man="1"/>
    <brk id="214" min="1" max="66" man="1"/>
    <brk id="271" min="1" max="66" man="1"/>
  </rowBreaks>
  <drawing r:id="rId12"/>
  <legacyDrawing r:id="rId13"/>
  <extLst>
    <ext xmlns:x14="http://schemas.microsoft.com/office/spreadsheetml/2009/9/main" uri="{CCE6A557-97BC-4b89-ADB6-D9C93CAAB3DF}">
      <x14:dataValidations xmlns:xm="http://schemas.microsoft.com/office/excel/2006/main" xWindow="876" yWindow="776" count="1">
        <x14:dataValidation type="list" allowBlank="1" showInputMessage="1" showErrorMessage="1" xr:uid="{00000000-0002-0000-0200-000018000000}">
          <x14:formula1>
            <xm:f>'Refinanszírozás célja'!$BM$8:$BM$22</xm:f>
          </x14:formula1>
          <xm:sqref>AN228:AS228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5"/>
  <dimension ref="A1:Y1392"/>
  <sheetViews>
    <sheetView zoomScale="80" zoomScaleNormal="80" workbookViewId="0">
      <pane ySplit="1" topLeftCell="A11" activePane="bottomLeft" state="frozen"/>
      <selection pane="bottomLeft" activeCell="B41" sqref="B41"/>
    </sheetView>
  </sheetViews>
  <sheetFormatPr baseColWidth="10" defaultColWidth="9.1640625" defaultRowHeight="15" x14ac:dyDescent="0.2"/>
  <cols>
    <col min="1" max="1" width="29.5" style="1" customWidth="1"/>
    <col min="2" max="2" width="16.5" style="1" customWidth="1"/>
    <col min="3" max="3" width="18" style="1" customWidth="1"/>
    <col min="4" max="5" width="9.1640625" style="1"/>
    <col min="6" max="6" width="5.1640625" style="61" customWidth="1"/>
    <col min="7" max="7" width="6.6640625" style="62" bestFit="1" customWidth="1"/>
    <col min="8" max="8" width="11.83203125" style="65" customWidth="1"/>
    <col min="9" max="9" width="16.5" style="66" customWidth="1"/>
    <col min="10" max="10" width="19.33203125" style="62" bestFit="1" customWidth="1"/>
    <col min="11" max="11" width="19.33203125" style="62" customWidth="1"/>
    <col min="12" max="12" width="6.6640625" style="24" bestFit="1" customWidth="1"/>
    <col min="13" max="13" width="19.33203125" style="24" customWidth="1"/>
    <col min="14" max="14" width="20.5" style="24" bestFit="1" customWidth="1"/>
    <col min="15" max="16" width="19.33203125" style="24" customWidth="1"/>
    <col min="17" max="17" width="11.5" style="63" customWidth="1"/>
    <col min="18" max="18" width="11" style="59" bestFit="1" customWidth="1"/>
    <col min="19" max="19" width="11" style="64" customWidth="1"/>
    <col min="20" max="21" width="13.5" style="64" bestFit="1" customWidth="1"/>
    <col min="22" max="22" width="11" style="64" customWidth="1"/>
    <col min="23" max="24" width="12.33203125" style="64" bestFit="1" customWidth="1"/>
    <col min="25" max="25" width="14.5" style="59" bestFit="1" customWidth="1"/>
    <col min="26" max="16384" width="9.1640625" style="1"/>
  </cols>
  <sheetData>
    <row r="1" spans="1:25" ht="43" thickBot="1" x14ac:dyDescent="0.25">
      <c r="A1" s="78"/>
      <c r="B1" s="79" t="s">
        <v>196</v>
      </c>
      <c r="C1" s="77" t="e">
        <f>SUM(P:P)/IF(devizanem="HUF",MNBarf,1)</f>
        <v>#VALUE!</v>
      </c>
      <c r="D1" s="80" t="s">
        <v>0</v>
      </c>
      <c r="E1" s="80"/>
      <c r="F1" s="81" t="s">
        <v>1</v>
      </c>
      <c r="G1" s="82" t="s">
        <v>249</v>
      </c>
      <c r="H1" s="83" t="s">
        <v>250</v>
      </c>
      <c r="I1" s="84" t="s">
        <v>208</v>
      </c>
      <c r="J1" s="82" t="s">
        <v>226</v>
      </c>
      <c r="K1" s="82" t="s">
        <v>673</v>
      </c>
      <c r="L1" s="85" t="s">
        <v>249</v>
      </c>
      <c r="M1" s="85" t="s">
        <v>3</v>
      </c>
      <c r="N1" s="85" t="s">
        <v>2</v>
      </c>
      <c r="O1" s="86" t="s">
        <v>4</v>
      </c>
      <c r="P1" s="85" t="s">
        <v>5</v>
      </c>
      <c r="Q1" s="87" t="s">
        <v>445</v>
      </c>
      <c r="R1" s="88" t="s">
        <v>222</v>
      </c>
      <c r="S1" s="89" t="s">
        <v>243</v>
      </c>
      <c r="T1" s="89" t="s">
        <v>245</v>
      </c>
      <c r="U1" s="89" t="s">
        <v>246</v>
      </c>
      <c r="V1" s="89" t="s">
        <v>244</v>
      </c>
      <c r="W1" s="89" t="s">
        <v>247</v>
      </c>
      <c r="X1" s="89" t="s">
        <v>248</v>
      </c>
      <c r="Y1" s="89" t="s">
        <v>267</v>
      </c>
    </row>
    <row r="2" spans="1:25" x14ac:dyDescent="0.2">
      <c r="A2" s="68"/>
      <c r="B2" s="68"/>
      <c r="C2" s="90" t="str">
        <f>IF(ROUND(SUM(I:I),0)&lt;&gt;ROUND(Q,0),"TT hiba",A35)</f>
        <v/>
      </c>
      <c r="D2" s="68"/>
      <c r="E2" s="1047"/>
      <c r="F2" s="1450">
        <v>1</v>
      </c>
      <c r="G2" s="91">
        <v>1</v>
      </c>
      <c r="H2" s="92">
        <f>+B50</f>
        <v>0</v>
      </c>
      <c r="I2" s="93">
        <f t="shared" ref="I2:I65" si="0">IFERROR(VLOOKUP(H2,torlesztesek,2,FALSE),0)</f>
        <v>0</v>
      </c>
      <c r="J2" s="94">
        <f>Q</f>
        <v>0</v>
      </c>
      <c r="K2" s="94">
        <v>1</v>
      </c>
      <c r="L2" s="95">
        <v>1</v>
      </c>
      <c r="M2" s="96" t="e">
        <f>IF(honap_periodus_kamat=1,S2,IF(honap_periodus_kamat=3,T2,U2))*IF(R2=0,1,)</f>
        <v>#VALUE!</v>
      </c>
      <c r="N2" s="96" t="e">
        <f t="shared" ref="N2:N65" si="1">IF(honap_periodus_kamat=1,V2,IF(honap_periodus_kamat=3,W2,X2))*IF(R2=0,1,)</f>
        <v>#VALUE!</v>
      </c>
      <c r="O2" s="96" t="e">
        <f t="shared" ref="O2:O65" si="2">M2-N2</f>
        <v>#VALUE!</v>
      </c>
      <c r="P2" s="97" t="e">
        <f t="shared" ref="P2:P65" si="3">O2/((1+i_eu/12)^(G2-1))</f>
        <v>#VALUE!</v>
      </c>
      <c r="Q2" s="98">
        <f>elso_tort_honap</f>
        <v>0</v>
      </c>
      <c r="R2" s="99" t="e">
        <f t="shared" ref="R2:R65" si="4">MOD(Utolso_torl_honap-G2,honap_periodus_kamat)</f>
        <v>#VALUE!</v>
      </c>
      <c r="S2" s="100" t="e">
        <f>((J2*r_ref)/12)*B39</f>
        <v>#VALUE!</v>
      </c>
      <c r="T2" s="101" t="e">
        <f>S2</f>
        <v>#VALUE!</v>
      </c>
      <c r="U2" s="101" t="e">
        <f>T2</f>
        <v>#VALUE!</v>
      </c>
      <c r="V2" s="100" t="e">
        <f>((J2*r_k)/12)*B39</f>
        <v>#VALUE!</v>
      </c>
      <c r="W2" s="101" t="e">
        <f>V2</f>
        <v>#VALUE!</v>
      </c>
      <c r="X2" s="101" t="e">
        <f>W2</f>
        <v>#VALUE!</v>
      </c>
      <c r="Y2" s="99">
        <f t="shared" ref="Y2:Y65" si="5">ROUND(I2,0)</f>
        <v>0</v>
      </c>
    </row>
    <row r="3" spans="1:25" x14ac:dyDescent="0.2">
      <c r="A3" s="68" t="s">
        <v>6</v>
      </c>
      <c r="B3" s="102" t="s">
        <v>197</v>
      </c>
      <c r="C3" s="103">
        <f>RefinKolcsonOsszege</f>
        <v>0</v>
      </c>
      <c r="D3" s="104" t="str">
        <f>devizanem</f>
        <v/>
      </c>
      <c r="E3" s="104"/>
      <c r="F3" s="1450"/>
      <c r="G3" s="91">
        <f>G2+1</f>
        <v>2</v>
      </c>
      <c r="H3" s="105">
        <f t="shared" ref="H3:H66" si="6">IF(hovege,EOMONTH(ElsoHonapVege,G2),EDATE(ElsoHonapVege,G2))</f>
        <v>31</v>
      </c>
      <c r="I3" s="93">
        <f t="shared" si="0"/>
        <v>0</v>
      </c>
      <c r="J3" s="106">
        <f>+ROUND(J2-I2,100)</f>
        <v>0</v>
      </c>
      <c r="K3" s="106">
        <f>+SIGN(ROUND(J3,0))</f>
        <v>0</v>
      </c>
      <c r="L3" s="95">
        <f>L2+1</f>
        <v>2</v>
      </c>
      <c r="M3" s="96" t="e">
        <f t="shared" ref="M3:M65" si="7">IF(honap_periodus_kamat=1,S3,IF(honap_periodus_kamat=3,T3,U3))*IF(R3=0,1,)</f>
        <v>#VALUE!</v>
      </c>
      <c r="N3" s="96" t="e">
        <f t="shared" si="1"/>
        <v>#VALUE!</v>
      </c>
      <c r="O3" s="96" t="e">
        <f t="shared" si="2"/>
        <v>#VALUE!</v>
      </c>
      <c r="P3" s="96" t="e">
        <f>O3/((1+i_eu/12)^(Q3-1))</f>
        <v>#VALUE!</v>
      </c>
      <c r="Q3" s="98">
        <f>Q2+1</f>
        <v>1</v>
      </c>
      <c r="R3" s="99" t="e">
        <f t="shared" si="4"/>
        <v>#VALUE!</v>
      </c>
      <c r="S3" s="100" t="e">
        <f t="shared" ref="S3:S66" si="8">(J3*r_ref)/12</f>
        <v>#VALUE!</v>
      </c>
      <c r="T3" s="101" t="e">
        <f>S3+S2</f>
        <v>#VALUE!</v>
      </c>
      <c r="U3" s="101" t="e">
        <f>T3</f>
        <v>#VALUE!</v>
      </c>
      <c r="V3" s="100" t="e">
        <f t="shared" ref="V3:V66" si="9">(J3*r_k)/12</f>
        <v>#VALUE!</v>
      </c>
      <c r="W3" s="101" t="e">
        <f>V3+V2</f>
        <v>#VALUE!</v>
      </c>
      <c r="X3" s="101" t="e">
        <f>W3</f>
        <v>#VALUE!</v>
      </c>
      <c r="Y3" s="99">
        <f t="shared" si="5"/>
        <v>0</v>
      </c>
    </row>
    <row r="4" spans="1:25" x14ac:dyDescent="0.2">
      <c r="A4" s="68"/>
      <c r="B4" s="102"/>
      <c r="C4" s="107"/>
      <c r="D4" s="68"/>
      <c r="E4" s="1047"/>
      <c r="F4" s="1450"/>
      <c r="G4" s="91">
        <f t="shared" ref="G4:G67" si="10">G3+1</f>
        <v>3</v>
      </c>
      <c r="H4" s="105">
        <f t="shared" si="6"/>
        <v>60</v>
      </c>
      <c r="I4" s="93">
        <f t="shared" si="0"/>
        <v>0</v>
      </c>
      <c r="J4" s="106">
        <f t="shared" ref="J4:J67" si="11">+ROUND(J3-I3,100)</f>
        <v>0</v>
      </c>
      <c r="K4" s="106">
        <f t="shared" ref="K4:K67" si="12">+SIGN(ROUND(J4,0))</f>
        <v>0</v>
      </c>
      <c r="L4" s="95">
        <f t="shared" ref="L4:L67" si="13">L3+1</f>
        <v>3</v>
      </c>
      <c r="M4" s="96" t="e">
        <f>IF(honap_periodus_kamat=1,S4,IF(honap_periodus_kamat=3,T4,U4))*IF(R4=0,1,)</f>
        <v>#VALUE!</v>
      </c>
      <c r="N4" s="96" t="e">
        <f t="shared" si="1"/>
        <v>#VALUE!</v>
      </c>
      <c r="O4" s="96" t="e">
        <f t="shared" si="2"/>
        <v>#VALUE!</v>
      </c>
      <c r="P4" s="96" t="e">
        <f t="shared" si="3"/>
        <v>#VALUE!</v>
      </c>
      <c r="Q4" s="98">
        <f t="shared" ref="Q4:Q67" si="14">Q3+1</f>
        <v>2</v>
      </c>
      <c r="R4" s="99" t="e">
        <f t="shared" si="4"/>
        <v>#VALUE!</v>
      </c>
      <c r="S4" s="100" t="e">
        <f t="shared" si="8"/>
        <v>#VALUE!</v>
      </c>
      <c r="T4" s="100" t="e">
        <f>SUM(S2:S4)</f>
        <v>#VALUE!</v>
      </c>
      <c r="U4" s="101" t="e">
        <f>T4</f>
        <v>#VALUE!</v>
      </c>
      <c r="V4" s="100" t="e">
        <f t="shared" si="9"/>
        <v>#VALUE!</v>
      </c>
      <c r="W4" s="100" t="e">
        <f>SUM(V2:V4)</f>
        <v>#VALUE!</v>
      </c>
      <c r="X4" s="101" t="e">
        <f>W4</f>
        <v>#VALUE!</v>
      </c>
      <c r="Y4" s="99">
        <f t="shared" si="5"/>
        <v>0</v>
      </c>
    </row>
    <row r="5" spans="1:25" x14ac:dyDescent="0.2">
      <c r="A5" s="68"/>
      <c r="B5" s="102"/>
      <c r="C5" s="108"/>
      <c r="D5" s="68"/>
      <c r="E5" s="1047"/>
      <c r="F5" s="1450"/>
      <c r="G5" s="91">
        <f t="shared" si="10"/>
        <v>4</v>
      </c>
      <c r="H5" s="105">
        <f t="shared" si="6"/>
        <v>91</v>
      </c>
      <c r="I5" s="93">
        <f>IFERROR(VLOOKUP(H5,torlesztesek,2,FALSE),0)</f>
        <v>0</v>
      </c>
      <c r="J5" s="106">
        <f t="shared" si="11"/>
        <v>0</v>
      </c>
      <c r="K5" s="106">
        <f t="shared" si="12"/>
        <v>0</v>
      </c>
      <c r="L5" s="95">
        <f t="shared" si="13"/>
        <v>4</v>
      </c>
      <c r="M5" s="96" t="e">
        <f t="shared" si="7"/>
        <v>#VALUE!</v>
      </c>
      <c r="N5" s="96" t="e">
        <f t="shared" si="1"/>
        <v>#VALUE!</v>
      </c>
      <c r="O5" s="96" t="e">
        <f t="shared" si="2"/>
        <v>#VALUE!</v>
      </c>
      <c r="P5" s="96" t="e">
        <f t="shared" si="3"/>
        <v>#VALUE!</v>
      </c>
      <c r="Q5" s="98">
        <f t="shared" si="14"/>
        <v>3</v>
      </c>
      <c r="R5" s="99" t="e">
        <f t="shared" si="4"/>
        <v>#VALUE!</v>
      </c>
      <c r="S5" s="100" t="e">
        <f t="shared" si="8"/>
        <v>#VALUE!</v>
      </c>
      <c r="T5" s="100" t="e">
        <f t="shared" ref="T5:T68" si="15">SUM(S3:S5)</f>
        <v>#VALUE!</v>
      </c>
      <c r="U5" s="101" t="e">
        <f>S5+S4+S3+S2</f>
        <v>#VALUE!</v>
      </c>
      <c r="V5" s="100" t="e">
        <f t="shared" si="9"/>
        <v>#VALUE!</v>
      </c>
      <c r="W5" s="100" t="e">
        <f t="shared" ref="W5:W6" si="16">SUM(V3:V5)</f>
        <v>#VALUE!</v>
      </c>
      <c r="X5" s="101" t="e">
        <f>V5+V4+V3+V2</f>
        <v>#VALUE!</v>
      </c>
      <c r="Y5" s="99">
        <f t="shared" si="5"/>
        <v>0</v>
      </c>
    </row>
    <row r="6" spans="1:25" ht="15.75" customHeight="1" x14ac:dyDescent="0.2">
      <c r="A6" s="68"/>
      <c r="B6" s="102"/>
      <c r="C6" s="108"/>
      <c r="D6" s="68"/>
      <c r="E6" s="1047"/>
      <c r="F6" s="1450"/>
      <c r="G6" s="91">
        <f t="shared" si="10"/>
        <v>5</v>
      </c>
      <c r="H6" s="105">
        <f t="shared" si="6"/>
        <v>121</v>
      </c>
      <c r="I6" s="93">
        <f t="shared" si="0"/>
        <v>0</v>
      </c>
      <c r="J6" s="106">
        <f t="shared" si="11"/>
        <v>0</v>
      </c>
      <c r="K6" s="106">
        <f t="shared" si="12"/>
        <v>0</v>
      </c>
      <c r="L6" s="95">
        <f t="shared" si="13"/>
        <v>5</v>
      </c>
      <c r="M6" s="96" t="e">
        <f t="shared" si="7"/>
        <v>#VALUE!</v>
      </c>
      <c r="N6" s="96" t="e">
        <f t="shared" si="1"/>
        <v>#VALUE!</v>
      </c>
      <c r="O6" s="96" t="e">
        <f t="shared" si="2"/>
        <v>#VALUE!</v>
      </c>
      <c r="P6" s="96" t="e">
        <f t="shared" si="3"/>
        <v>#VALUE!</v>
      </c>
      <c r="Q6" s="98">
        <f t="shared" si="14"/>
        <v>4</v>
      </c>
      <c r="R6" s="99" t="e">
        <f t="shared" si="4"/>
        <v>#VALUE!</v>
      </c>
      <c r="S6" s="100" t="e">
        <f t="shared" si="8"/>
        <v>#VALUE!</v>
      </c>
      <c r="T6" s="100" t="e">
        <f t="shared" si="15"/>
        <v>#VALUE!</v>
      </c>
      <c r="U6" s="101" t="e">
        <f>S6+S5+S4+S3+S2</f>
        <v>#VALUE!</v>
      </c>
      <c r="V6" s="100" t="e">
        <f t="shared" si="9"/>
        <v>#VALUE!</v>
      </c>
      <c r="W6" s="100" t="e">
        <f t="shared" si="16"/>
        <v>#VALUE!</v>
      </c>
      <c r="X6" s="101" t="e">
        <f>V6+V5+V4+V3+V2</f>
        <v>#VALUE!</v>
      </c>
      <c r="Y6" s="99">
        <f t="shared" si="5"/>
        <v>0</v>
      </c>
    </row>
    <row r="7" spans="1:25" x14ac:dyDescent="0.2">
      <c r="A7" s="68" t="s">
        <v>221</v>
      </c>
      <c r="B7" s="102"/>
      <c r="C7" s="109" t="str">
        <f>Kamatfiz_gyak</f>
        <v/>
      </c>
      <c r="D7" s="68"/>
      <c r="E7" s="1047"/>
      <c r="F7" s="1450"/>
      <c r="G7" s="91">
        <f t="shared" si="10"/>
        <v>6</v>
      </c>
      <c r="H7" s="105">
        <f t="shared" si="6"/>
        <v>152</v>
      </c>
      <c r="I7" s="93">
        <f t="shared" si="0"/>
        <v>0</v>
      </c>
      <c r="J7" s="106">
        <f t="shared" si="11"/>
        <v>0</v>
      </c>
      <c r="K7" s="106">
        <f t="shared" si="12"/>
        <v>0</v>
      </c>
      <c r="L7" s="95">
        <f t="shared" si="13"/>
        <v>6</v>
      </c>
      <c r="M7" s="96" t="e">
        <f>IF(honap_periodus_kamat=1,S7,IF(honap_periodus_kamat=3,T7,U7))*IF(R7=0,1,)</f>
        <v>#VALUE!</v>
      </c>
      <c r="N7" s="96" t="e">
        <f t="shared" si="1"/>
        <v>#VALUE!</v>
      </c>
      <c r="O7" s="96" t="e">
        <f t="shared" si="2"/>
        <v>#VALUE!</v>
      </c>
      <c r="P7" s="96" t="e">
        <f t="shared" si="3"/>
        <v>#VALUE!</v>
      </c>
      <c r="Q7" s="98">
        <f t="shared" si="14"/>
        <v>5</v>
      </c>
      <c r="R7" s="99" t="e">
        <f t="shared" si="4"/>
        <v>#VALUE!</v>
      </c>
      <c r="S7" s="100" t="e">
        <f t="shared" si="8"/>
        <v>#VALUE!</v>
      </c>
      <c r="T7" s="100" t="e">
        <f t="shared" si="15"/>
        <v>#VALUE!</v>
      </c>
      <c r="U7" s="100" t="e">
        <f>SUM(S2:S7)</f>
        <v>#VALUE!</v>
      </c>
      <c r="V7" s="100" t="e">
        <f t="shared" si="9"/>
        <v>#VALUE!</v>
      </c>
      <c r="W7" s="100" t="e">
        <f t="shared" ref="W7:W68" si="17">SUM(V5:V7)</f>
        <v>#VALUE!</v>
      </c>
      <c r="X7" s="100" t="e">
        <f>SUM(V2:V7)</f>
        <v>#VALUE!</v>
      </c>
      <c r="Y7" s="99">
        <f t="shared" si="5"/>
        <v>0</v>
      </c>
    </row>
    <row r="8" spans="1:25" ht="15.75" customHeight="1" x14ac:dyDescent="0.2">
      <c r="A8" s="68"/>
      <c r="B8" s="102"/>
      <c r="C8" s="107"/>
      <c r="D8" s="68"/>
      <c r="E8" s="1047"/>
      <c r="F8" s="1450"/>
      <c r="G8" s="91">
        <f t="shared" si="10"/>
        <v>7</v>
      </c>
      <c r="H8" s="105">
        <f t="shared" si="6"/>
        <v>182</v>
      </c>
      <c r="I8" s="93">
        <f t="shared" si="0"/>
        <v>0</v>
      </c>
      <c r="J8" s="106">
        <f t="shared" si="11"/>
        <v>0</v>
      </c>
      <c r="K8" s="106">
        <f t="shared" si="12"/>
        <v>0</v>
      </c>
      <c r="L8" s="95">
        <f t="shared" si="13"/>
        <v>7</v>
      </c>
      <c r="M8" s="96" t="e">
        <f t="shared" si="7"/>
        <v>#VALUE!</v>
      </c>
      <c r="N8" s="96" t="e">
        <f t="shared" si="1"/>
        <v>#VALUE!</v>
      </c>
      <c r="O8" s="96" t="e">
        <f t="shared" si="2"/>
        <v>#VALUE!</v>
      </c>
      <c r="P8" s="96" t="e">
        <f t="shared" si="3"/>
        <v>#VALUE!</v>
      </c>
      <c r="Q8" s="98">
        <f t="shared" si="14"/>
        <v>6</v>
      </c>
      <c r="R8" s="99" t="e">
        <f t="shared" si="4"/>
        <v>#VALUE!</v>
      </c>
      <c r="S8" s="100" t="e">
        <f t="shared" si="8"/>
        <v>#VALUE!</v>
      </c>
      <c r="T8" s="100" t="e">
        <f t="shared" si="15"/>
        <v>#VALUE!</v>
      </c>
      <c r="U8" s="100" t="e">
        <f t="shared" ref="U8:U71" si="18">SUM(S3:S8)</f>
        <v>#VALUE!</v>
      </c>
      <c r="V8" s="100" t="e">
        <f t="shared" si="9"/>
        <v>#VALUE!</v>
      </c>
      <c r="W8" s="100" t="e">
        <f t="shared" si="17"/>
        <v>#VALUE!</v>
      </c>
      <c r="X8" s="100" t="e">
        <f t="shared" ref="X8:X71" si="19">SUM(V3:V8)</f>
        <v>#VALUE!</v>
      </c>
      <c r="Y8" s="99">
        <f t="shared" si="5"/>
        <v>0</v>
      </c>
    </row>
    <row r="9" spans="1:25" x14ac:dyDescent="0.2">
      <c r="A9" s="68"/>
      <c r="B9" s="102"/>
      <c r="C9" s="107"/>
      <c r="D9" s="68"/>
      <c r="E9" s="1047"/>
      <c r="F9" s="1450"/>
      <c r="G9" s="91">
        <f t="shared" si="10"/>
        <v>8</v>
      </c>
      <c r="H9" s="105">
        <f t="shared" si="6"/>
        <v>213</v>
      </c>
      <c r="I9" s="93">
        <f t="shared" si="0"/>
        <v>0</v>
      </c>
      <c r="J9" s="106">
        <f t="shared" si="11"/>
        <v>0</v>
      </c>
      <c r="K9" s="106">
        <f t="shared" si="12"/>
        <v>0</v>
      </c>
      <c r="L9" s="95">
        <f t="shared" si="13"/>
        <v>8</v>
      </c>
      <c r="M9" s="96" t="e">
        <f t="shared" si="7"/>
        <v>#VALUE!</v>
      </c>
      <c r="N9" s="96" t="e">
        <f t="shared" si="1"/>
        <v>#VALUE!</v>
      </c>
      <c r="O9" s="96" t="e">
        <f t="shared" si="2"/>
        <v>#VALUE!</v>
      </c>
      <c r="P9" s="96" t="e">
        <f t="shared" si="3"/>
        <v>#VALUE!</v>
      </c>
      <c r="Q9" s="98">
        <f t="shared" si="14"/>
        <v>7</v>
      </c>
      <c r="R9" s="99" t="e">
        <f t="shared" si="4"/>
        <v>#VALUE!</v>
      </c>
      <c r="S9" s="100" t="e">
        <f t="shared" si="8"/>
        <v>#VALUE!</v>
      </c>
      <c r="T9" s="100" t="e">
        <f t="shared" si="15"/>
        <v>#VALUE!</v>
      </c>
      <c r="U9" s="100" t="e">
        <f t="shared" si="18"/>
        <v>#VALUE!</v>
      </c>
      <c r="V9" s="100" t="e">
        <f t="shared" si="9"/>
        <v>#VALUE!</v>
      </c>
      <c r="W9" s="100" t="e">
        <f t="shared" si="17"/>
        <v>#VALUE!</v>
      </c>
      <c r="X9" s="100" t="e">
        <f t="shared" si="19"/>
        <v>#VALUE!</v>
      </c>
      <c r="Y9" s="99">
        <f t="shared" si="5"/>
        <v>0</v>
      </c>
    </row>
    <row r="10" spans="1:25" x14ac:dyDescent="0.2">
      <c r="A10" s="68"/>
      <c r="B10" s="102"/>
      <c r="C10" s="110"/>
      <c r="D10" s="68"/>
      <c r="E10" s="1047"/>
      <c r="F10" s="1450"/>
      <c r="G10" s="91">
        <f t="shared" si="10"/>
        <v>9</v>
      </c>
      <c r="H10" s="105">
        <f t="shared" si="6"/>
        <v>244</v>
      </c>
      <c r="I10" s="93">
        <f t="shared" si="0"/>
        <v>0</v>
      </c>
      <c r="J10" s="106">
        <f t="shared" si="11"/>
        <v>0</v>
      </c>
      <c r="K10" s="106">
        <f t="shared" si="12"/>
        <v>0</v>
      </c>
      <c r="L10" s="95">
        <f t="shared" si="13"/>
        <v>9</v>
      </c>
      <c r="M10" s="96" t="e">
        <f t="shared" si="7"/>
        <v>#VALUE!</v>
      </c>
      <c r="N10" s="96" t="e">
        <f t="shared" si="1"/>
        <v>#VALUE!</v>
      </c>
      <c r="O10" s="96" t="e">
        <f t="shared" si="2"/>
        <v>#VALUE!</v>
      </c>
      <c r="P10" s="96" t="e">
        <f t="shared" si="3"/>
        <v>#VALUE!</v>
      </c>
      <c r="Q10" s="98">
        <f t="shared" si="14"/>
        <v>8</v>
      </c>
      <c r="R10" s="99" t="e">
        <f t="shared" si="4"/>
        <v>#VALUE!</v>
      </c>
      <c r="S10" s="100" t="e">
        <f t="shared" si="8"/>
        <v>#VALUE!</v>
      </c>
      <c r="T10" s="100" t="e">
        <f t="shared" si="15"/>
        <v>#VALUE!</v>
      </c>
      <c r="U10" s="100" t="e">
        <f t="shared" si="18"/>
        <v>#VALUE!</v>
      </c>
      <c r="V10" s="100" t="e">
        <f t="shared" si="9"/>
        <v>#VALUE!</v>
      </c>
      <c r="W10" s="100" t="e">
        <f t="shared" si="17"/>
        <v>#VALUE!</v>
      </c>
      <c r="X10" s="100" t="e">
        <f t="shared" si="19"/>
        <v>#VALUE!</v>
      </c>
      <c r="Y10" s="99">
        <f t="shared" si="5"/>
        <v>0</v>
      </c>
    </row>
    <row r="11" spans="1:25" x14ac:dyDescent="0.2">
      <c r="A11" s="68"/>
      <c r="B11" s="102"/>
      <c r="C11" s="110"/>
      <c r="D11" s="68"/>
      <c r="E11" s="1047"/>
      <c r="F11" s="1450"/>
      <c r="G11" s="91">
        <f t="shared" si="10"/>
        <v>10</v>
      </c>
      <c r="H11" s="105">
        <f t="shared" si="6"/>
        <v>274</v>
      </c>
      <c r="I11" s="93">
        <f t="shared" si="0"/>
        <v>0</v>
      </c>
      <c r="J11" s="106">
        <f t="shared" si="11"/>
        <v>0</v>
      </c>
      <c r="K11" s="106">
        <f t="shared" si="12"/>
        <v>0</v>
      </c>
      <c r="L11" s="95">
        <f t="shared" si="13"/>
        <v>10</v>
      </c>
      <c r="M11" s="96" t="e">
        <f t="shared" si="7"/>
        <v>#VALUE!</v>
      </c>
      <c r="N11" s="96" t="e">
        <f t="shared" si="1"/>
        <v>#VALUE!</v>
      </c>
      <c r="O11" s="96" t="e">
        <f t="shared" si="2"/>
        <v>#VALUE!</v>
      </c>
      <c r="P11" s="96" t="e">
        <f t="shared" si="3"/>
        <v>#VALUE!</v>
      </c>
      <c r="Q11" s="98">
        <f t="shared" si="14"/>
        <v>9</v>
      </c>
      <c r="R11" s="99" t="e">
        <f t="shared" si="4"/>
        <v>#VALUE!</v>
      </c>
      <c r="S11" s="100" t="e">
        <f t="shared" si="8"/>
        <v>#VALUE!</v>
      </c>
      <c r="T11" s="100" t="e">
        <f t="shared" si="15"/>
        <v>#VALUE!</v>
      </c>
      <c r="U11" s="100" t="e">
        <f t="shared" si="18"/>
        <v>#VALUE!</v>
      </c>
      <c r="V11" s="100" t="e">
        <f t="shared" si="9"/>
        <v>#VALUE!</v>
      </c>
      <c r="W11" s="100" t="e">
        <f t="shared" si="17"/>
        <v>#VALUE!</v>
      </c>
      <c r="X11" s="100" t="e">
        <f t="shared" si="19"/>
        <v>#VALUE!</v>
      </c>
      <c r="Y11" s="99">
        <f t="shared" si="5"/>
        <v>0</v>
      </c>
    </row>
    <row r="12" spans="1:25" x14ac:dyDescent="0.2">
      <c r="A12" s="68"/>
      <c r="B12" s="90"/>
      <c r="C12" s="110"/>
      <c r="D12" s="68"/>
      <c r="E12" s="1047"/>
      <c r="F12" s="1450"/>
      <c r="G12" s="91">
        <f t="shared" si="10"/>
        <v>11</v>
      </c>
      <c r="H12" s="105">
        <f t="shared" si="6"/>
        <v>305</v>
      </c>
      <c r="I12" s="93">
        <f t="shared" si="0"/>
        <v>0</v>
      </c>
      <c r="J12" s="106">
        <f t="shared" si="11"/>
        <v>0</v>
      </c>
      <c r="K12" s="106">
        <f t="shared" si="12"/>
        <v>0</v>
      </c>
      <c r="L12" s="95">
        <f t="shared" si="13"/>
        <v>11</v>
      </c>
      <c r="M12" s="96" t="e">
        <f t="shared" si="7"/>
        <v>#VALUE!</v>
      </c>
      <c r="N12" s="96" t="e">
        <f t="shared" si="1"/>
        <v>#VALUE!</v>
      </c>
      <c r="O12" s="96" t="e">
        <f t="shared" si="2"/>
        <v>#VALUE!</v>
      </c>
      <c r="P12" s="96" t="e">
        <f t="shared" si="3"/>
        <v>#VALUE!</v>
      </c>
      <c r="Q12" s="98">
        <f t="shared" si="14"/>
        <v>10</v>
      </c>
      <c r="R12" s="99" t="e">
        <f t="shared" si="4"/>
        <v>#VALUE!</v>
      </c>
      <c r="S12" s="100" t="e">
        <f t="shared" si="8"/>
        <v>#VALUE!</v>
      </c>
      <c r="T12" s="100" t="e">
        <f t="shared" si="15"/>
        <v>#VALUE!</v>
      </c>
      <c r="U12" s="100" t="e">
        <f t="shared" si="18"/>
        <v>#VALUE!</v>
      </c>
      <c r="V12" s="100" t="e">
        <f t="shared" si="9"/>
        <v>#VALUE!</v>
      </c>
      <c r="W12" s="100" t="e">
        <f t="shared" si="17"/>
        <v>#VALUE!</v>
      </c>
      <c r="X12" s="100" t="e">
        <f t="shared" si="19"/>
        <v>#VALUE!</v>
      </c>
      <c r="Y12" s="99">
        <f t="shared" si="5"/>
        <v>0</v>
      </c>
    </row>
    <row r="13" spans="1:25" x14ac:dyDescent="0.2">
      <c r="A13" s="68"/>
      <c r="B13" s="102"/>
      <c r="C13" s="110"/>
      <c r="D13" s="68"/>
      <c r="E13" s="1047"/>
      <c r="F13" s="1450"/>
      <c r="G13" s="91">
        <f t="shared" si="10"/>
        <v>12</v>
      </c>
      <c r="H13" s="105">
        <f t="shared" si="6"/>
        <v>335</v>
      </c>
      <c r="I13" s="93">
        <f t="shared" si="0"/>
        <v>0</v>
      </c>
      <c r="J13" s="106">
        <f t="shared" si="11"/>
        <v>0</v>
      </c>
      <c r="K13" s="106">
        <f t="shared" si="12"/>
        <v>0</v>
      </c>
      <c r="L13" s="95">
        <f t="shared" si="13"/>
        <v>12</v>
      </c>
      <c r="M13" s="96" t="e">
        <f>IF(honap_periodus_kamat=1,S13,IF(honap_periodus_kamat=3,T13,U13))*IF(R13=0,1,)</f>
        <v>#VALUE!</v>
      </c>
      <c r="N13" s="96" t="e">
        <f t="shared" si="1"/>
        <v>#VALUE!</v>
      </c>
      <c r="O13" s="96" t="e">
        <f t="shared" si="2"/>
        <v>#VALUE!</v>
      </c>
      <c r="P13" s="96" t="e">
        <f t="shared" si="3"/>
        <v>#VALUE!</v>
      </c>
      <c r="Q13" s="98">
        <f t="shared" si="14"/>
        <v>11</v>
      </c>
      <c r="R13" s="99" t="e">
        <f t="shared" si="4"/>
        <v>#VALUE!</v>
      </c>
      <c r="S13" s="100" t="e">
        <f t="shared" si="8"/>
        <v>#VALUE!</v>
      </c>
      <c r="T13" s="100" t="e">
        <f t="shared" si="15"/>
        <v>#VALUE!</v>
      </c>
      <c r="U13" s="100" t="e">
        <f t="shared" si="18"/>
        <v>#VALUE!</v>
      </c>
      <c r="V13" s="100" t="e">
        <f t="shared" si="9"/>
        <v>#VALUE!</v>
      </c>
      <c r="W13" s="100" t="e">
        <f t="shared" si="17"/>
        <v>#VALUE!</v>
      </c>
      <c r="X13" s="100" t="e">
        <f t="shared" si="19"/>
        <v>#VALUE!</v>
      </c>
      <c r="Y13" s="99">
        <f t="shared" si="5"/>
        <v>0</v>
      </c>
    </row>
    <row r="14" spans="1:25" x14ac:dyDescent="0.2">
      <c r="A14" s="68"/>
      <c r="B14" s="68"/>
      <c r="C14" s="69"/>
      <c r="D14" s="68"/>
      <c r="E14" s="1047"/>
      <c r="F14" s="1450">
        <v>2</v>
      </c>
      <c r="G14" s="91">
        <f t="shared" si="10"/>
        <v>13</v>
      </c>
      <c r="H14" s="105">
        <f t="shared" si="6"/>
        <v>366</v>
      </c>
      <c r="I14" s="93">
        <f t="shared" si="0"/>
        <v>0</v>
      </c>
      <c r="J14" s="106">
        <f t="shared" si="11"/>
        <v>0</v>
      </c>
      <c r="K14" s="106">
        <f t="shared" si="12"/>
        <v>0</v>
      </c>
      <c r="L14" s="95">
        <f t="shared" si="13"/>
        <v>13</v>
      </c>
      <c r="M14" s="96" t="e">
        <f t="shared" si="7"/>
        <v>#VALUE!</v>
      </c>
      <c r="N14" s="96" t="e">
        <f t="shared" si="1"/>
        <v>#VALUE!</v>
      </c>
      <c r="O14" s="96" t="e">
        <f t="shared" si="2"/>
        <v>#VALUE!</v>
      </c>
      <c r="P14" s="96" t="e">
        <f t="shared" si="3"/>
        <v>#VALUE!</v>
      </c>
      <c r="Q14" s="98">
        <f t="shared" si="14"/>
        <v>12</v>
      </c>
      <c r="R14" s="99" t="e">
        <f t="shared" si="4"/>
        <v>#VALUE!</v>
      </c>
      <c r="S14" s="100" t="e">
        <f t="shared" si="8"/>
        <v>#VALUE!</v>
      </c>
      <c r="T14" s="100" t="e">
        <f t="shared" si="15"/>
        <v>#VALUE!</v>
      </c>
      <c r="U14" s="100" t="e">
        <f t="shared" si="18"/>
        <v>#VALUE!</v>
      </c>
      <c r="V14" s="100" t="e">
        <f t="shared" si="9"/>
        <v>#VALUE!</v>
      </c>
      <c r="W14" s="100" t="e">
        <f t="shared" si="17"/>
        <v>#VALUE!</v>
      </c>
      <c r="X14" s="100" t="e">
        <f t="shared" si="19"/>
        <v>#VALUE!</v>
      </c>
      <c r="Y14" s="99">
        <f t="shared" si="5"/>
        <v>0</v>
      </c>
    </row>
    <row r="15" spans="1:25" x14ac:dyDescent="0.2">
      <c r="A15" s="68"/>
      <c r="B15" s="68"/>
      <c r="C15" s="69"/>
      <c r="D15" s="68"/>
      <c r="E15" s="1047"/>
      <c r="F15" s="1450"/>
      <c r="G15" s="91">
        <f t="shared" si="10"/>
        <v>14</v>
      </c>
      <c r="H15" s="105">
        <f t="shared" si="6"/>
        <v>397</v>
      </c>
      <c r="I15" s="93">
        <f t="shared" si="0"/>
        <v>0</v>
      </c>
      <c r="J15" s="106">
        <f t="shared" si="11"/>
        <v>0</v>
      </c>
      <c r="K15" s="106">
        <f t="shared" si="12"/>
        <v>0</v>
      </c>
      <c r="L15" s="95">
        <f t="shared" si="13"/>
        <v>14</v>
      </c>
      <c r="M15" s="96" t="e">
        <f t="shared" si="7"/>
        <v>#VALUE!</v>
      </c>
      <c r="N15" s="96" t="e">
        <f t="shared" si="1"/>
        <v>#VALUE!</v>
      </c>
      <c r="O15" s="96" t="e">
        <f t="shared" si="2"/>
        <v>#VALUE!</v>
      </c>
      <c r="P15" s="96" t="e">
        <f t="shared" si="3"/>
        <v>#VALUE!</v>
      </c>
      <c r="Q15" s="98">
        <f t="shared" si="14"/>
        <v>13</v>
      </c>
      <c r="R15" s="99" t="e">
        <f t="shared" si="4"/>
        <v>#VALUE!</v>
      </c>
      <c r="S15" s="100" t="e">
        <f t="shared" si="8"/>
        <v>#VALUE!</v>
      </c>
      <c r="T15" s="100" t="e">
        <f t="shared" si="15"/>
        <v>#VALUE!</v>
      </c>
      <c r="U15" s="100" t="e">
        <f t="shared" si="18"/>
        <v>#VALUE!</v>
      </c>
      <c r="V15" s="100" t="e">
        <f t="shared" si="9"/>
        <v>#VALUE!</v>
      </c>
      <c r="W15" s="100" t="e">
        <f t="shared" si="17"/>
        <v>#VALUE!</v>
      </c>
      <c r="X15" s="100" t="e">
        <f t="shared" si="19"/>
        <v>#VALUE!</v>
      </c>
      <c r="Y15" s="99">
        <f t="shared" si="5"/>
        <v>0</v>
      </c>
    </row>
    <row r="16" spans="1:25" x14ac:dyDescent="0.2">
      <c r="A16" s="68" t="s">
        <v>211</v>
      </c>
      <c r="B16" s="111" t="s">
        <v>199</v>
      </c>
      <c r="C16" s="112" t="e">
        <f>RefRata</f>
        <v>#VALUE!</v>
      </c>
      <c r="D16" s="68"/>
      <c r="E16" s="1047"/>
      <c r="F16" s="1450"/>
      <c r="G16" s="91">
        <f t="shared" si="10"/>
        <v>15</v>
      </c>
      <c r="H16" s="105">
        <f t="shared" si="6"/>
        <v>425</v>
      </c>
      <c r="I16" s="93">
        <f t="shared" si="0"/>
        <v>0</v>
      </c>
      <c r="J16" s="106">
        <f t="shared" si="11"/>
        <v>0</v>
      </c>
      <c r="K16" s="106">
        <f t="shared" si="12"/>
        <v>0</v>
      </c>
      <c r="L16" s="95">
        <f t="shared" si="13"/>
        <v>15</v>
      </c>
      <c r="M16" s="96" t="e">
        <f t="shared" si="7"/>
        <v>#VALUE!</v>
      </c>
      <c r="N16" s="96" t="e">
        <f t="shared" si="1"/>
        <v>#VALUE!</v>
      </c>
      <c r="O16" s="96" t="e">
        <f t="shared" si="2"/>
        <v>#VALUE!</v>
      </c>
      <c r="P16" s="96" t="e">
        <f t="shared" si="3"/>
        <v>#VALUE!</v>
      </c>
      <c r="Q16" s="98">
        <f t="shared" si="14"/>
        <v>14</v>
      </c>
      <c r="R16" s="99" t="e">
        <f t="shared" si="4"/>
        <v>#VALUE!</v>
      </c>
      <c r="S16" s="100" t="e">
        <f t="shared" si="8"/>
        <v>#VALUE!</v>
      </c>
      <c r="T16" s="100" t="e">
        <f t="shared" si="15"/>
        <v>#VALUE!</v>
      </c>
      <c r="U16" s="100" t="e">
        <f t="shared" si="18"/>
        <v>#VALUE!</v>
      </c>
      <c r="V16" s="100" t="e">
        <f t="shared" si="9"/>
        <v>#VALUE!</v>
      </c>
      <c r="W16" s="100" t="e">
        <f t="shared" si="17"/>
        <v>#VALUE!</v>
      </c>
      <c r="X16" s="100" t="e">
        <f t="shared" si="19"/>
        <v>#VALUE!</v>
      </c>
      <c r="Y16" s="99">
        <f t="shared" si="5"/>
        <v>0</v>
      </c>
    </row>
    <row r="17" spans="1:25" x14ac:dyDescent="0.2">
      <c r="A17" s="68" t="s">
        <v>8</v>
      </c>
      <c r="B17" s="111" t="s">
        <v>200</v>
      </c>
      <c r="C17" s="113">
        <f>IF(devizanem="HUF",Bubor,EurRefrata)</f>
        <v>-2.5999999999999999E-3</v>
      </c>
      <c r="D17" s="68"/>
      <c r="E17" s="1047"/>
      <c r="F17" s="1450"/>
      <c r="G17" s="91">
        <f t="shared" si="10"/>
        <v>16</v>
      </c>
      <c r="H17" s="105">
        <f t="shared" si="6"/>
        <v>456</v>
      </c>
      <c r="I17" s="93">
        <f t="shared" si="0"/>
        <v>0</v>
      </c>
      <c r="J17" s="106">
        <f t="shared" si="11"/>
        <v>0</v>
      </c>
      <c r="K17" s="106">
        <f t="shared" si="12"/>
        <v>0</v>
      </c>
      <c r="L17" s="95">
        <f t="shared" si="13"/>
        <v>16</v>
      </c>
      <c r="M17" s="96" t="e">
        <f t="shared" si="7"/>
        <v>#VALUE!</v>
      </c>
      <c r="N17" s="96" t="e">
        <f t="shared" si="1"/>
        <v>#VALUE!</v>
      </c>
      <c r="O17" s="96" t="e">
        <f t="shared" si="2"/>
        <v>#VALUE!</v>
      </c>
      <c r="P17" s="96" t="e">
        <f t="shared" si="3"/>
        <v>#VALUE!</v>
      </c>
      <c r="Q17" s="98">
        <f t="shared" si="14"/>
        <v>15</v>
      </c>
      <c r="R17" s="99" t="e">
        <f t="shared" si="4"/>
        <v>#VALUE!</v>
      </c>
      <c r="S17" s="100" t="e">
        <f t="shared" si="8"/>
        <v>#VALUE!</v>
      </c>
      <c r="T17" s="100" t="e">
        <f t="shared" si="15"/>
        <v>#VALUE!</v>
      </c>
      <c r="U17" s="100" t="e">
        <f t="shared" si="18"/>
        <v>#VALUE!</v>
      </c>
      <c r="V17" s="100" t="e">
        <f t="shared" si="9"/>
        <v>#VALUE!</v>
      </c>
      <c r="W17" s="100" t="e">
        <f t="shared" si="17"/>
        <v>#VALUE!</v>
      </c>
      <c r="X17" s="100" t="e">
        <f t="shared" si="19"/>
        <v>#VALUE!</v>
      </c>
      <c r="Y17" s="99">
        <f t="shared" si="5"/>
        <v>0</v>
      </c>
    </row>
    <row r="18" spans="1:25" x14ac:dyDescent="0.2">
      <c r="A18" s="68" t="s">
        <v>9</v>
      </c>
      <c r="B18" s="111" t="s">
        <v>201</v>
      </c>
      <c r="C18" s="114">
        <f>r_eu+0.01</f>
        <v>7.4000000000000003E-3</v>
      </c>
      <c r="D18" s="68"/>
      <c r="E18" s="1047"/>
      <c r="F18" s="1450"/>
      <c r="G18" s="91">
        <f t="shared" si="10"/>
        <v>17</v>
      </c>
      <c r="H18" s="105">
        <f t="shared" si="6"/>
        <v>486</v>
      </c>
      <c r="I18" s="93">
        <f t="shared" si="0"/>
        <v>0</v>
      </c>
      <c r="J18" s="106">
        <f t="shared" si="11"/>
        <v>0</v>
      </c>
      <c r="K18" s="106">
        <f t="shared" si="12"/>
        <v>0</v>
      </c>
      <c r="L18" s="95">
        <f t="shared" si="13"/>
        <v>17</v>
      </c>
      <c r="M18" s="96" t="e">
        <f t="shared" si="7"/>
        <v>#VALUE!</v>
      </c>
      <c r="N18" s="96" t="e">
        <f t="shared" si="1"/>
        <v>#VALUE!</v>
      </c>
      <c r="O18" s="96" t="e">
        <f t="shared" si="2"/>
        <v>#VALUE!</v>
      </c>
      <c r="P18" s="96" t="e">
        <f t="shared" si="3"/>
        <v>#VALUE!</v>
      </c>
      <c r="Q18" s="98">
        <f t="shared" si="14"/>
        <v>16</v>
      </c>
      <c r="R18" s="99" t="e">
        <f t="shared" si="4"/>
        <v>#VALUE!</v>
      </c>
      <c r="S18" s="100" t="e">
        <f t="shared" si="8"/>
        <v>#VALUE!</v>
      </c>
      <c r="T18" s="100" t="e">
        <f t="shared" si="15"/>
        <v>#VALUE!</v>
      </c>
      <c r="U18" s="100" t="e">
        <f t="shared" si="18"/>
        <v>#VALUE!</v>
      </c>
      <c r="V18" s="100" t="e">
        <f t="shared" si="9"/>
        <v>#VALUE!</v>
      </c>
      <c r="W18" s="100" t="e">
        <f t="shared" si="17"/>
        <v>#VALUE!</v>
      </c>
      <c r="X18" s="100" t="e">
        <f t="shared" si="19"/>
        <v>#VALUE!</v>
      </c>
      <c r="Y18" s="99">
        <f t="shared" si="5"/>
        <v>0</v>
      </c>
    </row>
    <row r="19" spans="1:25" x14ac:dyDescent="0.2">
      <c r="A19" s="68" t="s">
        <v>202</v>
      </c>
      <c r="B19" s="111" t="s">
        <v>203</v>
      </c>
      <c r="C19" s="114" t="str">
        <f>hitkamat</f>
        <v/>
      </c>
      <c r="D19" s="68"/>
      <c r="E19" s="1047"/>
      <c r="F19" s="1450"/>
      <c r="G19" s="91">
        <f t="shared" si="10"/>
        <v>18</v>
      </c>
      <c r="H19" s="105">
        <f t="shared" si="6"/>
        <v>517</v>
      </c>
      <c r="I19" s="93">
        <f t="shared" si="0"/>
        <v>0</v>
      </c>
      <c r="J19" s="106">
        <f t="shared" si="11"/>
        <v>0</v>
      </c>
      <c r="K19" s="106">
        <f t="shared" si="12"/>
        <v>0</v>
      </c>
      <c r="L19" s="95">
        <f t="shared" si="13"/>
        <v>18</v>
      </c>
      <c r="M19" s="96" t="e">
        <f t="shared" si="7"/>
        <v>#VALUE!</v>
      </c>
      <c r="N19" s="96" t="e">
        <f t="shared" si="1"/>
        <v>#VALUE!</v>
      </c>
      <c r="O19" s="96" t="e">
        <f t="shared" si="2"/>
        <v>#VALUE!</v>
      </c>
      <c r="P19" s="96" t="e">
        <f t="shared" si="3"/>
        <v>#VALUE!</v>
      </c>
      <c r="Q19" s="98">
        <f t="shared" si="14"/>
        <v>17</v>
      </c>
      <c r="R19" s="99" t="e">
        <f t="shared" si="4"/>
        <v>#VALUE!</v>
      </c>
      <c r="S19" s="100" t="e">
        <f t="shared" si="8"/>
        <v>#VALUE!</v>
      </c>
      <c r="T19" s="100" t="e">
        <f t="shared" si="15"/>
        <v>#VALUE!</v>
      </c>
      <c r="U19" s="100" t="e">
        <f t="shared" si="18"/>
        <v>#VALUE!</v>
      </c>
      <c r="V19" s="100" t="e">
        <f t="shared" si="9"/>
        <v>#VALUE!</v>
      </c>
      <c r="W19" s="100" t="e">
        <f t="shared" si="17"/>
        <v>#VALUE!</v>
      </c>
      <c r="X19" s="100" t="e">
        <f t="shared" si="19"/>
        <v>#VALUE!</v>
      </c>
      <c r="Y19" s="99">
        <f t="shared" si="5"/>
        <v>0</v>
      </c>
    </row>
    <row r="20" spans="1:25" x14ac:dyDescent="0.2">
      <c r="A20" s="68" t="s">
        <v>227</v>
      </c>
      <c r="B20" s="111" t="str">
        <f>"tn   ( " &amp;honap_periodus_kamat  &amp; " hónap)"</f>
        <v>tn   (  hónap)</v>
      </c>
      <c r="C20" s="115" t="e">
        <f>honap_periodus_kamat/12</f>
        <v>#VALUE!</v>
      </c>
      <c r="D20" s="68"/>
      <c r="E20" s="1047"/>
      <c r="F20" s="1450"/>
      <c r="G20" s="91">
        <f t="shared" si="10"/>
        <v>19</v>
      </c>
      <c r="H20" s="105">
        <f t="shared" si="6"/>
        <v>547</v>
      </c>
      <c r="I20" s="93">
        <f t="shared" si="0"/>
        <v>0</v>
      </c>
      <c r="J20" s="106">
        <f t="shared" si="11"/>
        <v>0</v>
      </c>
      <c r="K20" s="106">
        <f t="shared" si="12"/>
        <v>0</v>
      </c>
      <c r="L20" s="95">
        <f t="shared" si="13"/>
        <v>19</v>
      </c>
      <c r="M20" s="96" t="e">
        <f t="shared" si="7"/>
        <v>#VALUE!</v>
      </c>
      <c r="N20" s="96" t="e">
        <f t="shared" si="1"/>
        <v>#VALUE!</v>
      </c>
      <c r="O20" s="96" t="e">
        <f t="shared" si="2"/>
        <v>#VALUE!</v>
      </c>
      <c r="P20" s="96" t="e">
        <f t="shared" si="3"/>
        <v>#VALUE!</v>
      </c>
      <c r="Q20" s="98">
        <f t="shared" si="14"/>
        <v>18</v>
      </c>
      <c r="R20" s="99" t="e">
        <f t="shared" si="4"/>
        <v>#VALUE!</v>
      </c>
      <c r="S20" s="100" t="e">
        <f t="shared" si="8"/>
        <v>#VALUE!</v>
      </c>
      <c r="T20" s="100" t="e">
        <f t="shared" si="15"/>
        <v>#VALUE!</v>
      </c>
      <c r="U20" s="100" t="e">
        <f t="shared" si="18"/>
        <v>#VALUE!</v>
      </c>
      <c r="V20" s="100" t="e">
        <f t="shared" si="9"/>
        <v>#VALUE!</v>
      </c>
      <c r="W20" s="100" t="e">
        <f t="shared" si="17"/>
        <v>#VALUE!</v>
      </c>
      <c r="X20" s="100" t="e">
        <f t="shared" si="19"/>
        <v>#VALUE!</v>
      </c>
      <c r="Y20" s="99">
        <f t="shared" si="5"/>
        <v>0</v>
      </c>
    </row>
    <row r="21" spans="1:25" x14ac:dyDescent="0.2">
      <c r="A21" s="68"/>
      <c r="B21" s="68"/>
      <c r="C21" s="68"/>
      <c r="D21" s="68"/>
      <c r="E21" s="1047"/>
      <c r="F21" s="1450"/>
      <c r="G21" s="91">
        <f t="shared" si="10"/>
        <v>20</v>
      </c>
      <c r="H21" s="105">
        <f t="shared" si="6"/>
        <v>578</v>
      </c>
      <c r="I21" s="93">
        <f t="shared" si="0"/>
        <v>0</v>
      </c>
      <c r="J21" s="106">
        <f t="shared" si="11"/>
        <v>0</v>
      </c>
      <c r="K21" s="106">
        <f t="shared" si="12"/>
        <v>0</v>
      </c>
      <c r="L21" s="95">
        <f t="shared" si="13"/>
        <v>20</v>
      </c>
      <c r="M21" s="96" t="e">
        <f t="shared" si="7"/>
        <v>#VALUE!</v>
      </c>
      <c r="N21" s="96" t="e">
        <f t="shared" si="1"/>
        <v>#VALUE!</v>
      </c>
      <c r="O21" s="96" t="e">
        <f t="shared" si="2"/>
        <v>#VALUE!</v>
      </c>
      <c r="P21" s="96" t="e">
        <f t="shared" si="3"/>
        <v>#VALUE!</v>
      </c>
      <c r="Q21" s="98">
        <f t="shared" si="14"/>
        <v>19</v>
      </c>
      <c r="R21" s="99" t="e">
        <f t="shared" si="4"/>
        <v>#VALUE!</v>
      </c>
      <c r="S21" s="100" t="e">
        <f t="shared" si="8"/>
        <v>#VALUE!</v>
      </c>
      <c r="T21" s="100" t="e">
        <f t="shared" si="15"/>
        <v>#VALUE!</v>
      </c>
      <c r="U21" s="100" t="e">
        <f t="shared" si="18"/>
        <v>#VALUE!</v>
      </c>
      <c r="V21" s="100" t="e">
        <f t="shared" si="9"/>
        <v>#VALUE!</v>
      </c>
      <c r="W21" s="100" t="e">
        <f t="shared" si="17"/>
        <v>#VALUE!</v>
      </c>
      <c r="X21" s="100" t="e">
        <f t="shared" si="19"/>
        <v>#VALUE!</v>
      </c>
      <c r="Y21" s="99">
        <f t="shared" si="5"/>
        <v>0</v>
      </c>
    </row>
    <row r="22" spans="1:25" x14ac:dyDescent="0.2">
      <c r="A22" s="68"/>
      <c r="B22" s="68"/>
      <c r="C22" s="68"/>
      <c r="D22" s="68"/>
      <c r="E22" s="1047"/>
      <c r="F22" s="1450"/>
      <c r="G22" s="91">
        <f t="shared" si="10"/>
        <v>21</v>
      </c>
      <c r="H22" s="105">
        <f t="shared" si="6"/>
        <v>609</v>
      </c>
      <c r="I22" s="93">
        <f t="shared" si="0"/>
        <v>0</v>
      </c>
      <c r="J22" s="106">
        <f t="shared" si="11"/>
        <v>0</v>
      </c>
      <c r="K22" s="106">
        <f t="shared" si="12"/>
        <v>0</v>
      </c>
      <c r="L22" s="95">
        <f t="shared" si="13"/>
        <v>21</v>
      </c>
      <c r="M22" s="96" t="e">
        <f t="shared" si="7"/>
        <v>#VALUE!</v>
      </c>
      <c r="N22" s="96" t="e">
        <f t="shared" si="1"/>
        <v>#VALUE!</v>
      </c>
      <c r="O22" s="96" t="e">
        <f t="shared" si="2"/>
        <v>#VALUE!</v>
      </c>
      <c r="P22" s="96" t="e">
        <f t="shared" si="3"/>
        <v>#VALUE!</v>
      </c>
      <c r="Q22" s="98">
        <f t="shared" si="14"/>
        <v>20</v>
      </c>
      <c r="R22" s="99" t="e">
        <f t="shared" si="4"/>
        <v>#VALUE!</v>
      </c>
      <c r="S22" s="100" t="e">
        <f t="shared" si="8"/>
        <v>#VALUE!</v>
      </c>
      <c r="T22" s="100" t="e">
        <f t="shared" si="15"/>
        <v>#VALUE!</v>
      </c>
      <c r="U22" s="100" t="e">
        <f t="shared" si="18"/>
        <v>#VALUE!</v>
      </c>
      <c r="V22" s="100" t="e">
        <f t="shared" si="9"/>
        <v>#VALUE!</v>
      </c>
      <c r="W22" s="100" t="e">
        <f t="shared" si="17"/>
        <v>#VALUE!</v>
      </c>
      <c r="X22" s="100" t="e">
        <f t="shared" si="19"/>
        <v>#VALUE!</v>
      </c>
      <c r="Y22" s="99">
        <f t="shared" si="5"/>
        <v>0</v>
      </c>
    </row>
    <row r="23" spans="1:25" x14ac:dyDescent="0.2">
      <c r="A23" s="68"/>
      <c r="B23" s="68"/>
      <c r="C23" s="68"/>
      <c r="D23" s="68"/>
      <c r="E23" s="1047"/>
      <c r="F23" s="1450"/>
      <c r="G23" s="91">
        <f t="shared" si="10"/>
        <v>22</v>
      </c>
      <c r="H23" s="105">
        <f t="shared" si="6"/>
        <v>639</v>
      </c>
      <c r="I23" s="93">
        <f t="shared" si="0"/>
        <v>0</v>
      </c>
      <c r="J23" s="106">
        <f t="shared" si="11"/>
        <v>0</v>
      </c>
      <c r="K23" s="106">
        <f t="shared" si="12"/>
        <v>0</v>
      </c>
      <c r="L23" s="95">
        <f t="shared" si="13"/>
        <v>22</v>
      </c>
      <c r="M23" s="96" t="e">
        <f t="shared" si="7"/>
        <v>#VALUE!</v>
      </c>
      <c r="N23" s="96" t="e">
        <f t="shared" si="1"/>
        <v>#VALUE!</v>
      </c>
      <c r="O23" s="96" t="e">
        <f t="shared" si="2"/>
        <v>#VALUE!</v>
      </c>
      <c r="P23" s="96" t="e">
        <f t="shared" si="3"/>
        <v>#VALUE!</v>
      </c>
      <c r="Q23" s="98">
        <f t="shared" si="14"/>
        <v>21</v>
      </c>
      <c r="R23" s="99" t="e">
        <f t="shared" si="4"/>
        <v>#VALUE!</v>
      </c>
      <c r="S23" s="100" t="e">
        <f t="shared" si="8"/>
        <v>#VALUE!</v>
      </c>
      <c r="T23" s="100" t="e">
        <f t="shared" si="15"/>
        <v>#VALUE!</v>
      </c>
      <c r="U23" s="100" t="e">
        <f t="shared" si="18"/>
        <v>#VALUE!</v>
      </c>
      <c r="V23" s="100" t="e">
        <f t="shared" si="9"/>
        <v>#VALUE!</v>
      </c>
      <c r="W23" s="100" t="e">
        <f t="shared" si="17"/>
        <v>#VALUE!</v>
      </c>
      <c r="X23" s="100" t="e">
        <f t="shared" si="19"/>
        <v>#VALUE!</v>
      </c>
      <c r="Y23" s="99">
        <f t="shared" si="5"/>
        <v>0</v>
      </c>
    </row>
    <row r="24" spans="1:25" x14ac:dyDescent="0.2">
      <c r="A24" s="75" t="s">
        <v>212</v>
      </c>
      <c r="B24" s="68"/>
      <c r="C24" s="116" t="e">
        <f>IF(r_k&gt;=r_ref,0,SUM(P:P))</f>
        <v>#VALUE!</v>
      </c>
      <c r="D24" s="117" t="str">
        <f>devizanem</f>
        <v/>
      </c>
      <c r="E24" s="117"/>
      <c r="F24" s="1450"/>
      <c r="G24" s="91">
        <f t="shared" si="10"/>
        <v>23</v>
      </c>
      <c r="H24" s="105">
        <f t="shared" si="6"/>
        <v>670</v>
      </c>
      <c r="I24" s="93">
        <f t="shared" si="0"/>
        <v>0</v>
      </c>
      <c r="J24" s="106">
        <f t="shared" si="11"/>
        <v>0</v>
      </c>
      <c r="K24" s="106">
        <f t="shared" si="12"/>
        <v>0</v>
      </c>
      <c r="L24" s="95">
        <f t="shared" si="13"/>
        <v>23</v>
      </c>
      <c r="M24" s="96" t="e">
        <f t="shared" si="7"/>
        <v>#VALUE!</v>
      </c>
      <c r="N24" s="96" t="e">
        <f t="shared" si="1"/>
        <v>#VALUE!</v>
      </c>
      <c r="O24" s="96" t="e">
        <f t="shared" si="2"/>
        <v>#VALUE!</v>
      </c>
      <c r="P24" s="96" t="e">
        <f t="shared" si="3"/>
        <v>#VALUE!</v>
      </c>
      <c r="Q24" s="98">
        <f t="shared" si="14"/>
        <v>22</v>
      </c>
      <c r="R24" s="99" t="e">
        <f t="shared" si="4"/>
        <v>#VALUE!</v>
      </c>
      <c r="S24" s="100" t="e">
        <f t="shared" si="8"/>
        <v>#VALUE!</v>
      </c>
      <c r="T24" s="100" t="e">
        <f t="shared" si="15"/>
        <v>#VALUE!</v>
      </c>
      <c r="U24" s="100" t="e">
        <f t="shared" si="18"/>
        <v>#VALUE!</v>
      </c>
      <c r="V24" s="100" t="e">
        <f t="shared" si="9"/>
        <v>#VALUE!</v>
      </c>
      <c r="W24" s="100" t="e">
        <f t="shared" si="17"/>
        <v>#VALUE!</v>
      </c>
      <c r="X24" s="100" t="e">
        <f t="shared" si="19"/>
        <v>#VALUE!</v>
      </c>
      <c r="Y24" s="99">
        <f t="shared" si="5"/>
        <v>0</v>
      </c>
    </row>
    <row r="25" spans="1:25" x14ac:dyDescent="0.2">
      <c r="A25" s="118" t="s">
        <v>209</v>
      </c>
      <c r="B25" s="75"/>
      <c r="C25" s="116" t="e">
        <f>TT_ap*IF(devizanem="EUR",MNBarf,1)</f>
        <v>#VALUE!</v>
      </c>
      <c r="D25" s="69" t="s">
        <v>162</v>
      </c>
      <c r="E25" s="69"/>
      <c r="F25" s="1450"/>
      <c r="G25" s="91">
        <f t="shared" si="10"/>
        <v>24</v>
      </c>
      <c r="H25" s="105">
        <f t="shared" si="6"/>
        <v>700</v>
      </c>
      <c r="I25" s="93">
        <f t="shared" si="0"/>
        <v>0</v>
      </c>
      <c r="J25" s="106">
        <f t="shared" si="11"/>
        <v>0</v>
      </c>
      <c r="K25" s="106">
        <f t="shared" si="12"/>
        <v>0</v>
      </c>
      <c r="L25" s="95">
        <f t="shared" si="13"/>
        <v>24</v>
      </c>
      <c r="M25" s="96" t="e">
        <f t="shared" si="7"/>
        <v>#VALUE!</v>
      </c>
      <c r="N25" s="96" t="e">
        <f t="shared" si="1"/>
        <v>#VALUE!</v>
      </c>
      <c r="O25" s="96" t="e">
        <f t="shared" si="2"/>
        <v>#VALUE!</v>
      </c>
      <c r="P25" s="96" t="e">
        <f t="shared" si="3"/>
        <v>#VALUE!</v>
      </c>
      <c r="Q25" s="98">
        <f t="shared" si="14"/>
        <v>23</v>
      </c>
      <c r="R25" s="99" t="e">
        <f t="shared" si="4"/>
        <v>#VALUE!</v>
      </c>
      <c r="S25" s="100" t="e">
        <f t="shared" si="8"/>
        <v>#VALUE!</v>
      </c>
      <c r="T25" s="100" t="e">
        <f t="shared" si="15"/>
        <v>#VALUE!</v>
      </c>
      <c r="U25" s="100" t="e">
        <f t="shared" si="18"/>
        <v>#VALUE!</v>
      </c>
      <c r="V25" s="100" t="e">
        <f t="shared" si="9"/>
        <v>#VALUE!</v>
      </c>
      <c r="W25" s="100" t="e">
        <f t="shared" si="17"/>
        <v>#VALUE!</v>
      </c>
      <c r="X25" s="100" t="e">
        <f t="shared" si="19"/>
        <v>#VALUE!</v>
      </c>
      <c r="Y25" s="99">
        <f t="shared" si="5"/>
        <v>0</v>
      </c>
    </row>
    <row r="26" spans="1:25" x14ac:dyDescent="0.2">
      <c r="A26" s="118" t="s">
        <v>210</v>
      </c>
      <c r="B26" s="119" t="s">
        <v>204</v>
      </c>
      <c r="C26" s="120">
        <f>MNBarf</f>
        <v>364.65</v>
      </c>
      <c r="D26" s="69"/>
      <c r="E26" s="69"/>
      <c r="F26" s="1450">
        <v>3</v>
      </c>
      <c r="G26" s="91">
        <f t="shared" si="10"/>
        <v>25</v>
      </c>
      <c r="H26" s="105">
        <f t="shared" si="6"/>
        <v>731</v>
      </c>
      <c r="I26" s="93">
        <f t="shared" si="0"/>
        <v>0</v>
      </c>
      <c r="J26" s="106">
        <f t="shared" si="11"/>
        <v>0</v>
      </c>
      <c r="K26" s="106">
        <f t="shared" si="12"/>
        <v>0</v>
      </c>
      <c r="L26" s="95">
        <f t="shared" si="13"/>
        <v>25</v>
      </c>
      <c r="M26" s="96" t="e">
        <f t="shared" si="7"/>
        <v>#VALUE!</v>
      </c>
      <c r="N26" s="96" t="e">
        <f t="shared" si="1"/>
        <v>#VALUE!</v>
      </c>
      <c r="O26" s="96" t="e">
        <f t="shared" si="2"/>
        <v>#VALUE!</v>
      </c>
      <c r="P26" s="96" t="e">
        <f t="shared" si="3"/>
        <v>#VALUE!</v>
      </c>
      <c r="Q26" s="98">
        <f t="shared" si="14"/>
        <v>24</v>
      </c>
      <c r="R26" s="99" t="e">
        <f t="shared" si="4"/>
        <v>#VALUE!</v>
      </c>
      <c r="S26" s="100" t="e">
        <f t="shared" si="8"/>
        <v>#VALUE!</v>
      </c>
      <c r="T26" s="100" t="e">
        <f t="shared" si="15"/>
        <v>#VALUE!</v>
      </c>
      <c r="U26" s="100" t="e">
        <f t="shared" si="18"/>
        <v>#VALUE!</v>
      </c>
      <c r="V26" s="100" t="e">
        <f t="shared" si="9"/>
        <v>#VALUE!</v>
      </c>
      <c r="W26" s="100" t="e">
        <f t="shared" si="17"/>
        <v>#VALUE!</v>
      </c>
      <c r="X26" s="100" t="e">
        <f t="shared" si="19"/>
        <v>#VALUE!</v>
      </c>
      <c r="Y26" s="99">
        <f t="shared" si="5"/>
        <v>0</v>
      </c>
    </row>
    <row r="27" spans="1:25" x14ac:dyDescent="0.2">
      <c r="A27" s="118" t="s">
        <v>207</v>
      </c>
      <c r="B27" s="75"/>
      <c r="C27" s="120" t="e">
        <f>TT_ap/IF(devizanem="HUF",MNBarf,1)</f>
        <v>#VALUE!</v>
      </c>
      <c r="D27" s="69" t="s">
        <v>0</v>
      </c>
      <c r="E27" s="69"/>
      <c r="F27" s="1450"/>
      <c r="G27" s="91">
        <f t="shared" si="10"/>
        <v>26</v>
      </c>
      <c r="H27" s="105">
        <f t="shared" si="6"/>
        <v>762</v>
      </c>
      <c r="I27" s="93">
        <f t="shared" si="0"/>
        <v>0</v>
      </c>
      <c r="J27" s="106">
        <f t="shared" si="11"/>
        <v>0</v>
      </c>
      <c r="K27" s="106">
        <f t="shared" si="12"/>
        <v>0</v>
      </c>
      <c r="L27" s="95">
        <f t="shared" si="13"/>
        <v>26</v>
      </c>
      <c r="M27" s="96" t="e">
        <f t="shared" si="7"/>
        <v>#VALUE!</v>
      </c>
      <c r="N27" s="96" t="e">
        <f t="shared" si="1"/>
        <v>#VALUE!</v>
      </c>
      <c r="O27" s="96" t="e">
        <f t="shared" si="2"/>
        <v>#VALUE!</v>
      </c>
      <c r="P27" s="96" t="e">
        <f t="shared" si="3"/>
        <v>#VALUE!</v>
      </c>
      <c r="Q27" s="98">
        <f t="shared" si="14"/>
        <v>25</v>
      </c>
      <c r="R27" s="99" t="e">
        <f t="shared" si="4"/>
        <v>#VALUE!</v>
      </c>
      <c r="S27" s="100" t="e">
        <f t="shared" si="8"/>
        <v>#VALUE!</v>
      </c>
      <c r="T27" s="100" t="e">
        <f t="shared" si="15"/>
        <v>#VALUE!</v>
      </c>
      <c r="U27" s="100" t="e">
        <f t="shared" si="18"/>
        <v>#VALUE!</v>
      </c>
      <c r="V27" s="100" t="e">
        <f t="shared" si="9"/>
        <v>#VALUE!</v>
      </c>
      <c r="W27" s="100" t="e">
        <f t="shared" si="17"/>
        <v>#VALUE!</v>
      </c>
      <c r="X27" s="100" t="e">
        <f t="shared" si="19"/>
        <v>#VALUE!</v>
      </c>
      <c r="Y27" s="99">
        <f t="shared" si="5"/>
        <v>0</v>
      </c>
    </row>
    <row r="28" spans="1:25" x14ac:dyDescent="0.2">
      <c r="A28" s="68"/>
      <c r="B28" s="68"/>
      <c r="C28" s="68"/>
      <c r="D28" s="68"/>
      <c r="E28" s="1047"/>
      <c r="F28" s="1450"/>
      <c r="G28" s="91">
        <f t="shared" si="10"/>
        <v>27</v>
      </c>
      <c r="H28" s="105">
        <f t="shared" si="6"/>
        <v>790</v>
      </c>
      <c r="I28" s="93">
        <f t="shared" si="0"/>
        <v>0</v>
      </c>
      <c r="J28" s="106">
        <f t="shared" si="11"/>
        <v>0</v>
      </c>
      <c r="K28" s="106">
        <f t="shared" si="12"/>
        <v>0</v>
      </c>
      <c r="L28" s="95">
        <f t="shared" si="13"/>
        <v>27</v>
      </c>
      <c r="M28" s="96" t="e">
        <f t="shared" si="7"/>
        <v>#VALUE!</v>
      </c>
      <c r="N28" s="96" t="e">
        <f t="shared" si="1"/>
        <v>#VALUE!</v>
      </c>
      <c r="O28" s="96" t="e">
        <f t="shared" si="2"/>
        <v>#VALUE!</v>
      </c>
      <c r="P28" s="96" t="e">
        <f t="shared" si="3"/>
        <v>#VALUE!</v>
      </c>
      <c r="Q28" s="98">
        <f t="shared" si="14"/>
        <v>26</v>
      </c>
      <c r="R28" s="99" t="e">
        <f t="shared" si="4"/>
        <v>#VALUE!</v>
      </c>
      <c r="S28" s="100" t="e">
        <f t="shared" si="8"/>
        <v>#VALUE!</v>
      </c>
      <c r="T28" s="100" t="e">
        <f t="shared" si="15"/>
        <v>#VALUE!</v>
      </c>
      <c r="U28" s="100" t="e">
        <f t="shared" si="18"/>
        <v>#VALUE!</v>
      </c>
      <c r="V28" s="100" t="e">
        <f t="shared" si="9"/>
        <v>#VALUE!</v>
      </c>
      <c r="W28" s="100" t="e">
        <f t="shared" si="17"/>
        <v>#VALUE!</v>
      </c>
      <c r="X28" s="100" t="e">
        <f t="shared" si="19"/>
        <v>#VALUE!</v>
      </c>
      <c r="Y28" s="99">
        <f t="shared" si="5"/>
        <v>0</v>
      </c>
    </row>
    <row r="29" spans="1:25" x14ac:dyDescent="0.2">
      <c r="A29" s="75" t="s">
        <v>268</v>
      </c>
      <c r="B29" s="68"/>
      <c r="C29" s="110">
        <f>SUM(Y:Y)</f>
        <v>0</v>
      </c>
      <c r="D29" s="68"/>
      <c r="E29" s="1047"/>
      <c r="F29" s="1450"/>
      <c r="G29" s="91">
        <f t="shared" si="10"/>
        <v>28</v>
      </c>
      <c r="H29" s="105">
        <f t="shared" si="6"/>
        <v>821</v>
      </c>
      <c r="I29" s="93">
        <f t="shared" si="0"/>
        <v>0</v>
      </c>
      <c r="J29" s="106">
        <f t="shared" si="11"/>
        <v>0</v>
      </c>
      <c r="K29" s="106">
        <f t="shared" si="12"/>
        <v>0</v>
      </c>
      <c r="L29" s="95">
        <f t="shared" si="13"/>
        <v>28</v>
      </c>
      <c r="M29" s="96" t="e">
        <f t="shared" si="7"/>
        <v>#VALUE!</v>
      </c>
      <c r="N29" s="96" t="e">
        <f t="shared" si="1"/>
        <v>#VALUE!</v>
      </c>
      <c r="O29" s="96" t="e">
        <f t="shared" si="2"/>
        <v>#VALUE!</v>
      </c>
      <c r="P29" s="96" t="e">
        <f t="shared" si="3"/>
        <v>#VALUE!</v>
      </c>
      <c r="Q29" s="98">
        <f t="shared" si="14"/>
        <v>27</v>
      </c>
      <c r="R29" s="99" t="e">
        <f t="shared" si="4"/>
        <v>#VALUE!</v>
      </c>
      <c r="S29" s="100" t="e">
        <f t="shared" si="8"/>
        <v>#VALUE!</v>
      </c>
      <c r="T29" s="100" t="e">
        <f t="shared" si="15"/>
        <v>#VALUE!</v>
      </c>
      <c r="U29" s="100" t="e">
        <f t="shared" si="18"/>
        <v>#VALUE!</v>
      </c>
      <c r="V29" s="100" t="e">
        <f t="shared" si="9"/>
        <v>#VALUE!</v>
      </c>
      <c r="W29" s="100" t="e">
        <f t="shared" si="17"/>
        <v>#VALUE!</v>
      </c>
      <c r="X29" s="100" t="e">
        <f t="shared" si="19"/>
        <v>#VALUE!</v>
      </c>
      <c r="Y29" s="99">
        <f t="shared" si="5"/>
        <v>0</v>
      </c>
    </row>
    <row r="30" spans="1:25" x14ac:dyDescent="0.2">
      <c r="A30" s="75" t="s">
        <v>269</v>
      </c>
      <c r="B30" s="68"/>
      <c r="C30" s="110">
        <f>Q-Torlesztesek_kerekitve</f>
        <v>0</v>
      </c>
      <c r="D30" s="68"/>
      <c r="E30" s="1047"/>
      <c r="F30" s="1450"/>
      <c r="G30" s="91">
        <f t="shared" si="10"/>
        <v>29</v>
      </c>
      <c r="H30" s="105">
        <f t="shared" si="6"/>
        <v>851</v>
      </c>
      <c r="I30" s="93">
        <f t="shared" si="0"/>
        <v>0</v>
      </c>
      <c r="J30" s="106">
        <f t="shared" si="11"/>
        <v>0</v>
      </c>
      <c r="K30" s="106">
        <f t="shared" si="12"/>
        <v>0</v>
      </c>
      <c r="L30" s="95">
        <f t="shared" si="13"/>
        <v>29</v>
      </c>
      <c r="M30" s="96" t="e">
        <f t="shared" si="7"/>
        <v>#VALUE!</v>
      </c>
      <c r="N30" s="96" t="e">
        <f t="shared" si="1"/>
        <v>#VALUE!</v>
      </c>
      <c r="O30" s="96" t="e">
        <f t="shared" si="2"/>
        <v>#VALUE!</v>
      </c>
      <c r="P30" s="96" t="e">
        <f t="shared" si="3"/>
        <v>#VALUE!</v>
      </c>
      <c r="Q30" s="98">
        <f t="shared" si="14"/>
        <v>28</v>
      </c>
      <c r="R30" s="99" t="e">
        <f t="shared" si="4"/>
        <v>#VALUE!</v>
      </c>
      <c r="S30" s="100" t="e">
        <f t="shared" si="8"/>
        <v>#VALUE!</v>
      </c>
      <c r="T30" s="100" t="e">
        <f t="shared" si="15"/>
        <v>#VALUE!</v>
      </c>
      <c r="U30" s="100" t="e">
        <f t="shared" si="18"/>
        <v>#VALUE!</v>
      </c>
      <c r="V30" s="100" t="e">
        <f t="shared" si="9"/>
        <v>#VALUE!</v>
      </c>
      <c r="W30" s="100" t="e">
        <f t="shared" si="17"/>
        <v>#VALUE!</v>
      </c>
      <c r="X30" s="100" t="e">
        <f t="shared" si="19"/>
        <v>#VALUE!</v>
      </c>
      <c r="Y30" s="99">
        <f t="shared" si="5"/>
        <v>0</v>
      </c>
    </row>
    <row r="31" spans="1:25" x14ac:dyDescent="0.2">
      <c r="A31" s="75" t="s">
        <v>272</v>
      </c>
      <c r="B31" s="68"/>
      <c r="C31" s="110">
        <f>egyenloreszletekszama-ABS(kerekitesiElteres1)</f>
        <v>0</v>
      </c>
      <c r="D31" s="68"/>
      <c r="E31" s="1047"/>
      <c r="F31" s="1450"/>
      <c r="G31" s="91">
        <f t="shared" si="10"/>
        <v>30</v>
      </c>
      <c r="H31" s="105">
        <f t="shared" si="6"/>
        <v>882</v>
      </c>
      <c r="I31" s="93">
        <f t="shared" si="0"/>
        <v>0</v>
      </c>
      <c r="J31" s="106">
        <f t="shared" si="11"/>
        <v>0</v>
      </c>
      <c r="K31" s="106">
        <f t="shared" si="12"/>
        <v>0</v>
      </c>
      <c r="L31" s="95">
        <f t="shared" si="13"/>
        <v>30</v>
      </c>
      <c r="M31" s="96" t="e">
        <f t="shared" si="7"/>
        <v>#VALUE!</v>
      </c>
      <c r="N31" s="96" t="e">
        <f t="shared" si="1"/>
        <v>#VALUE!</v>
      </c>
      <c r="O31" s="96" t="e">
        <f t="shared" si="2"/>
        <v>#VALUE!</v>
      </c>
      <c r="P31" s="96" t="e">
        <f t="shared" si="3"/>
        <v>#VALUE!</v>
      </c>
      <c r="Q31" s="98">
        <f t="shared" si="14"/>
        <v>29</v>
      </c>
      <c r="R31" s="99" t="e">
        <f t="shared" si="4"/>
        <v>#VALUE!</v>
      </c>
      <c r="S31" s="100" t="e">
        <f t="shared" si="8"/>
        <v>#VALUE!</v>
      </c>
      <c r="T31" s="100" t="e">
        <f t="shared" si="15"/>
        <v>#VALUE!</v>
      </c>
      <c r="U31" s="100" t="e">
        <f t="shared" si="18"/>
        <v>#VALUE!</v>
      </c>
      <c r="V31" s="100" t="e">
        <f t="shared" si="9"/>
        <v>#VALUE!</v>
      </c>
      <c r="W31" s="100" t="e">
        <f t="shared" si="17"/>
        <v>#VALUE!</v>
      </c>
      <c r="X31" s="100" t="e">
        <f t="shared" si="19"/>
        <v>#VALUE!</v>
      </c>
      <c r="Y31" s="99">
        <f t="shared" si="5"/>
        <v>0</v>
      </c>
    </row>
    <row r="32" spans="1:25" x14ac:dyDescent="0.2">
      <c r="A32" s="75" t="s">
        <v>270</v>
      </c>
      <c r="B32" s="68"/>
      <c r="C32" s="68"/>
      <c r="D32" s="68"/>
      <c r="E32" s="1047"/>
      <c r="F32" s="1450"/>
      <c r="G32" s="91">
        <f t="shared" si="10"/>
        <v>31</v>
      </c>
      <c r="H32" s="105">
        <f t="shared" si="6"/>
        <v>912</v>
      </c>
      <c r="I32" s="93">
        <f t="shared" si="0"/>
        <v>0</v>
      </c>
      <c r="J32" s="106">
        <f t="shared" si="11"/>
        <v>0</v>
      </c>
      <c r="K32" s="106">
        <f t="shared" si="12"/>
        <v>0</v>
      </c>
      <c r="L32" s="95">
        <f t="shared" si="13"/>
        <v>31</v>
      </c>
      <c r="M32" s="96" t="e">
        <f t="shared" si="7"/>
        <v>#VALUE!</v>
      </c>
      <c r="N32" s="96" t="e">
        <f t="shared" si="1"/>
        <v>#VALUE!</v>
      </c>
      <c r="O32" s="96" t="e">
        <f t="shared" si="2"/>
        <v>#VALUE!</v>
      </c>
      <c r="P32" s="96" t="e">
        <f t="shared" si="3"/>
        <v>#VALUE!</v>
      </c>
      <c r="Q32" s="98">
        <f t="shared" si="14"/>
        <v>30</v>
      </c>
      <c r="R32" s="99" t="e">
        <f t="shared" si="4"/>
        <v>#VALUE!</v>
      </c>
      <c r="S32" s="100" t="e">
        <f t="shared" si="8"/>
        <v>#VALUE!</v>
      </c>
      <c r="T32" s="100" t="e">
        <f t="shared" si="15"/>
        <v>#VALUE!</v>
      </c>
      <c r="U32" s="100" t="e">
        <f t="shared" si="18"/>
        <v>#VALUE!</v>
      </c>
      <c r="V32" s="100" t="e">
        <f t="shared" si="9"/>
        <v>#VALUE!</v>
      </c>
      <c r="W32" s="100" t="e">
        <f t="shared" si="17"/>
        <v>#VALUE!</v>
      </c>
      <c r="X32" s="100" t="e">
        <f t="shared" si="19"/>
        <v>#VALUE!</v>
      </c>
      <c r="Y32" s="99">
        <f t="shared" si="5"/>
        <v>0</v>
      </c>
    </row>
    <row r="33" spans="1:25" x14ac:dyDescent="0.2">
      <c r="A33" s="68"/>
      <c r="B33" s="68"/>
      <c r="C33" s="68"/>
      <c r="D33" s="68"/>
      <c r="E33" s="1047"/>
      <c r="F33" s="1450"/>
      <c r="G33" s="91">
        <f t="shared" si="10"/>
        <v>32</v>
      </c>
      <c r="H33" s="105">
        <f t="shared" si="6"/>
        <v>943</v>
      </c>
      <c r="I33" s="93">
        <f t="shared" si="0"/>
        <v>0</v>
      </c>
      <c r="J33" s="106">
        <f t="shared" si="11"/>
        <v>0</v>
      </c>
      <c r="K33" s="106">
        <f t="shared" si="12"/>
        <v>0</v>
      </c>
      <c r="L33" s="95">
        <f t="shared" si="13"/>
        <v>32</v>
      </c>
      <c r="M33" s="96" t="e">
        <f t="shared" si="7"/>
        <v>#VALUE!</v>
      </c>
      <c r="N33" s="96" t="e">
        <f t="shared" si="1"/>
        <v>#VALUE!</v>
      </c>
      <c r="O33" s="96" t="e">
        <f t="shared" si="2"/>
        <v>#VALUE!</v>
      </c>
      <c r="P33" s="96" t="e">
        <f t="shared" si="3"/>
        <v>#VALUE!</v>
      </c>
      <c r="Q33" s="98">
        <f t="shared" si="14"/>
        <v>31</v>
      </c>
      <c r="R33" s="99" t="e">
        <f t="shared" si="4"/>
        <v>#VALUE!</v>
      </c>
      <c r="S33" s="100" t="e">
        <f t="shared" si="8"/>
        <v>#VALUE!</v>
      </c>
      <c r="T33" s="100" t="e">
        <f t="shared" si="15"/>
        <v>#VALUE!</v>
      </c>
      <c r="U33" s="100" t="e">
        <f t="shared" si="18"/>
        <v>#VALUE!</v>
      </c>
      <c r="V33" s="100" t="e">
        <f t="shared" si="9"/>
        <v>#VALUE!</v>
      </c>
      <c r="W33" s="100" t="e">
        <f t="shared" si="17"/>
        <v>#VALUE!</v>
      </c>
      <c r="X33" s="100" t="e">
        <f t="shared" si="19"/>
        <v>#VALUE!</v>
      </c>
      <c r="Y33" s="99">
        <f t="shared" si="5"/>
        <v>0</v>
      </c>
    </row>
    <row r="34" spans="1:25" x14ac:dyDescent="0.2">
      <c r="A34" s="68"/>
      <c r="B34" s="68"/>
      <c r="C34" s="68"/>
      <c r="D34" s="68"/>
      <c r="E34" s="1047"/>
      <c r="F34" s="1450"/>
      <c r="G34" s="91">
        <f t="shared" si="10"/>
        <v>33</v>
      </c>
      <c r="H34" s="105">
        <f t="shared" si="6"/>
        <v>974</v>
      </c>
      <c r="I34" s="93">
        <f t="shared" si="0"/>
        <v>0</v>
      </c>
      <c r="J34" s="106">
        <f t="shared" si="11"/>
        <v>0</v>
      </c>
      <c r="K34" s="106">
        <f t="shared" si="12"/>
        <v>0</v>
      </c>
      <c r="L34" s="95">
        <f t="shared" si="13"/>
        <v>33</v>
      </c>
      <c r="M34" s="96" t="e">
        <f t="shared" si="7"/>
        <v>#VALUE!</v>
      </c>
      <c r="N34" s="96" t="e">
        <f t="shared" si="1"/>
        <v>#VALUE!</v>
      </c>
      <c r="O34" s="96" t="e">
        <f t="shared" si="2"/>
        <v>#VALUE!</v>
      </c>
      <c r="P34" s="96" t="e">
        <f t="shared" si="3"/>
        <v>#VALUE!</v>
      </c>
      <c r="Q34" s="98">
        <f t="shared" si="14"/>
        <v>32</v>
      </c>
      <c r="R34" s="99" t="e">
        <f t="shared" si="4"/>
        <v>#VALUE!</v>
      </c>
      <c r="S34" s="100" t="e">
        <f t="shared" si="8"/>
        <v>#VALUE!</v>
      </c>
      <c r="T34" s="100" t="e">
        <f t="shared" si="15"/>
        <v>#VALUE!</v>
      </c>
      <c r="U34" s="100" t="e">
        <f t="shared" si="18"/>
        <v>#VALUE!</v>
      </c>
      <c r="V34" s="100" t="e">
        <f t="shared" si="9"/>
        <v>#VALUE!</v>
      </c>
      <c r="W34" s="100" t="e">
        <f t="shared" si="17"/>
        <v>#VALUE!</v>
      </c>
      <c r="X34" s="100" t="e">
        <f t="shared" si="19"/>
        <v>#VALUE!</v>
      </c>
      <c r="Y34" s="99">
        <f t="shared" si="5"/>
        <v>0</v>
      </c>
    </row>
    <row r="35" spans="1:25" ht="15" customHeight="1" x14ac:dyDescent="0.2">
      <c r="A35" s="1451" t="str">
        <f>IF(C30=0,"","Kerekítési eltérés miatt kérem módosítsa az utolsó törlesztés összegét ennyivel : " &amp; IF(C30&gt;0, " + " &amp; kerekitesiElteres1 &amp; ", vagy - " &amp; kerekitesiElteres2,
 " + " &amp; kerekitesiElteres2 &amp; " vagy - " &amp; -kerekitesiElteres1 ))</f>
        <v/>
      </c>
      <c r="B35" s="1451"/>
      <c r="C35" s="1451"/>
      <c r="D35" s="1452"/>
      <c r="E35" s="1078"/>
      <c r="F35" s="1450"/>
      <c r="G35" s="91">
        <f t="shared" si="10"/>
        <v>34</v>
      </c>
      <c r="H35" s="105">
        <f t="shared" si="6"/>
        <v>1004</v>
      </c>
      <c r="I35" s="93">
        <f t="shared" si="0"/>
        <v>0</v>
      </c>
      <c r="J35" s="106">
        <f t="shared" si="11"/>
        <v>0</v>
      </c>
      <c r="K35" s="106">
        <f t="shared" si="12"/>
        <v>0</v>
      </c>
      <c r="L35" s="95">
        <f t="shared" si="13"/>
        <v>34</v>
      </c>
      <c r="M35" s="96" t="e">
        <f t="shared" si="7"/>
        <v>#VALUE!</v>
      </c>
      <c r="N35" s="96" t="e">
        <f t="shared" si="1"/>
        <v>#VALUE!</v>
      </c>
      <c r="O35" s="96" t="e">
        <f t="shared" si="2"/>
        <v>#VALUE!</v>
      </c>
      <c r="P35" s="96" t="e">
        <f t="shared" si="3"/>
        <v>#VALUE!</v>
      </c>
      <c r="Q35" s="98">
        <f t="shared" si="14"/>
        <v>33</v>
      </c>
      <c r="R35" s="99" t="e">
        <f t="shared" si="4"/>
        <v>#VALUE!</v>
      </c>
      <c r="S35" s="100" t="e">
        <f t="shared" si="8"/>
        <v>#VALUE!</v>
      </c>
      <c r="T35" s="100" t="e">
        <f t="shared" si="15"/>
        <v>#VALUE!</v>
      </c>
      <c r="U35" s="100" t="e">
        <f t="shared" si="18"/>
        <v>#VALUE!</v>
      </c>
      <c r="V35" s="100" t="e">
        <f t="shared" si="9"/>
        <v>#VALUE!</v>
      </c>
      <c r="W35" s="100" t="e">
        <f t="shared" si="17"/>
        <v>#VALUE!</v>
      </c>
      <c r="X35" s="100" t="e">
        <f t="shared" si="19"/>
        <v>#VALUE!</v>
      </c>
      <c r="Y35" s="99">
        <f t="shared" si="5"/>
        <v>0</v>
      </c>
    </row>
    <row r="36" spans="1:25" ht="15" customHeight="1" x14ac:dyDescent="0.2">
      <c r="A36" s="68"/>
      <c r="B36" s="121" t="str">
        <f>TorlTervElsoTorl</f>
        <v/>
      </c>
      <c r="C36" s="68"/>
      <c r="D36" s="68"/>
      <c r="E36" s="1047"/>
      <c r="F36" s="1450"/>
      <c r="G36" s="91">
        <f t="shared" si="10"/>
        <v>35</v>
      </c>
      <c r="H36" s="105">
        <f t="shared" si="6"/>
        <v>1035</v>
      </c>
      <c r="I36" s="93">
        <f t="shared" si="0"/>
        <v>0</v>
      </c>
      <c r="J36" s="106">
        <f t="shared" si="11"/>
        <v>0</v>
      </c>
      <c r="K36" s="106">
        <f t="shared" si="12"/>
        <v>0</v>
      </c>
      <c r="L36" s="95">
        <f t="shared" si="13"/>
        <v>35</v>
      </c>
      <c r="M36" s="96" t="e">
        <f t="shared" si="7"/>
        <v>#VALUE!</v>
      </c>
      <c r="N36" s="96" t="e">
        <f t="shared" si="1"/>
        <v>#VALUE!</v>
      </c>
      <c r="O36" s="96" t="e">
        <f t="shared" si="2"/>
        <v>#VALUE!</v>
      </c>
      <c r="P36" s="96" t="e">
        <f t="shared" si="3"/>
        <v>#VALUE!</v>
      </c>
      <c r="Q36" s="98">
        <f t="shared" si="14"/>
        <v>34</v>
      </c>
      <c r="R36" s="99" t="e">
        <f t="shared" si="4"/>
        <v>#VALUE!</v>
      </c>
      <c r="S36" s="100" t="e">
        <f t="shared" si="8"/>
        <v>#VALUE!</v>
      </c>
      <c r="T36" s="100" t="e">
        <f t="shared" si="15"/>
        <v>#VALUE!</v>
      </c>
      <c r="U36" s="100" t="e">
        <f t="shared" si="18"/>
        <v>#VALUE!</v>
      </c>
      <c r="V36" s="100" t="e">
        <f t="shared" si="9"/>
        <v>#VALUE!</v>
      </c>
      <c r="W36" s="100" t="e">
        <f t="shared" si="17"/>
        <v>#VALUE!</v>
      </c>
      <c r="X36" s="100" t="e">
        <f t="shared" si="19"/>
        <v>#VALUE!</v>
      </c>
      <c r="Y36" s="99">
        <f t="shared" si="5"/>
        <v>0</v>
      </c>
    </row>
    <row r="37" spans="1:25" ht="15" customHeight="1" x14ac:dyDescent="0.2">
      <c r="A37" s="68" t="s">
        <v>433</v>
      </c>
      <c r="B37" s="121">
        <f>Folyositas</f>
        <v>0</v>
      </c>
      <c r="C37" s="122"/>
      <c r="D37" s="68"/>
      <c r="E37" s="1047"/>
      <c r="F37" s="1450"/>
      <c r="G37" s="91">
        <f t="shared" si="10"/>
        <v>36</v>
      </c>
      <c r="H37" s="105">
        <f t="shared" si="6"/>
        <v>1065</v>
      </c>
      <c r="I37" s="93">
        <f t="shared" si="0"/>
        <v>0</v>
      </c>
      <c r="J37" s="106">
        <f t="shared" si="11"/>
        <v>0</v>
      </c>
      <c r="K37" s="106">
        <f t="shared" si="12"/>
        <v>0</v>
      </c>
      <c r="L37" s="95">
        <f t="shared" si="13"/>
        <v>36</v>
      </c>
      <c r="M37" s="96" t="e">
        <f t="shared" si="7"/>
        <v>#VALUE!</v>
      </c>
      <c r="N37" s="96" t="e">
        <f t="shared" si="1"/>
        <v>#VALUE!</v>
      </c>
      <c r="O37" s="96" t="e">
        <f t="shared" si="2"/>
        <v>#VALUE!</v>
      </c>
      <c r="P37" s="96" t="e">
        <f t="shared" si="3"/>
        <v>#VALUE!</v>
      </c>
      <c r="Q37" s="98">
        <f t="shared" si="14"/>
        <v>35</v>
      </c>
      <c r="R37" s="99" t="e">
        <f t="shared" si="4"/>
        <v>#VALUE!</v>
      </c>
      <c r="S37" s="100" t="e">
        <f t="shared" si="8"/>
        <v>#VALUE!</v>
      </c>
      <c r="T37" s="100" t="e">
        <f t="shared" si="15"/>
        <v>#VALUE!</v>
      </c>
      <c r="U37" s="100" t="e">
        <f t="shared" si="18"/>
        <v>#VALUE!</v>
      </c>
      <c r="V37" s="100" t="e">
        <f t="shared" si="9"/>
        <v>#VALUE!</v>
      </c>
      <c r="W37" s="100" t="e">
        <f t="shared" si="17"/>
        <v>#VALUE!</v>
      </c>
      <c r="X37" s="100" t="e">
        <f t="shared" si="19"/>
        <v>#VALUE!</v>
      </c>
      <c r="Y37" s="99">
        <f t="shared" si="5"/>
        <v>0</v>
      </c>
    </row>
    <row r="38" spans="1:25" ht="15" customHeight="1" x14ac:dyDescent="0.2">
      <c r="A38" s="68" t="s">
        <v>439</v>
      </c>
      <c r="B38" s="121" t="e">
        <f>IF(hovege,EOMONTH(ElsoHonapVege,-1),EDATE(ElsoHonapVege,-1))</f>
        <v>#NUM!</v>
      </c>
      <c r="C38" s="68"/>
      <c r="D38" s="68"/>
      <c r="E38" s="1047"/>
      <c r="F38" s="1450">
        <v>4</v>
      </c>
      <c r="G38" s="91">
        <f t="shared" si="10"/>
        <v>37</v>
      </c>
      <c r="H38" s="105">
        <f t="shared" si="6"/>
        <v>1096</v>
      </c>
      <c r="I38" s="93">
        <f t="shared" si="0"/>
        <v>0</v>
      </c>
      <c r="J38" s="106">
        <f t="shared" si="11"/>
        <v>0</v>
      </c>
      <c r="K38" s="106">
        <f t="shared" si="12"/>
        <v>0</v>
      </c>
      <c r="L38" s="95">
        <f t="shared" si="13"/>
        <v>37</v>
      </c>
      <c r="M38" s="96" t="e">
        <f t="shared" si="7"/>
        <v>#VALUE!</v>
      </c>
      <c r="N38" s="96" t="e">
        <f t="shared" si="1"/>
        <v>#VALUE!</v>
      </c>
      <c r="O38" s="96" t="e">
        <f t="shared" si="2"/>
        <v>#VALUE!</v>
      </c>
      <c r="P38" s="96" t="e">
        <f t="shared" si="3"/>
        <v>#VALUE!</v>
      </c>
      <c r="Q38" s="98">
        <f t="shared" si="14"/>
        <v>36</v>
      </c>
      <c r="R38" s="99" t="e">
        <f t="shared" si="4"/>
        <v>#VALUE!</v>
      </c>
      <c r="S38" s="100" t="e">
        <f t="shared" si="8"/>
        <v>#VALUE!</v>
      </c>
      <c r="T38" s="100" t="e">
        <f t="shared" si="15"/>
        <v>#VALUE!</v>
      </c>
      <c r="U38" s="100" t="e">
        <f t="shared" si="18"/>
        <v>#VALUE!</v>
      </c>
      <c r="V38" s="100" t="e">
        <f t="shared" si="9"/>
        <v>#VALUE!</v>
      </c>
      <c r="W38" s="100" t="e">
        <f t="shared" si="17"/>
        <v>#VALUE!</v>
      </c>
      <c r="X38" s="100" t="e">
        <f t="shared" si="19"/>
        <v>#VALUE!</v>
      </c>
      <c r="Y38" s="99">
        <f t="shared" si="5"/>
        <v>0</v>
      </c>
    </row>
    <row r="39" spans="1:25" ht="15" customHeight="1" x14ac:dyDescent="0.2">
      <c r="A39" s="68" t="s">
        <v>441</v>
      </c>
      <c r="B39" s="123">
        <f>(ElsoHonapVege-B37 ) / 30</f>
        <v>0</v>
      </c>
      <c r="C39" s="68"/>
      <c r="D39" s="68"/>
      <c r="E39" s="1047"/>
      <c r="F39" s="1450"/>
      <c r="G39" s="91">
        <f t="shared" si="10"/>
        <v>38</v>
      </c>
      <c r="H39" s="105">
        <f t="shared" si="6"/>
        <v>1127</v>
      </c>
      <c r="I39" s="93">
        <f t="shared" si="0"/>
        <v>0</v>
      </c>
      <c r="J39" s="106">
        <f t="shared" si="11"/>
        <v>0</v>
      </c>
      <c r="K39" s="106">
        <f t="shared" si="12"/>
        <v>0</v>
      </c>
      <c r="L39" s="95">
        <f t="shared" si="13"/>
        <v>38</v>
      </c>
      <c r="M39" s="96" t="e">
        <f t="shared" si="7"/>
        <v>#VALUE!</v>
      </c>
      <c r="N39" s="96" t="e">
        <f t="shared" si="1"/>
        <v>#VALUE!</v>
      </c>
      <c r="O39" s="96" t="e">
        <f t="shared" si="2"/>
        <v>#VALUE!</v>
      </c>
      <c r="P39" s="96" t="e">
        <f t="shared" si="3"/>
        <v>#VALUE!</v>
      </c>
      <c r="Q39" s="98">
        <f t="shared" si="14"/>
        <v>37</v>
      </c>
      <c r="R39" s="99" t="e">
        <f t="shared" si="4"/>
        <v>#VALUE!</v>
      </c>
      <c r="S39" s="100" t="e">
        <f t="shared" si="8"/>
        <v>#VALUE!</v>
      </c>
      <c r="T39" s="100" t="e">
        <f t="shared" si="15"/>
        <v>#VALUE!</v>
      </c>
      <c r="U39" s="100" t="e">
        <f t="shared" si="18"/>
        <v>#VALUE!</v>
      </c>
      <c r="V39" s="100" t="e">
        <f t="shared" si="9"/>
        <v>#VALUE!</v>
      </c>
      <c r="W39" s="100" t="e">
        <f t="shared" si="17"/>
        <v>#VALUE!</v>
      </c>
      <c r="X39" s="100" t="e">
        <f t="shared" si="19"/>
        <v>#VALUE!</v>
      </c>
      <c r="Y39" s="99">
        <f t="shared" si="5"/>
        <v>0</v>
      </c>
    </row>
    <row r="40" spans="1:25" ht="15" customHeight="1" x14ac:dyDescent="0.2">
      <c r="A40" s="68" t="s">
        <v>443</v>
      </c>
      <c r="B40" s="68" t="b">
        <f>EOMONTH(ElsoHonapVege,0)=ElsoHonapVege</f>
        <v>0</v>
      </c>
      <c r="C40" s="68"/>
      <c r="D40" s="68"/>
      <c r="E40" s="1047"/>
      <c r="F40" s="1450"/>
      <c r="G40" s="91">
        <f t="shared" si="10"/>
        <v>39</v>
      </c>
      <c r="H40" s="105">
        <f t="shared" si="6"/>
        <v>1155</v>
      </c>
      <c r="I40" s="93">
        <f t="shared" si="0"/>
        <v>0</v>
      </c>
      <c r="J40" s="106">
        <f t="shared" si="11"/>
        <v>0</v>
      </c>
      <c r="K40" s="106">
        <f t="shared" si="12"/>
        <v>0</v>
      </c>
      <c r="L40" s="95">
        <f t="shared" si="13"/>
        <v>39</v>
      </c>
      <c r="M40" s="96" t="e">
        <f t="shared" si="7"/>
        <v>#VALUE!</v>
      </c>
      <c r="N40" s="96" t="e">
        <f t="shared" si="1"/>
        <v>#VALUE!</v>
      </c>
      <c r="O40" s="96" t="e">
        <f t="shared" si="2"/>
        <v>#VALUE!</v>
      </c>
      <c r="P40" s="96" t="e">
        <f t="shared" si="3"/>
        <v>#VALUE!</v>
      </c>
      <c r="Q40" s="98">
        <f t="shared" si="14"/>
        <v>38</v>
      </c>
      <c r="R40" s="99" t="e">
        <f t="shared" si="4"/>
        <v>#VALUE!</v>
      </c>
      <c r="S40" s="100" t="e">
        <f t="shared" si="8"/>
        <v>#VALUE!</v>
      </c>
      <c r="T40" s="100" t="e">
        <f t="shared" si="15"/>
        <v>#VALUE!</v>
      </c>
      <c r="U40" s="100" t="e">
        <f t="shared" si="18"/>
        <v>#VALUE!</v>
      </c>
      <c r="V40" s="100" t="e">
        <f t="shared" si="9"/>
        <v>#VALUE!</v>
      </c>
      <c r="W40" s="100" t="e">
        <f t="shared" si="17"/>
        <v>#VALUE!</v>
      </c>
      <c r="X40" s="100" t="e">
        <f t="shared" si="19"/>
        <v>#VALUE!</v>
      </c>
      <c r="Y40" s="99">
        <f t="shared" si="5"/>
        <v>0</v>
      </c>
    </row>
    <row r="41" spans="1:25" ht="15" customHeight="1" x14ac:dyDescent="0.2">
      <c r="A41" s="99" t="s">
        <v>444</v>
      </c>
      <c r="B41" s="68">
        <f>+VLOOKUP(0,K:L,2,FALSE)-1</f>
        <v>1</v>
      </c>
      <c r="C41" s="68"/>
      <c r="D41" s="68"/>
      <c r="E41" s="1047"/>
      <c r="F41" s="1450"/>
      <c r="G41" s="91">
        <f t="shared" si="10"/>
        <v>40</v>
      </c>
      <c r="H41" s="105">
        <f t="shared" si="6"/>
        <v>1186</v>
      </c>
      <c r="I41" s="93">
        <f t="shared" si="0"/>
        <v>0</v>
      </c>
      <c r="J41" s="106">
        <f t="shared" si="11"/>
        <v>0</v>
      </c>
      <c r="K41" s="106">
        <f t="shared" si="12"/>
        <v>0</v>
      </c>
      <c r="L41" s="95">
        <f t="shared" si="13"/>
        <v>40</v>
      </c>
      <c r="M41" s="96" t="e">
        <f t="shared" si="7"/>
        <v>#VALUE!</v>
      </c>
      <c r="N41" s="96" t="e">
        <f t="shared" si="1"/>
        <v>#VALUE!</v>
      </c>
      <c r="O41" s="96" t="e">
        <f t="shared" si="2"/>
        <v>#VALUE!</v>
      </c>
      <c r="P41" s="96" t="e">
        <f t="shared" si="3"/>
        <v>#VALUE!</v>
      </c>
      <c r="Q41" s="98">
        <f t="shared" si="14"/>
        <v>39</v>
      </c>
      <c r="R41" s="99" t="e">
        <f t="shared" si="4"/>
        <v>#VALUE!</v>
      </c>
      <c r="S41" s="100" t="e">
        <f t="shared" si="8"/>
        <v>#VALUE!</v>
      </c>
      <c r="T41" s="100" t="e">
        <f t="shared" si="15"/>
        <v>#VALUE!</v>
      </c>
      <c r="U41" s="100" t="e">
        <f t="shared" si="18"/>
        <v>#VALUE!</v>
      </c>
      <c r="V41" s="100" t="e">
        <f t="shared" si="9"/>
        <v>#VALUE!</v>
      </c>
      <c r="W41" s="100" t="e">
        <f t="shared" si="17"/>
        <v>#VALUE!</v>
      </c>
      <c r="X41" s="100" t="e">
        <f t="shared" si="19"/>
        <v>#VALUE!</v>
      </c>
      <c r="Y41" s="99">
        <f t="shared" si="5"/>
        <v>0</v>
      </c>
    </row>
    <row r="42" spans="1:25" ht="15" customHeight="1" x14ac:dyDescent="0.2">
      <c r="A42" s="99"/>
      <c r="B42" s="68"/>
      <c r="C42" s="68"/>
      <c r="D42" s="68"/>
      <c r="E42" s="1047"/>
      <c r="F42" s="1450"/>
      <c r="G42" s="91">
        <f t="shared" si="10"/>
        <v>41</v>
      </c>
      <c r="H42" s="105">
        <f t="shared" si="6"/>
        <v>1216</v>
      </c>
      <c r="I42" s="93">
        <f t="shared" si="0"/>
        <v>0</v>
      </c>
      <c r="J42" s="106">
        <f t="shared" si="11"/>
        <v>0</v>
      </c>
      <c r="K42" s="106">
        <f t="shared" si="12"/>
        <v>0</v>
      </c>
      <c r="L42" s="95">
        <f t="shared" si="13"/>
        <v>41</v>
      </c>
      <c r="M42" s="96" t="e">
        <f t="shared" si="7"/>
        <v>#VALUE!</v>
      </c>
      <c r="N42" s="96" t="e">
        <f t="shared" si="1"/>
        <v>#VALUE!</v>
      </c>
      <c r="O42" s="96" t="e">
        <f t="shared" si="2"/>
        <v>#VALUE!</v>
      </c>
      <c r="P42" s="96" t="e">
        <f t="shared" si="3"/>
        <v>#VALUE!</v>
      </c>
      <c r="Q42" s="98">
        <f t="shared" si="14"/>
        <v>40</v>
      </c>
      <c r="R42" s="99" t="e">
        <f t="shared" si="4"/>
        <v>#VALUE!</v>
      </c>
      <c r="S42" s="100" t="e">
        <f t="shared" si="8"/>
        <v>#VALUE!</v>
      </c>
      <c r="T42" s="100" t="e">
        <f t="shared" si="15"/>
        <v>#VALUE!</v>
      </c>
      <c r="U42" s="100" t="e">
        <f t="shared" si="18"/>
        <v>#VALUE!</v>
      </c>
      <c r="V42" s="100" t="e">
        <f t="shared" si="9"/>
        <v>#VALUE!</v>
      </c>
      <c r="W42" s="100" t="e">
        <f t="shared" si="17"/>
        <v>#VALUE!</v>
      </c>
      <c r="X42" s="100" t="e">
        <f t="shared" si="19"/>
        <v>#VALUE!</v>
      </c>
      <c r="Y42" s="99">
        <f t="shared" si="5"/>
        <v>0</v>
      </c>
    </row>
    <row r="43" spans="1:25" ht="15" customHeight="1" x14ac:dyDescent="0.2">
      <c r="A43" s="59"/>
      <c r="B43" s="59"/>
      <c r="C43" s="1086" t="s">
        <v>1081</v>
      </c>
      <c r="D43" s="1086" t="s">
        <v>1082</v>
      </c>
      <c r="E43" s="1086" t="s">
        <v>110</v>
      </c>
      <c r="F43" s="1450"/>
      <c r="G43" s="91">
        <f t="shared" si="10"/>
        <v>42</v>
      </c>
      <c r="H43" s="105">
        <f t="shared" si="6"/>
        <v>1247</v>
      </c>
      <c r="I43" s="93">
        <f t="shared" si="0"/>
        <v>0</v>
      </c>
      <c r="J43" s="106">
        <f t="shared" si="11"/>
        <v>0</v>
      </c>
      <c r="K43" s="106">
        <f t="shared" si="12"/>
        <v>0</v>
      </c>
      <c r="L43" s="95">
        <f t="shared" si="13"/>
        <v>42</v>
      </c>
      <c r="M43" s="96" t="e">
        <f t="shared" si="7"/>
        <v>#VALUE!</v>
      </c>
      <c r="N43" s="96" t="e">
        <f t="shared" si="1"/>
        <v>#VALUE!</v>
      </c>
      <c r="O43" s="96" t="e">
        <f t="shared" si="2"/>
        <v>#VALUE!</v>
      </c>
      <c r="P43" s="96" t="e">
        <f t="shared" si="3"/>
        <v>#VALUE!</v>
      </c>
      <c r="Q43" s="98">
        <f t="shared" si="14"/>
        <v>41</v>
      </c>
      <c r="R43" s="99" t="e">
        <f t="shared" si="4"/>
        <v>#VALUE!</v>
      </c>
      <c r="S43" s="100" t="e">
        <f t="shared" si="8"/>
        <v>#VALUE!</v>
      </c>
      <c r="T43" s="100" t="e">
        <f t="shared" si="15"/>
        <v>#VALUE!</v>
      </c>
      <c r="U43" s="100" t="e">
        <f t="shared" si="18"/>
        <v>#VALUE!</v>
      </c>
      <c r="V43" s="100" t="e">
        <f t="shared" si="9"/>
        <v>#VALUE!</v>
      </c>
      <c r="W43" s="100" t="e">
        <f t="shared" si="17"/>
        <v>#VALUE!</v>
      </c>
      <c r="X43" s="100" t="e">
        <f t="shared" si="19"/>
        <v>#VALUE!</v>
      </c>
      <c r="Y43" s="99">
        <f t="shared" si="5"/>
        <v>0</v>
      </c>
    </row>
    <row r="44" spans="1:25" ht="15" customHeight="1" x14ac:dyDescent="0.2">
      <c r="A44" s="1046" t="s">
        <v>1076</v>
      </c>
      <c r="B44" s="1049">
        <f>+futamkezdet</f>
        <v>0</v>
      </c>
      <c r="C44" s="1086">
        <f>+DAY(futamkezdet)</f>
        <v>0</v>
      </c>
      <c r="D44" s="1086">
        <f>+MONTH(futamkezdet)</f>
        <v>1</v>
      </c>
      <c r="E44" s="1086">
        <f>+YEAR(futamkezdet)</f>
        <v>1900</v>
      </c>
      <c r="F44" s="1450"/>
      <c r="G44" s="91">
        <f t="shared" si="10"/>
        <v>43</v>
      </c>
      <c r="H44" s="105">
        <f t="shared" si="6"/>
        <v>1277</v>
      </c>
      <c r="I44" s="93">
        <f t="shared" si="0"/>
        <v>0</v>
      </c>
      <c r="J44" s="106">
        <f t="shared" si="11"/>
        <v>0</v>
      </c>
      <c r="K44" s="106">
        <f t="shared" si="12"/>
        <v>0</v>
      </c>
      <c r="L44" s="95">
        <f t="shared" si="13"/>
        <v>43</v>
      </c>
      <c r="M44" s="96" t="e">
        <f t="shared" si="7"/>
        <v>#VALUE!</v>
      </c>
      <c r="N44" s="96" t="e">
        <f t="shared" si="1"/>
        <v>#VALUE!</v>
      </c>
      <c r="O44" s="96" t="e">
        <f t="shared" si="2"/>
        <v>#VALUE!</v>
      </c>
      <c r="P44" s="96" t="e">
        <f t="shared" si="3"/>
        <v>#VALUE!</v>
      </c>
      <c r="Q44" s="98">
        <f t="shared" si="14"/>
        <v>42</v>
      </c>
      <c r="R44" s="99" t="e">
        <f t="shared" si="4"/>
        <v>#VALUE!</v>
      </c>
      <c r="S44" s="100" t="e">
        <f t="shared" si="8"/>
        <v>#VALUE!</v>
      </c>
      <c r="T44" s="100" t="e">
        <f t="shared" si="15"/>
        <v>#VALUE!</v>
      </c>
      <c r="U44" s="100" t="e">
        <f t="shared" si="18"/>
        <v>#VALUE!</v>
      </c>
      <c r="V44" s="100" t="e">
        <f t="shared" si="9"/>
        <v>#VALUE!</v>
      </c>
      <c r="W44" s="100" t="e">
        <f t="shared" si="17"/>
        <v>#VALUE!</v>
      </c>
      <c r="X44" s="100" t="e">
        <f t="shared" si="19"/>
        <v>#VALUE!</v>
      </c>
      <c r="Y44" s="99">
        <f t="shared" si="5"/>
        <v>0</v>
      </c>
    </row>
    <row r="45" spans="1:25" ht="15" customHeight="1" x14ac:dyDescent="0.2">
      <c r="A45" s="1046"/>
      <c r="B45" s="1046">
        <f>+DAY(futamidokezdete-B44)</f>
        <v>0</v>
      </c>
      <c r="C45" s="1086">
        <f>+DAY(futamidokezdete)</f>
        <v>0</v>
      </c>
      <c r="D45" s="1086">
        <f>+MONTH(futamidokezdete)</f>
        <v>1</v>
      </c>
      <c r="E45" s="1086">
        <f>+YEAR(futamidokezdete)</f>
        <v>1900</v>
      </c>
      <c r="F45" s="1450"/>
      <c r="G45" s="91">
        <f t="shared" si="10"/>
        <v>44</v>
      </c>
      <c r="H45" s="105">
        <f t="shared" si="6"/>
        <v>1308</v>
      </c>
      <c r="I45" s="93">
        <f t="shared" si="0"/>
        <v>0</v>
      </c>
      <c r="J45" s="106">
        <f t="shared" si="11"/>
        <v>0</v>
      </c>
      <c r="K45" s="106">
        <f t="shared" si="12"/>
        <v>0</v>
      </c>
      <c r="L45" s="95">
        <f t="shared" si="13"/>
        <v>44</v>
      </c>
      <c r="M45" s="96" t="e">
        <f t="shared" si="7"/>
        <v>#VALUE!</v>
      </c>
      <c r="N45" s="96" t="e">
        <f t="shared" si="1"/>
        <v>#VALUE!</v>
      </c>
      <c r="O45" s="96" t="e">
        <f t="shared" si="2"/>
        <v>#VALUE!</v>
      </c>
      <c r="P45" s="96" t="e">
        <f t="shared" si="3"/>
        <v>#VALUE!</v>
      </c>
      <c r="Q45" s="98">
        <f t="shared" si="14"/>
        <v>43</v>
      </c>
      <c r="R45" s="99" t="e">
        <f t="shared" si="4"/>
        <v>#VALUE!</v>
      </c>
      <c r="S45" s="100" t="e">
        <f t="shared" si="8"/>
        <v>#VALUE!</v>
      </c>
      <c r="T45" s="100" t="e">
        <f t="shared" si="15"/>
        <v>#VALUE!</v>
      </c>
      <c r="U45" s="100" t="e">
        <f t="shared" si="18"/>
        <v>#VALUE!</v>
      </c>
      <c r="V45" s="100" t="e">
        <f t="shared" si="9"/>
        <v>#VALUE!</v>
      </c>
      <c r="W45" s="100" t="e">
        <f t="shared" si="17"/>
        <v>#VALUE!</v>
      </c>
      <c r="X45" s="100" t="e">
        <f t="shared" si="19"/>
        <v>#VALUE!</v>
      </c>
      <c r="Y45" s="99">
        <f t="shared" si="5"/>
        <v>0</v>
      </c>
    </row>
    <row r="46" spans="1:25" ht="15" customHeight="1" x14ac:dyDescent="0.2">
      <c r="A46" s="1046"/>
      <c r="B46" s="1049">
        <f>+B44+B45</f>
        <v>0</v>
      </c>
      <c r="C46" s="1086">
        <f>+DAY(B46)</f>
        <v>0</v>
      </c>
      <c r="D46" s="1086">
        <f>+MONTH(B46)</f>
        <v>1</v>
      </c>
      <c r="E46" s="1086">
        <f>+YEAR(B46)</f>
        <v>1900</v>
      </c>
      <c r="F46" s="1450"/>
      <c r="G46" s="91">
        <f t="shared" si="10"/>
        <v>45</v>
      </c>
      <c r="H46" s="105">
        <f t="shared" si="6"/>
        <v>1339</v>
      </c>
      <c r="I46" s="93">
        <f t="shared" si="0"/>
        <v>0</v>
      </c>
      <c r="J46" s="106">
        <f t="shared" si="11"/>
        <v>0</v>
      </c>
      <c r="K46" s="106">
        <f t="shared" si="12"/>
        <v>0</v>
      </c>
      <c r="L46" s="95">
        <f t="shared" si="13"/>
        <v>45</v>
      </c>
      <c r="M46" s="96" t="e">
        <f t="shared" si="7"/>
        <v>#VALUE!</v>
      </c>
      <c r="N46" s="96" t="e">
        <f t="shared" si="1"/>
        <v>#VALUE!</v>
      </c>
      <c r="O46" s="96" t="e">
        <f t="shared" si="2"/>
        <v>#VALUE!</v>
      </c>
      <c r="P46" s="96" t="e">
        <f t="shared" si="3"/>
        <v>#VALUE!</v>
      </c>
      <c r="Q46" s="98">
        <f t="shared" si="14"/>
        <v>44</v>
      </c>
      <c r="R46" s="99" t="e">
        <f t="shared" si="4"/>
        <v>#VALUE!</v>
      </c>
      <c r="S46" s="100" t="e">
        <f t="shared" si="8"/>
        <v>#VALUE!</v>
      </c>
      <c r="T46" s="100" t="e">
        <f t="shared" si="15"/>
        <v>#VALUE!</v>
      </c>
      <c r="U46" s="100" t="e">
        <f t="shared" si="18"/>
        <v>#VALUE!</v>
      </c>
      <c r="V46" s="100" t="e">
        <f t="shared" si="9"/>
        <v>#VALUE!</v>
      </c>
      <c r="W46" s="100" t="e">
        <f t="shared" si="17"/>
        <v>#VALUE!</v>
      </c>
      <c r="X46" s="100" t="e">
        <f t="shared" si="19"/>
        <v>#VALUE!</v>
      </c>
      <c r="Y46" s="99">
        <f t="shared" si="5"/>
        <v>0</v>
      </c>
    </row>
    <row r="47" spans="1:25" ht="30" customHeight="1" x14ac:dyDescent="0.2">
      <c r="A47" s="1087" t="s">
        <v>1083</v>
      </c>
      <c r="B47" s="1088">
        <f>+DATE(E46,D46,C47)</f>
        <v>0</v>
      </c>
      <c r="C47" s="1089">
        <f>+IF(C46&gt;C45,C45,C45)</f>
        <v>0</v>
      </c>
      <c r="D47" s="1086"/>
      <c r="E47" s="1086"/>
      <c r="F47" s="1450"/>
      <c r="G47" s="1090">
        <f t="shared" si="10"/>
        <v>46</v>
      </c>
      <c r="H47" s="1091">
        <f t="shared" si="6"/>
        <v>1369</v>
      </c>
      <c r="I47" s="1092">
        <f t="shared" si="0"/>
        <v>0</v>
      </c>
      <c r="J47" s="1093">
        <f t="shared" si="11"/>
        <v>0</v>
      </c>
      <c r="K47" s="1093">
        <f t="shared" si="12"/>
        <v>0</v>
      </c>
      <c r="L47" s="1094">
        <f t="shared" si="13"/>
        <v>46</v>
      </c>
      <c r="M47" s="1095" t="e">
        <f t="shared" si="7"/>
        <v>#VALUE!</v>
      </c>
      <c r="N47" s="1095" t="e">
        <f t="shared" si="1"/>
        <v>#VALUE!</v>
      </c>
      <c r="O47" s="1095" t="e">
        <f t="shared" si="2"/>
        <v>#VALUE!</v>
      </c>
      <c r="P47" s="1095" t="e">
        <f t="shared" si="3"/>
        <v>#VALUE!</v>
      </c>
      <c r="Q47" s="1096">
        <f t="shared" si="14"/>
        <v>45</v>
      </c>
      <c r="R47" s="1097" t="e">
        <f t="shared" si="4"/>
        <v>#VALUE!</v>
      </c>
      <c r="S47" s="1098" t="e">
        <f t="shared" si="8"/>
        <v>#VALUE!</v>
      </c>
      <c r="T47" s="1098" t="e">
        <f t="shared" si="15"/>
        <v>#VALUE!</v>
      </c>
      <c r="U47" s="1098" t="e">
        <f t="shared" si="18"/>
        <v>#VALUE!</v>
      </c>
      <c r="V47" s="1098" t="e">
        <f t="shared" si="9"/>
        <v>#VALUE!</v>
      </c>
      <c r="W47" s="1098" t="e">
        <f t="shared" si="17"/>
        <v>#VALUE!</v>
      </c>
      <c r="X47" s="1098" t="e">
        <f t="shared" si="19"/>
        <v>#VALUE!</v>
      </c>
      <c r="Y47" s="1097">
        <f t="shared" si="5"/>
        <v>0</v>
      </c>
    </row>
    <row r="48" spans="1:25" ht="15" customHeight="1" x14ac:dyDescent="0.2">
      <c r="A48" s="1047" t="s">
        <v>1003</v>
      </c>
      <c r="B48" s="1048">
        <f>+EOMONTH(futamidokezdete,1)</f>
        <v>59</v>
      </c>
      <c r="C48" s="68"/>
      <c r="D48" s="68"/>
      <c r="E48" s="1047"/>
      <c r="F48" s="1450"/>
      <c r="G48" s="91">
        <f t="shared" si="10"/>
        <v>47</v>
      </c>
      <c r="H48" s="105">
        <f t="shared" si="6"/>
        <v>1400</v>
      </c>
      <c r="I48" s="93">
        <f t="shared" si="0"/>
        <v>0</v>
      </c>
      <c r="J48" s="106">
        <f t="shared" si="11"/>
        <v>0</v>
      </c>
      <c r="K48" s="106">
        <f t="shared" si="12"/>
        <v>0</v>
      </c>
      <c r="L48" s="95">
        <f t="shared" si="13"/>
        <v>47</v>
      </c>
      <c r="M48" s="96" t="e">
        <f t="shared" si="7"/>
        <v>#VALUE!</v>
      </c>
      <c r="N48" s="96" t="e">
        <f t="shared" si="1"/>
        <v>#VALUE!</v>
      </c>
      <c r="O48" s="96" t="e">
        <f t="shared" si="2"/>
        <v>#VALUE!</v>
      </c>
      <c r="P48" s="96" t="e">
        <f t="shared" si="3"/>
        <v>#VALUE!</v>
      </c>
      <c r="Q48" s="98">
        <f t="shared" si="14"/>
        <v>46</v>
      </c>
      <c r="R48" s="99" t="e">
        <f t="shared" si="4"/>
        <v>#VALUE!</v>
      </c>
      <c r="S48" s="100" t="e">
        <f t="shared" si="8"/>
        <v>#VALUE!</v>
      </c>
      <c r="T48" s="100" t="e">
        <f t="shared" si="15"/>
        <v>#VALUE!</v>
      </c>
      <c r="U48" s="100" t="e">
        <f t="shared" si="18"/>
        <v>#VALUE!</v>
      </c>
      <c r="V48" s="100" t="e">
        <f t="shared" si="9"/>
        <v>#VALUE!</v>
      </c>
      <c r="W48" s="100" t="e">
        <f t="shared" si="17"/>
        <v>#VALUE!</v>
      </c>
      <c r="X48" s="100" t="e">
        <f t="shared" si="19"/>
        <v>#VALUE!</v>
      </c>
      <c r="Y48" s="99">
        <f t="shared" si="5"/>
        <v>0</v>
      </c>
    </row>
    <row r="49" spans="1:25" ht="15" customHeight="1" x14ac:dyDescent="0.2">
      <c r="A49" s="1047"/>
      <c r="B49" s="1048">
        <f>+B48-B47</f>
        <v>59</v>
      </c>
      <c r="C49" s="68"/>
      <c r="D49" s="68"/>
      <c r="E49" s="1047"/>
      <c r="F49" s="1450"/>
      <c r="G49" s="91">
        <f t="shared" si="10"/>
        <v>48</v>
      </c>
      <c r="H49" s="105">
        <f t="shared" si="6"/>
        <v>1430</v>
      </c>
      <c r="I49" s="93">
        <f t="shared" si="0"/>
        <v>0</v>
      </c>
      <c r="J49" s="106">
        <f t="shared" si="11"/>
        <v>0</v>
      </c>
      <c r="K49" s="106">
        <f t="shared" si="12"/>
        <v>0</v>
      </c>
      <c r="L49" s="95">
        <f t="shared" si="13"/>
        <v>48</v>
      </c>
      <c r="M49" s="96" t="e">
        <f t="shared" si="7"/>
        <v>#VALUE!</v>
      </c>
      <c r="N49" s="96" t="e">
        <f t="shared" si="1"/>
        <v>#VALUE!</v>
      </c>
      <c r="O49" s="96" t="e">
        <f t="shared" si="2"/>
        <v>#VALUE!</v>
      </c>
      <c r="P49" s="96" t="e">
        <f t="shared" si="3"/>
        <v>#VALUE!</v>
      </c>
      <c r="Q49" s="98">
        <f t="shared" si="14"/>
        <v>47</v>
      </c>
      <c r="R49" s="99" t="e">
        <f t="shared" si="4"/>
        <v>#VALUE!</v>
      </c>
      <c r="S49" s="100" t="e">
        <f t="shared" si="8"/>
        <v>#VALUE!</v>
      </c>
      <c r="T49" s="100" t="e">
        <f t="shared" si="15"/>
        <v>#VALUE!</v>
      </c>
      <c r="U49" s="100" t="e">
        <f t="shared" si="18"/>
        <v>#VALUE!</v>
      </c>
      <c r="V49" s="100" t="e">
        <f t="shared" si="9"/>
        <v>#VALUE!</v>
      </c>
      <c r="W49" s="100" t="e">
        <f t="shared" si="17"/>
        <v>#VALUE!</v>
      </c>
      <c r="X49" s="100" t="e">
        <f t="shared" si="19"/>
        <v>#VALUE!</v>
      </c>
      <c r="Y49" s="99">
        <f t="shared" si="5"/>
        <v>0</v>
      </c>
    </row>
    <row r="50" spans="1:25" x14ac:dyDescent="0.2">
      <c r="A50" s="1047"/>
      <c r="B50" s="1048">
        <f>+IF(B49&lt;=3,B48,B47)</f>
        <v>0</v>
      </c>
      <c r="C50" s="68"/>
      <c r="D50" s="68"/>
      <c r="E50" s="1047"/>
      <c r="F50" s="1450">
        <v>5</v>
      </c>
      <c r="G50" s="91">
        <f t="shared" si="10"/>
        <v>49</v>
      </c>
      <c r="H50" s="105">
        <f t="shared" si="6"/>
        <v>1461</v>
      </c>
      <c r="I50" s="93">
        <f t="shared" si="0"/>
        <v>0</v>
      </c>
      <c r="J50" s="106">
        <f t="shared" si="11"/>
        <v>0</v>
      </c>
      <c r="K50" s="106">
        <f t="shared" si="12"/>
        <v>0</v>
      </c>
      <c r="L50" s="95">
        <f t="shared" si="13"/>
        <v>49</v>
      </c>
      <c r="M50" s="96" t="e">
        <f t="shared" si="7"/>
        <v>#VALUE!</v>
      </c>
      <c r="N50" s="96" t="e">
        <f t="shared" si="1"/>
        <v>#VALUE!</v>
      </c>
      <c r="O50" s="96" t="e">
        <f t="shared" si="2"/>
        <v>#VALUE!</v>
      </c>
      <c r="P50" s="96" t="e">
        <f t="shared" si="3"/>
        <v>#VALUE!</v>
      </c>
      <c r="Q50" s="98">
        <f t="shared" si="14"/>
        <v>48</v>
      </c>
      <c r="R50" s="99" t="e">
        <f t="shared" si="4"/>
        <v>#VALUE!</v>
      </c>
      <c r="S50" s="100" t="e">
        <f t="shared" si="8"/>
        <v>#VALUE!</v>
      </c>
      <c r="T50" s="100" t="e">
        <f t="shared" si="15"/>
        <v>#VALUE!</v>
      </c>
      <c r="U50" s="100" t="e">
        <f t="shared" si="18"/>
        <v>#VALUE!</v>
      </c>
      <c r="V50" s="100" t="e">
        <f t="shared" si="9"/>
        <v>#VALUE!</v>
      </c>
      <c r="W50" s="100" t="e">
        <f t="shared" si="17"/>
        <v>#VALUE!</v>
      </c>
      <c r="X50" s="100" t="e">
        <f t="shared" si="19"/>
        <v>#VALUE!</v>
      </c>
      <c r="Y50" s="99">
        <f t="shared" si="5"/>
        <v>0</v>
      </c>
    </row>
    <row r="51" spans="1:25" x14ac:dyDescent="0.2">
      <c r="A51" s="68"/>
      <c r="B51" s="68"/>
      <c r="C51" s="68"/>
      <c r="D51" s="68"/>
      <c r="E51" s="1047"/>
      <c r="F51" s="1450"/>
      <c r="G51" s="91">
        <f t="shared" si="10"/>
        <v>50</v>
      </c>
      <c r="H51" s="105">
        <f t="shared" si="6"/>
        <v>1492</v>
      </c>
      <c r="I51" s="93">
        <f t="shared" si="0"/>
        <v>0</v>
      </c>
      <c r="J51" s="106">
        <f t="shared" si="11"/>
        <v>0</v>
      </c>
      <c r="K51" s="106">
        <f t="shared" si="12"/>
        <v>0</v>
      </c>
      <c r="L51" s="95">
        <f t="shared" si="13"/>
        <v>50</v>
      </c>
      <c r="M51" s="96" t="e">
        <f t="shared" si="7"/>
        <v>#VALUE!</v>
      </c>
      <c r="N51" s="96" t="e">
        <f t="shared" si="1"/>
        <v>#VALUE!</v>
      </c>
      <c r="O51" s="96" t="e">
        <f t="shared" si="2"/>
        <v>#VALUE!</v>
      </c>
      <c r="P51" s="96" t="e">
        <f t="shared" si="3"/>
        <v>#VALUE!</v>
      </c>
      <c r="Q51" s="98">
        <f t="shared" si="14"/>
        <v>49</v>
      </c>
      <c r="R51" s="99" t="e">
        <f t="shared" si="4"/>
        <v>#VALUE!</v>
      </c>
      <c r="S51" s="100" t="e">
        <f t="shared" si="8"/>
        <v>#VALUE!</v>
      </c>
      <c r="T51" s="100" t="e">
        <f t="shared" si="15"/>
        <v>#VALUE!</v>
      </c>
      <c r="U51" s="100" t="e">
        <f t="shared" si="18"/>
        <v>#VALUE!</v>
      </c>
      <c r="V51" s="100" t="e">
        <f t="shared" si="9"/>
        <v>#VALUE!</v>
      </c>
      <c r="W51" s="100" t="e">
        <f t="shared" si="17"/>
        <v>#VALUE!</v>
      </c>
      <c r="X51" s="100" t="e">
        <f t="shared" si="19"/>
        <v>#VALUE!</v>
      </c>
      <c r="Y51" s="99">
        <f t="shared" si="5"/>
        <v>0</v>
      </c>
    </row>
    <row r="52" spans="1:25" x14ac:dyDescent="0.2">
      <c r="A52" s="68"/>
      <c r="B52" s="68"/>
      <c r="C52" s="68"/>
      <c r="D52" s="68"/>
      <c r="E52" s="1047"/>
      <c r="F52" s="1450"/>
      <c r="G52" s="91">
        <f t="shared" si="10"/>
        <v>51</v>
      </c>
      <c r="H52" s="105">
        <f t="shared" si="6"/>
        <v>1521</v>
      </c>
      <c r="I52" s="93">
        <f t="shared" si="0"/>
        <v>0</v>
      </c>
      <c r="J52" s="106">
        <f t="shared" si="11"/>
        <v>0</v>
      </c>
      <c r="K52" s="106">
        <f t="shared" si="12"/>
        <v>0</v>
      </c>
      <c r="L52" s="95">
        <f t="shared" si="13"/>
        <v>51</v>
      </c>
      <c r="M52" s="96" t="e">
        <f t="shared" si="7"/>
        <v>#VALUE!</v>
      </c>
      <c r="N52" s="96" t="e">
        <f t="shared" si="1"/>
        <v>#VALUE!</v>
      </c>
      <c r="O52" s="96" t="e">
        <f t="shared" si="2"/>
        <v>#VALUE!</v>
      </c>
      <c r="P52" s="96" t="e">
        <f t="shared" si="3"/>
        <v>#VALUE!</v>
      </c>
      <c r="Q52" s="98">
        <f t="shared" si="14"/>
        <v>50</v>
      </c>
      <c r="R52" s="99" t="e">
        <f t="shared" si="4"/>
        <v>#VALUE!</v>
      </c>
      <c r="S52" s="100" t="e">
        <f t="shared" si="8"/>
        <v>#VALUE!</v>
      </c>
      <c r="T52" s="100" t="e">
        <f t="shared" si="15"/>
        <v>#VALUE!</v>
      </c>
      <c r="U52" s="100" t="e">
        <f t="shared" si="18"/>
        <v>#VALUE!</v>
      </c>
      <c r="V52" s="100" t="e">
        <f t="shared" si="9"/>
        <v>#VALUE!</v>
      </c>
      <c r="W52" s="100" t="e">
        <f t="shared" si="17"/>
        <v>#VALUE!</v>
      </c>
      <c r="X52" s="100" t="e">
        <f t="shared" si="19"/>
        <v>#VALUE!</v>
      </c>
      <c r="Y52" s="99">
        <f t="shared" si="5"/>
        <v>0</v>
      </c>
    </row>
    <row r="53" spans="1:25" x14ac:dyDescent="0.2">
      <c r="A53" s="68"/>
      <c r="B53" s="68"/>
      <c r="C53" s="68"/>
      <c r="D53" s="68"/>
      <c r="E53" s="1047"/>
      <c r="F53" s="1450"/>
      <c r="G53" s="91">
        <f t="shared" si="10"/>
        <v>52</v>
      </c>
      <c r="H53" s="105">
        <f t="shared" si="6"/>
        <v>1552</v>
      </c>
      <c r="I53" s="93">
        <f t="shared" si="0"/>
        <v>0</v>
      </c>
      <c r="J53" s="106">
        <f t="shared" si="11"/>
        <v>0</v>
      </c>
      <c r="K53" s="106">
        <f t="shared" si="12"/>
        <v>0</v>
      </c>
      <c r="L53" s="95">
        <f t="shared" si="13"/>
        <v>52</v>
      </c>
      <c r="M53" s="96" t="e">
        <f t="shared" si="7"/>
        <v>#VALUE!</v>
      </c>
      <c r="N53" s="96" t="e">
        <f t="shared" si="1"/>
        <v>#VALUE!</v>
      </c>
      <c r="O53" s="96" t="e">
        <f t="shared" si="2"/>
        <v>#VALUE!</v>
      </c>
      <c r="P53" s="96" t="e">
        <f t="shared" si="3"/>
        <v>#VALUE!</v>
      </c>
      <c r="Q53" s="98">
        <f t="shared" si="14"/>
        <v>51</v>
      </c>
      <c r="R53" s="99" t="e">
        <f t="shared" si="4"/>
        <v>#VALUE!</v>
      </c>
      <c r="S53" s="100" t="e">
        <f t="shared" si="8"/>
        <v>#VALUE!</v>
      </c>
      <c r="T53" s="100" t="e">
        <f t="shared" si="15"/>
        <v>#VALUE!</v>
      </c>
      <c r="U53" s="100" t="e">
        <f t="shared" si="18"/>
        <v>#VALUE!</v>
      </c>
      <c r="V53" s="100" t="e">
        <f t="shared" si="9"/>
        <v>#VALUE!</v>
      </c>
      <c r="W53" s="100" t="e">
        <f t="shared" si="17"/>
        <v>#VALUE!</v>
      </c>
      <c r="X53" s="100" t="e">
        <f t="shared" si="19"/>
        <v>#VALUE!</v>
      </c>
      <c r="Y53" s="99">
        <f t="shared" si="5"/>
        <v>0</v>
      </c>
    </row>
    <row r="54" spans="1:25" x14ac:dyDescent="0.2">
      <c r="A54" s="68"/>
      <c r="B54" s="68"/>
      <c r="C54" s="68"/>
      <c r="D54" s="68"/>
      <c r="E54" s="1047"/>
      <c r="F54" s="1450"/>
      <c r="G54" s="91">
        <f t="shared" si="10"/>
        <v>53</v>
      </c>
      <c r="H54" s="105">
        <f t="shared" si="6"/>
        <v>1582</v>
      </c>
      <c r="I54" s="93">
        <f t="shared" si="0"/>
        <v>0</v>
      </c>
      <c r="J54" s="106">
        <f t="shared" si="11"/>
        <v>0</v>
      </c>
      <c r="K54" s="106">
        <f t="shared" si="12"/>
        <v>0</v>
      </c>
      <c r="L54" s="95">
        <f t="shared" si="13"/>
        <v>53</v>
      </c>
      <c r="M54" s="96" t="e">
        <f t="shared" si="7"/>
        <v>#VALUE!</v>
      </c>
      <c r="N54" s="96" t="e">
        <f t="shared" si="1"/>
        <v>#VALUE!</v>
      </c>
      <c r="O54" s="96" t="e">
        <f t="shared" si="2"/>
        <v>#VALUE!</v>
      </c>
      <c r="P54" s="96" t="e">
        <f t="shared" si="3"/>
        <v>#VALUE!</v>
      </c>
      <c r="Q54" s="98">
        <f t="shared" si="14"/>
        <v>52</v>
      </c>
      <c r="R54" s="99" t="e">
        <f t="shared" si="4"/>
        <v>#VALUE!</v>
      </c>
      <c r="S54" s="100" t="e">
        <f t="shared" si="8"/>
        <v>#VALUE!</v>
      </c>
      <c r="T54" s="100" t="e">
        <f t="shared" si="15"/>
        <v>#VALUE!</v>
      </c>
      <c r="U54" s="100" t="e">
        <f t="shared" si="18"/>
        <v>#VALUE!</v>
      </c>
      <c r="V54" s="100" t="e">
        <f t="shared" si="9"/>
        <v>#VALUE!</v>
      </c>
      <c r="W54" s="100" t="e">
        <f t="shared" si="17"/>
        <v>#VALUE!</v>
      </c>
      <c r="X54" s="100" t="e">
        <f t="shared" si="19"/>
        <v>#VALUE!</v>
      </c>
      <c r="Y54" s="99">
        <f t="shared" si="5"/>
        <v>0</v>
      </c>
    </row>
    <row r="55" spans="1:25" x14ac:dyDescent="0.2">
      <c r="A55" s="68"/>
      <c r="B55" s="68"/>
      <c r="C55" s="68"/>
      <c r="D55" s="68"/>
      <c r="E55" s="1047"/>
      <c r="F55" s="1450"/>
      <c r="G55" s="91">
        <f t="shared" si="10"/>
        <v>54</v>
      </c>
      <c r="H55" s="105">
        <f t="shared" si="6"/>
        <v>1613</v>
      </c>
      <c r="I55" s="93">
        <f t="shared" si="0"/>
        <v>0</v>
      </c>
      <c r="J55" s="106">
        <f t="shared" si="11"/>
        <v>0</v>
      </c>
      <c r="K55" s="106">
        <f t="shared" si="12"/>
        <v>0</v>
      </c>
      <c r="L55" s="95">
        <f t="shared" si="13"/>
        <v>54</v>
      </c>
      <c r="M55" s="96" t="e">
        <f t="shared" si="7"/>
        <v>#VALUE!</v>
      </c>
      <c r="N55" s="96" t="e">
        <f t="shared" si="1"/>
        <v>#VALUE!</v>
      </c>
      <c r="O55" s="96" t="e">
        <f t="shared" si="2"/>
        <v>#VALUE!</v>
      </c>
      <c r="P55" s="96" t="e">
        <f t="shared" si="3"/>
        <v>#VALUE!</v>
      </c>
      <c r="Q55" s="98">
        <f t="shared" si="14"/>
        <v>53</v>
      </c>
      <c r="R55" s="99" t="e">
        <f t="shared" si="4"/>
        <v>#VALUE!</v>
      </c>
      <c r="S55" s="100" t="e">
        <f t="shared" si="8"/>
        <v>#VALUE!</v>
      </c>
      <c r="T55" s="100" t="e">
        <f t="shared" si="15"/>
        <v>#VALUE!</v>
      </c>
      <c r="U55" s="100" t="e">
        <f t="shared" si="18"/>
        <v>#VALUE!</v>
      </c>
      <c r="V55" s="100" t="e">
        <f t="shared" si="9"/>
        <v>#VALUE!</v>
      </c>
      <c r="W55" s="100" t="e">
        <f t="shared" si="17"/>
        <v>#VALUE!</v>
      </c>
      <c r="X55" s="100" t="e">
        <f t="shared" si="19"/>
        <v>#VALUE!</v>
      </c>
      <c r="Y55" s="99">
        <f t="shared" si="5"/>
        <v>0</v>
      </c>
    </row>
    <row r="56" spans="1:25" x14ac:dyDescent="0.2">
      <c r="A56" s="68"/>
      <c r="B56" s="68"/>
      <c r="C56" s="68"/>
      <c r="D56" s="68"/>
      <c r="E56" s="1047"/>
      <c r="F56" s="1450"/>
      <c r="G56" s="91">
        <f t="shared" si="10"/>
        <v>55</v>
      </c>
      <c r="H56" s="105">
        <f t="shared" si="6"/>
        <v>1643</v>
      </c>
      <c r="I56" s="93">
        <f t="shared" si="0"/>
        <v>0</v>
      </c>
      <c r="J56" s="106">
        <f t="shared" si="11"/>
        <v>0</v>
      </c>
      <c r="K56" s="106">
        <f t="shared" si="12"/>
        <v>0</v>
      </c>
      <c r="L56" s="95">
        <f t="shared" si="13"/>
        <v>55</v>
      </c>
      <c r="M56" s="96" t="e">
        <f t="shared" si="7"/>
        <v>#VALUE!</v>
      </c>
      <c r="N56" s="96" t="e">
        <f t="shared" si="1"/>
        <v>#VALUE!</v>
      </c>
      <c r="O56" s="96" t="e">
        <f t="shared" si="2"/>
        <v>#VALUE!</v>
      </c>
      <c r="P56" s="96" t="e">
        <f t="shared" si="3"/>
        <v>#VALUE!</v>
      </c>
      <c r="Q56" s="98">
        <f t="shared" si="14"/>
        <v>54</v>
      </c>
      <c r="R56" s="99" t="e">
        <f t="shared" si="4"/>
        <v>#VALUE!</v>
      </c>
      <c r="S56" s="100" t="e">
        <f t="shared" si="8"/>
        <v>#VALUE!</v>
      </c>
      <c r="T56" s="100" t="e">
        <f t="shared" si="15"/>
        <v>#VALUE!</v>
      </c>
      <c r="U56" s="100" t="e">
        <f t="shared" si="18"/>
        <v>#VALUE!</v>
      </c>
      <c r="V56" s="100" t="e">
        <f t="shared" si="9"/>
        <v>#VALUE!</v>
      </c>
      <c r="W56" s="100" t="e">
        <f t="shared" si="17"/>
        <v>#VALUE!</v>
      </c>
      <c r="X56" s="100" t="e">
        <f t="shared" si="19"/>
        <v>#VALUE!</v>
      </c>
      <c r="Y56" s="99">
        <f t="shared" si="5"/>
        <v>0</v>
      </c>
    </row>
    <row r="57" spans="1:25" x14ac:dyDescent="0.2">
      <c r="A57" s="68"/>
      <c r="B57" s="68"/>
      <c r="C57" s="68"/>
      <c r="D57" s="68"/>
      <c r="E57" s="1047"/>
      <c r="F57" s="1450"/>
      <c r="G57" s="91">
        <f t="shared" si="10"/>
        <v>56</v>
      </c>
      <c r="H57" s="105">
        <f t="shared" si="6"/>
        <v>1674</v>
      </c>
      <c r="I57" s="93">
        <f t="shared" si="0"/>
        <v>0</v>
      </c>
      <c r="J57" s="106">
        <f t="shared" si="11"/>
        <v>0</v>
      </c>
      <c r="K57" s="106">
        <f t="shared" si="12"/>
        <v>0</v>
      </c>
      <c r="L57" s="95">
        <f t="shared" si="13"/>
        <v>56</v>
      </c>
      <c r="M57" s="96" t="e">
        <f t="shared" si="7"/>
        <v>#VALUE!</v>
      </c>
      <c r="N57" s="96" t="e">
        <f t="shared" si="1"/>
        <v>#VALUE!</v>
      </c>
      <c r="O57" s="96" t="e">
        <f t="shared" si="2"/>
        <v>#VALUE!</v>
      </c>
      <c r="P57" s="96" t="e">
        <f t="shared" si="3"/>
        <v>#VALUE!</v>
      </c>
      <c r="Q57" s="98">
        <f t="shared" si="14"/>
        <v>55</v>
      </c>
      <c r="R57" s="99" t="e">
        <f t="shared" si="4"/>
        <v>#VALUE!</v>
      </c>
      <c r="S57" s="100" t="e">
        <f t="shared" si="8"/>
        <v>#VALUE!</v>
      </c>
      <c r="T57" s="100" t="e">
        <f t="shared" si="15"/>
        <v>#VALUE!</v>
      </c>
      <c r="U57" s="100" t="e">
        <f t="shared" si="18"/>
        <v>#VALUE!</v>
      </c>
      <c r="V57" s="100" t="e">
        <f t="shared" si="9"/>
        <v>#VALUE!</v>
      </c>
      <c r="W57" s="100" t="e">
        <f t="shared" si="17"/>
        <v>#VALUE!</v>
      </c>
      <c r="X57" s="100" t="e">
        <f t="shared" si="19"/>
        <v>#VALUE!</v>
      </c>
      <c r="Y57" s="99">
        <f t="shared" si="5"/>
        <v>0</v>
      </c>
    </row>
    <row r="58" spans="1:25" x14ac:dyDescent="0.2">
      <c r="A58" s="68"/>
      <c r="B58" s="68"/>
      <c r="C58" s="68"/>
      <c r="D58" s="68"/>
      <c r="E58" s="1047"/>
      <c r="F58" s="1450"/>
      <c r="G58" s="91">
        <f t="shared" si="10"/>
        <v>57</v>
      </c>
      <c r="H58" s="105">
        <f t="shared" si="6"/>
        <v>1705</v>
      </c>
      <c r="I58" s="93">
        <f t="shared" si="0"/>
        <v>0</v>
      </c>
      <c r="J58" s="106">
        <f t="shared" si="11"/>
        <v>0</v>
      </c>
      <c r="K58" s="106">
        <f t="shared" si="12"/>
        <v>0</v>
      </c>
      <c r="L58" s="95">
        <f t="shared" si="13"/>
        <v>57</v>
      </c>
      <c r="M58" s="96" t="e">
        <f t="shared" si="7"/>
        <v>#VALUE!</v>
      </c>
      <c r="N58" s="96" t="e">
        <f t="shared" si="1"/>
        <v>#VALUE!</v>
      </c>
      <c r="O58" s="96" t="e">
        <f t="shared" si="2"/>
        <v>#VALUE!</v>
      </c>
      <c r="P58" s="96" t="e">
        <f t="shared" si="3"/>
        <v>#VALUE!</v>
      </c>
      <c r="Q58" s="98">
        <f t="shared" si="14"/>
        <v>56</v>
      </c>
      <c r="R58" s="99" t="e">
        <f t="shared" si="4"/>
        <v>#VALUE!</v>
      </c>
      <c r="S58" s="100" t="e">
        <f t="shared" si="8"/>
        <v>#VALUE!</v>
      </c>
      <c r="T58" s="100" t="e">
        <f t="shared" si="15"/>
        <v>#VALUE!</v>
      </c>
      <c r="U58" s="100" t="e">
        <f t="shared" si="18"/>
        <v>#VALUE!</v>
      </c>
      <c r="V58" s="100" t="e">
        <f t="shared" si="9"/>
        <v>#VALUE!</v>
      </c>
      <c r="W58" s="100" t="e">
        <f t="shared" si="17"/>
        <v>#VALUE!</v>
      </c>
      <c r="X58" s="100" t="e">
        <f t="shared" si="19"/>
        <v>#VALUE!</v>
      </c>
      <c r="Y58" s="99">
        <f t="shared" si="5"/>
        <v>0</v>
      </c>
    </row>
    <row r="59" spans="1:25" x14ac:dyDescent="0.2">
      <c r="A59" s="68"/>
      <c r="B59" s="68"/>
      <c r="C59" s="68"/>
      <c r="D59" s="68"/>
      <c r="E59" s="1047"/>
      <c r="F59" s="1450"/>
      <c r="G59" s="91">
        <f t="shared" si="10"/>
        <v>58</v>
      </c>
      <c r="H59" s="105">
        <f t="shared" si="6"/>
        <v>1735</v>
      </c>
      <c r="I59" s="93">
        <f t="shared" si="0"/>
        <v>0</v>
      </c>
      <c r="J59" s="106">
        <f t="shared" si="11"/>
        <v>0</v>
      </c>
      <c r="K59" s="106">
        <f t="shared" si="12"/>
        <v>0</v>
      </c>
      <c r="L59" s="95">
        <f t="shared" si="13"/>
        <v>58</v>
      </c>
      <c r="M59" s="96" t="e">
        <f t="shared" si="7"/>
        <v>#VALUE!</v>
      </c>
      <c r="N59" s="96" t="e">
        <f t="shared" si="1"/>
        <v>#VALUE!</v>
      </c>
      <c r="O59" s="96" t="e">
        <f t="shared" si="2"/>
        <v>#VALUE!</v>
      </c>
      <c r="P59" s="96" t="e">
        <f t="shared" si="3"/>
        <v>#VALUE!</v>
      </c>
      <c r="Q59" s="98">
        <f t="shared" si="14"/>
        <v>57</v>
      </c>
      <c r="R59" s="99" t="e">
        <f t="shared" si="4"/>
        <v>#VALUE!</v>
      </c>
      <c r="S59" s="100" t="e">
        <f t="shared" si="8"/>
        <v>#VALUE!</v>
      </c>
      <c r="T59" s="100" t="e">
        <f t="shared" si="15"/>
        <v>#VALUE!</v>
      </c>
      <c r="U59" s="100" t="e">
        <f t="shared" si="18"/>
        <v>#VALUE!</v>
      </c>
      <c r="V59" s="100" t="e">
        <f t="shared" si="9"/>
        <v>#VALUE!</v>
      </c>
      <c r="W59" s="100" t="e">
        <f t="shared" si="17"/>
        <v>#VALUE!</v>
      </c>
      <c r="X59" s="100" t="e">
        <f t="shared" si="19"/>
        <v>#VALUE!</v>
      </c>
      <c r="Y59" s="99">
        <f t="shared" si="5"/>
        <v>0</v>
      </c>
    </row>
    <row r="60" spans="1:25" x14ac:dyDescent="0.2">
      <c r="A60" s="68"/>
      <c r="B60" s="68"/>
      <c r="C60" s="68"/>
      <c r="D60" s="68"/>
      <c r="E60" s="1047"/>
      <c r="F60" s="1450"/>
      <c r="G60" s="91">
        <f t="shared" si="10"/>
        <v>59</v>
      </c>
      <c r="H60" s="105">
        <f t="shared" si="6"/>
        <v>1766</v>
      </c>
      <c r="I60" s="93">
        <f t="shared" si="0"/>
        <v>0</v>
      </c>
      <c r="J60" s="106">
        <f t="shared" si="11"/>
        <v>0</v>
      </c>
      <c r="K60" s="106">
        <f t="shared" si="12"/>
        <v>0</v>
      </c>
      <c r="L60" s="95">
        <f t="shared" si="13"/>
        <v>59</v>
      </c>
      <c r="M60" s="96" t="e">
        <f t="shared" si="7"/>
        <v>#VALUE!</v>
      </c>
      <c r="N60" s="96" t="e">
        <f t="shared" si="1"/>
        <v>#VALUE!</v>
      </c>
      <c r="O60" s="96" t="e">
        <f t="shared" si="2"/>
        <v>#VALUE!</v>
      </c>
      <c r="P60" s="96" t="e">
        <f t="shared" si="3"/>
        <v>#VALUE!</v>
      </c>
      <c r="Q60" s="98">
        <f t="shared" si="14"/>
        <v>58</v>
      </c>
      <c r="R60" s="99" t="e">
        <f t="shared" si="4"/>
        <v>#VALUE!</v>
      </c>
      <c r="S60" s="100" t="e">
        <f t="shared" si="8"/>
        <v>#VALUE!</v>
      </c>
      <c r="T60" s="100" t="e">
        <f t="shared" si="15"/>
        <v>#VALUE!</v>
      </c>
      <c r="U60" s="100" t="e">
        <f t="shared" si="18"/>
        <v>#VALUE!</v>
      </c>
      <c r="V60" s="100" t="e">
        <f t="shared" si="9"/>
        <v>#VALUE!</v>
      </c>
      <c r="W60" s="100" t="e">
        <f t="shared" si="17"/>
        <v>#VALUE!</v>
      </c>
      <c r="X60" s="100" t="e">
        <f t="shared" si="19"/>
        <v>#VALUE!</v>
      </c>
      <c r="Y60" s="99">
        <f t="shared" si="5"/>
        <v>0</v>
      </c>
    </row>
    <row r="61" spans="1:25" x14ac:dyDescent="0.2">
      <c r="A61" s="68"/>
      <c r="B61" s="68"/>
      <c r="C61" s="68"/>
      <c r="D61" s="68"/>
      <c r="E61" s="1047"/>
      <c r="F61" s="1450"/>
      <c r="G61" s="91">
        <f t="shared" si="10"/>
        <v>60</v>
      </c>
      <c r="H61" s="105">
        <f t="shared" si="6"/>
        <v>1796</v>
      </c>
      <c r="I61" s="93">
        <f t="shared" si="0"/>
        <v>0</v>
      </c>
      <c r="J61" s="106">
        <f t="shared" si="11"/>
        <v>0</v>
      </c>
      <c r="K61" s="106">
        <f t="shared" si="12"/>
        <v>0</v>
      </c>
      <c r="L61" s="95">
        <f t="shared" si="13"/>
        <v>60</v>
      </c>
      <c r="M61" s="96" t="e">
        <f t="shared" si="7"/>
        <v>#VALUE!</v>
      </c>
      <c r="N61" s="96" t="e">
        <f t="shared" si="1"/>
        <v>#VALUE!</v>
      </c>
      <c r="O61" s="96" t="e">
        <f t="shared" si="2"/>
        <v>#VALUE!</v>
      </c>
      <c r="P61" s="96" t="e">
        <f t="shared" si="3"/>
        <v>#VALUE!</v>
      </c>
      <c r="Q61" s="98">
        <f t="shared" si="14"/>
        <v>59</v>
      </c>
      <c r="R61" s="99" t="e">
        <f t="shared" si="4"/>
        <v>#VALUE!</v>
      </c>
      <c r="S61" s="100" t="e">
        <f t="shared" si="8"/>
        <v>#VALUE!</v>
      </c>
      <c r="T61" s="100" t="e">
        <f t="shared" si="15"/>
        <v>#VALUE!</v>
      </c>
      <c r="U61" s="100" t="e">
        <f t="shared" si="18"/>
        <v>#VALUE!</v>
      </c>
      <c r="V61" s="100" t="e">
        <f t="shared" si="9"/>
        <v>#VALUE!</v>
      </c>
      <c r="W61" s="100" t="e">
        <f t="shared" si="17"/>
        <v>#VALUE!</v>
      </c>
      <c r="X61" s="100" t="e">
        <f t="shared" si="19"/>
        <v>#VALUE!</v>
      </c>
      <c r="Y61" s="99">
        <f t="shared" si="5"/>
        <v>0</v>
      </c>
    </row>
    <row r="62" spans="1:25" x14ac:dyDescent="0.2">
      <c r="A62" s="68"/>
      <c r="B62" s="68"/>
      <c r="C62" s="68"/>
      <c r="D62" s="68"/>
      <c r="E62" s="1047"/>
      <c r="F62" s="1450">
        <v>6</v>
      </c>
      <c r="G62" s="91">
        <f t="shared" si="10"/>
        <v>61</v>
      </c>
      <c r="H62" s="105">
        <f t="shared" si="6"/>
        <v>1827</v>
      </c>
      <c r="I62" s="93">
        <f t="shared" si="0"/>
        <v>0</v>
      </c>
      <c r="J62" s="106">
        <f t="shared" si="11"/>
        <v>0</v>
      </c>
      <c r="K62" s="106">
        <f t="shared" si="12"/>
        <v>0</v>
      </c>
      <c r="L62" s="95">
        <f t="shared" si="13"/>
        <v>61</v>
      </c>
      <c r="M62" s="96" t="e">
        <f t="shared" si="7"/>
        <v>#VALUE!</v>
      </c>
      <c r="N62" s="96" t="e">
        <f t="shared" si="1"/>
        <v>#VALUE!</v>
      </c>
      <c r="O62" s="96" t="e">
        <f t="shared" si="2"/>
        <v>#VALUE!</v>
      </c>
      <c r="P62" s="96" t="e">
        <f t="shared" si="3"/>
        <v>#VALUE!</v>
      </c>
      <c r="Q62" s="98">
        <f t="shared" si="14"/>
        <v>60</v>
      </c>
      <c r="R62" s="99" t="e">
        <f t="shared" si="4"/>
        <v>#VALUE!</v>
      </c>
      <c r="S62" s="100" t="e">
        <f t="shared" si="8"/>
        <v>#VALUE!</v>
      </c>
      <c r="T62" s="100" t="e">
        <f t="shared" si="15"/>
        <v>#VALUE!</v>
      </c>
      <c r="U62" s="100" t="e">
        <f t="shared" si="18"/>
        <v>#VALUE!</v>
      </c>
      <c r="V62" s="100" t="e">
        <f t="shared" si="9"/>
        <v>#VALUE!</v>
      </c>
      <c r="W62" s="100" t="e">
        <f t="shared" si="17"/>
        <v>#VALUE!</v>
      </c>
      <c r="X62" s="100" t="e">
        <f t="shared" si="19"/>
        <v>#VALUE!</v>
      </c>
      <c r="Y62" s="99">
        <f t="shared" si="5"/>
        <v>0</v>
      </c>
    </row>
    <row r="63" spans="1:25" x14ac:dyDescent="0.2">
      <c r="A63" s="68"/>
      <c r="B63" s="68"/>
      <c r="C63" s="68"/>
      <c r="D63" s="68"/>
      <c r="E63" s="1047"/>
      <c r="F63" s="1450"/>
      <c r="G63" s="91">
        <f t="shared" si="10"/>
        <v>62</v>
      </c>
      <c r="H63" s="105">
        <f t="shared" si="6"/>
        <v>1858</v>
      </c>
      <c r="I63" s="93">
        <f t="shared" si="0"/>
        <v>0</v>
      </c>
      <c r="J63" s="106">
        <f t="shared" si="11"/>
        <v>0</v>
      </c>
      <c r="K63" s="106">
        <f t="shared" si="12"/>
        <v>0</v>
      </c>
      <c r="L63" s="95">
        <f t="shared" si="13"/>
        <v>62</v>
      </c>
      <c r="M63" s="96" t="e">
        <f t="shared" si="7"/>
        <v>#VALUE!</v>
      </c>
      <c r="N63" s="96" t="e">
        <f t="shared" si="1"/>
        <v>#VALUE!</v>
      </c>
      <c r="O63" s="96" t="e">
        <f t="shared" si="2"/>
        <v>#VALUE!</v>
      </c>
      <c r="P63" s="96" t="e">
        <f t="shared" si="3"/>
        <v>#VALUE!</v>
      </c>
      <c r="Q63" s="98">
        <f t="shared" si="14"/>
        <v>61</v>
      </c>
      <c r="R63" s="99" t="e">
        <f t="shared" si="4"/>
        <v>#VALUE!</v>
      </c>
      <c r="S63" s="100" t="e">
        <f t="shared" si="8"/>
        <v>#VALUE!</v>
      </c>
      <c r="T63" s="100" t="e">
        <f t="shared" si="15"/>
        <v>#VALUE!</v>
      </c>
      <c r="U63" s="100" t="e">
        <f t="shared" si="18"/>
        <v>#VALUE!</v>
      </c>
      <c r="V63" s="100" t="e">
        <f t="shared" si="9"/>
        <v>#VALUE!</v>
      </c>
      <c r="W63" s="100" t="e">
        <f t="shared" si="17"/>
        <v>#VALUE!</v>
      </c>
      <c r="X63" s="100" t="e">
        <f t="shared" si="19"/>
        <v>#VALUE!</v>
      </c>
      <c r="Y63" s="99">
        <f t="shared" si="5"/>
        <v>0</v>
      </c>
    </row>
    <row r="64" spans="1:25" x14ac:dyDescent="0.2">
      <c r="A64" s="68"/>
      <c r="B64" s="68"/>
      <c r="C64" s="68"/>
      <c r="D64" s="68"/>
      <c r="E64" s="1047"/>
      <c r="F64" s="1450"/>
      <c r="G64" s="91">
        <f t="shared" si="10"/>
        <v>63</v>
      </c>
      <c r="H64" s="105">
        <f t="shared" si="6"/>
        <v>1886</v>
      </c>
      <c r="I64" s="93">
        <f t="shared" si="0"/>
        <v>0</v>
      </c>
      <c r="J64" s="106">
        <f t="shared" si="11"/>
        <v>0</v>
      </c>
      <c r="K64" s="106">
        <f t="shared" si="12"/>
        <v>0</v>
      </c>
      <c r="L64" s="95">
        <f t="shared" si="13"/>
        <v>63</v>
      </c>
      <c r="M64" s="96" t="e">
        <f t="shared" si="7"/>
        <v>#VALUE!</v>
      </c>
      <c r="N64" s="96" t="e">
        <f t="shared" si="1"/>
        <v>#VALUE!</v>
      </c>
      <c r="O64" s="96" t="e">
        <f t="shared" si="2"/>
        <v>#VALUE!</v>
      </c>
      <c r="P64" s="96" t="e">
        <f t="shared" si="3"/>
        <v>#VALUE!</v>
      </c>
      <c r="Q64" s="98">
        <f t="shared" si="14"/>
        <v>62</v>
      </c>
      <c r="R64" s="99" t="e">
        <f t="shared" si="4"/>
        <v>#VALUE!</v>
      </c>
      <c r="S64" s="100" t="e">
        <f t="shared" si="8"/>
        <v>#VALUE!</v>
      </c>
      <c r="T64" s="100" t="e">
        <f t="shared" si="15"/>
        <v>#VALUE!</v>
      </c>
      <c r="U64" s="100" t="e">
        <f t="shared" si="18"/>
        <v>#VALUE!</v>
      </c>
      <c r="V64" s="100" t="e">
        <f t="shared" si="9"/>
        <v>#VALUE!</v>
      </c>
      <c r="W64" s="100" t="e">
        <f t="shared" si="17"/>
        <v>#VALUE!</v>
      </c>
      <c r="X64" s="100" t="e">
        <f t="shared" si="19"/>
        <v>#VALUE!</v>
      </c>
      <c r="Y64" s="99">
        <f t="shared" si="5"/>
        <v>0</v>
      </c>
    </row>
    <row r="65" spans="1:25" x14ac:dyDescent="0.2">
      <c r="A65" s="68"/>
      <c r="B65" s="68"/>
      <c r="C65" s="68"/>
      <c r="D65" s="68"/>
      <c r="E65" s="1047"/>
      <c r="F65" s="1450"/>
      <c r="G65" s="91">
        <f t="shared" si="10"/>
        <v>64</v>
      </c>
      <c r="H65" s="105">
        <f t="shared" si="6"/>
        <v>1917</v>
      </c>
      <c r="I65" s="93">
        <f t="shared" si="0"/>
        <v>0</v>
      </c>
      <c r="J65" s="106">
        <f t="shared" si="11"/>
        <v>0</v>
      </c>
      <c r="K65" s="106">
        <f t="shared" si="12"/>
        <v>0</v>
      </c>
      <c r="L65" s="95">
        <f t="shared" si="13"/>
        <v>64</v>
      </c>
      <c r="M65" s="96" t="e">
        <f t="shared" si="7"/>
        <v>#VALUE!</v>
      </c>
      <c r="N65" s="96" t="e">
        <f t="shared" si="1"/>
        <v>#VALUE!</v>
      </c>
      <c r="O65" s="96" t="e">
        <f t="shared" si="2"/>
        <v>#VALUE!</v>
      </c>
      <c r="P65" s="96" t="e">
        <f t="shared" si="3"/>
        <v>#VALUE!</v>
      </c>
      <c r="Q65" s="98">
        <f t="shared" si="14"/>
        <v>63</v>
      </c>
      <c r="R65" s="99" t="e">
        <f t="shared" si="4"/>
        <v>#VALUE!</v>
      </c>
      <c r="S65" s="100" t="e">
        <f t="shared" si="8"/>
        <v>#VALUE!</v>
      </c>
      <c r="T65" s="100" t="e">
        <f t="shared" si="15"/>
        <v>#VALUE!</v>
      </c>
      <c r="U65" s="100" t="e">
        <f t="shared" si="18"/>
        <v>#VALUE!</v>
      </c>
      <c r="V65" s="100" t="e">
        <f t="shared" si="9"/>
        <v>#VALUE!</v>
      </c>
      <c r="W65" s="100" t="e">
        <f t="shared" si="17"/>
        <v>#VALUE!</v>
      </c>
      <c r="X65" s="100" t="e">
        <f t="shared" si="19"/>
        <v>#VALUE!</v>
      </c>
      <c r="Y65" s="99">
        <f t="shared" si="5"/>
        <v>0</v>
      </c>
    </row>
    <row r="66" spans="1:25" x14ac:dyDescent="0.2">
      <c r="A66" s="68"/>
      <c r="B66" s="68"/>
      <c r="C66" s="68"/>
      <c r="D66" s="68"/>
      <c r="E66" s="1047"/>
      <c r="F66" s="1450"/>
      <c r="G66" s="91">
        <f t="shared" si="10"/>
        <v>65</v>
      </c>
      <c r="H66" s="105">
        <f t="shared" si="6"/>
        <v>1947</v>
      </c>
      <c r="I66" s="93">
        <f t="shared" ref="I66:I129" si="20">IFERROR(VLOOKUP(H66,torlesztesek,2,FALSE),0)</f>
        <v>0</v>
      </c>
      <c r="J66" s="106">
        <f t="shared" si="11"/>
        <v>0</v>
      </c>
      <c r="K66" s="106">
        <f t="shared" si="12"/>
        <v>0</v>
      </c>
      <c r="L66" s="95">
        <f t="shared" si="13"/>
        <v>65</v>
      </c>
      <c r="M66" s="96" t="e">
        <f t="shared" ref="M66:M129" si="21">IF(honap_periodus_kamat=1,S66,IF(honap_periodus_kamat=3,T66,U66))*IF(R66=0,1,)</f>
        <v>#VALUE!</v>
      </c>
      <c r="N66" s="96" t="e">
        <f t="shared" ref="N66:N129" si="22">IF(honap_periodus_kamat=1,V66,IF(honap_periodus_kamat=3,W66,X66))*IF(R66=0,1,)</f>
        <v>#VALUE!</v>
      </c>
      <c r="O66" s="96" t="e">
        <f t="shared" ref="O66:O129" si="23">M66-N66</f>
        <v>#VALUE!</v>
      </c>
      <c r="P66" s="96" t="e">
        <f t="shared" ref="P66:P129" si="24">O66/((1+i_eu/12)^(G66-1))</f>
        <v>#VALUE!</v>
      </c>
      <c r="Q66" s="98">
        <f t="shared" si="14"/>
        <v>64</v>
      </c>
      <c r="R66" s="99" t="e">
        <f t="shared" ref="R66:R129" si="25">MOD(Utolso_torl_honap-G66,honap_periodus_kamat)</f>
        <v>#VALUE!</v>
      </c>
      <c r="S66" s="100" t="e">
        <f t="shared" si="8"/>
        <v>#VALUE!</v>
      </c>
      <c r="T66" s="100" t="e">
        <f t="shared" si="15"/>
        <v>#VALUE!</v>
      </c>
      <c r="U66" s="100" t="e">
        <f t="shared" si="18"/>
        <v>#VALUE!</v>
      </c>
      <c r="V66" s="100" t="e">
        <f t="shared" si="9"/>
        <v>#VALUE!</v>
      </c>
      <c r="W66" s="100" t="e">
        <f t="shared" si="17"/>
        <v>#VALUE!</v>
      </c>
      <c r="X66" s="100" t="e">
        <f t="shared" si="19"/>
        <v>#VALUE!</v>
      </c>
      <c r="Y66" s="99">
        <f t="shared" ref="Y66:Y129" si="26">ROUND(I66,0)</f>
        <v>0</v>
      </c>
    </row>
    <row r="67" spans="1:25" x14ac:dyDescent="0.2">
      <c r="A67" s="68"/>
      <c r="B67" s="68"/>
      <c r="C67" s="68"/>
      <c r="D67" s="68"/>
      <c r="E67" s="1047"/>
      <c r="F67" s="1450"/>
      <c r="G67" s="91">
        <f t="shared" si="10"/>
        <v>66</v>
      </c>
      <c r="H67" s="105">
        <f t="shared" ref="H67:H130" si="27">IF(hovege,EOMONTH(ElsoHonapVege,G66),EDATE(ElsoHonapVege,G66))</f>
        <v>1978</v>
      </c>
      <c r="I67" s="93">
        <f t="shared" si="20"/>
        <v>0</v>
      </c>
      <c r="J67" s="106">
        <f t="shared" si="11"/>
        <v>0</v>
      </c>
      <c r="K67" s="106">
        <f t="shared" si="12"/>
        <v>0</v>
      </c>
      <c r="L67" s="95">
        <f t="shared" si="13"/>
        <v>66</v>
      </c>
      <c r="M67" s="96" t="e">
        <f t="shared" si="21"/>
        <v>#VALUE!</v>
      </c>
      <c r="N67" s="96" t="e">
        <f t="shared" si="22"/>
        <v>#VALUE!</v>
      </c>
      <c r="O67" s="96" t="e">
        <f t="shared" si="23"/>
        <v>#VALUE!</v>
      </c>
      <c r="P67" s="96" t="e">
        <f t="shared" si="24"/>
        <v>#VALUE!</v>
      </c>
      <c r="Q67" s="98">
        <f t="shared" si="14"/>
        <v>65</v>
      </c>
      <c r="R67" s="99" t="e">
        <f t="shared" si="25"/>
        <v>#VALUE!</v>
      </c>
      <c r="S67" s="100" t="e">
        <f t="shared" ref="S67:S130" si="28">(J67*r_ref)/12</f>
        <v>#VALUE!</v>
      </c>
      <c r="T67" s="100" t="e">
        <f t="shared" si="15"/>
        <v>#VALUE!</v>
      </c>
      <c r="U67" s="100" t="e">
        <f t="shared" si="18"/>
        <v>#VALUE!</v>
      </c>
      <c r="V67" s="100" t="e">
        <f t="shared" ref="V67:V130" si="29">(J67*r_k)/12</f>
        <v>#VALUE!</v>
      </c>
      <c r="W67" s="100" t="e">
        <f t="shared" si="17"/>
        <v>#VALUE!</v>
      </c>
      <c r="X67" s="100" t="e">
        <f t="shared" si="19"/>
        <v>#VALUE!</v>
      </c>
      <c r="Y67" s="99">
        <f t="shared" si="26"/>
        <v>0</v>
      </c>
    </row>
    <row r="68" spans="1:25" x14ac:dyDescent="0.2">
      <c r="A68" s="68"/>
      <c r="B68" s="68"/>
      <c r="C68" s="68"/>
      <c r="D68" s="68"/>
      <c r="E68" s="1047"/>
      <c r="F68" s="1450"/>
      <c r="G68" s="91">
        <f t="shared" ref="G68:G131" si="30">G67+1</f>
        <v>67</v>
      </c>
      <c r="H68" s="105">
        <f t="shared" si="27"/>
        <v>2008</v>
      </c>
      <c r="I68" s="93">
        <f t="shared" si="20"/>
        <v>0</v>
      </c>
      <c r="J68" s="106">
        <f t="shared" ref="J68:J131" si="31">+ROUND(J67-I67,100)</f>
        <v>0</v>
      </c>
      <c r="K68" s="106">
        <f t="shared" ref="K68:K131" si="32">+SIGN(ROUND(J68,0))</f>
        <v>0</v>
      </c>
      <c r="L68" s="95">
        <f t="shared" ref="L68:L131" si="33">L67+1</f>
        <v>67</v>
      </c>
      <c r="M68" s="96" t="e">
        <f t="shared" si="21"/>
        <v>#VALUE!</v>
      </c>
      <c r="N68" s="96" t="e">
        <f t="shared" si="22"/>
        <v>#VALUE!</v>
      </c>
      <c r="O68" s="96" t="e">
        <f t="shared" si="23"/>
        <v>#VALUE!</v>
      </c>
      <c r="P68" s="96" t="e">
        <f t="shared" si="24"/>
        <v>#VALUE!</v>
      </c>
      <c r="Q68" s="98">
        <f t="shared" ref="Q68:Q131" si="34">Q67+1</f>
        <v>66</v>
      </c>
      <c r="R68" s="99" t="e">
        <f t="shared" si="25"/>
        <v>#VALUE!</v>
      </c>
      <c r="S68" s="100" t="e">
        <f t="shared" si="28"/>
        <v>#VALUE!</v>
      </c>
      <c r="T68" s="100" t="e">
        <f t="shared" si="15"/>
        <v>#VALUE!</v>
      </c>
      <c r="U68" s="100" t="e">
        <f t="shared" si="18"/>
        <v>#VALUE!</v>
      </c>
      <c r="V68" s="100" t="e">
        <f t="shared" si="29"/>
        <v>#VALUE!</v>
      </c>
      <c r="W68" s="100" t="e">
        <f t="shared" si="17"/>
        <v>#VALUE!</v>
      </c>
      <c r="X68" s="100" t="e">
        <f t="shared" si="19"/>
        <v>#VALUE!</v>
      </c>
      <c r="Y68" s="99">
        <f t="shared" si="26"/>
        <v>0</v>
      </c>
    </row>
    <row r="69" spans="1:25" x14ac:dyDescent="0.2">
      <c r="A69" s="68"/>
      <c r="B69" s="68"/>
      <c r="C69" s="68"/>
      <c r="D69" s="68"/>
      <c r="E69" s="1047"/>
      <c r="F69" s="1450"/>
      <c r="G69" s="91">
        <f t="shared" si="30"/>
        <v>68</v>
      </c>
      <c r="H69" s="105">
        <f t="shared" si="27"/>
        <v>2039</v>
      </c>
      <c r="I69" s="93">
        <f t="shared" si="20"/>
        <v>0</v>
      </c>
      <c r="J69" s="106">
        <f t="shared" si="31"/>
        <v>0</v>
      </c>
      <c r="K69" s="106">
        <f t="shared" si="32"/>
        <v>0</v>
      </c>
      <c r="L69" s="95">
        <f t="shared" si="33"/>
        <v>68</v>
      </c>
      <c r="M69" s="96" t="e">
        <f t="shared" si="21"/>
        <v>#VALUE!</v>
      </c>
      <c r="N69" s="96" t="e">
        <f t="shared" si="22"/>
        <v>#VALUE!</v>
      </c>
      <c r="O69" s="96" t="e">
        <f t="shared" si="23"/>
        <v>#VALUE!</v>
      </c>
      <c r="P69" s="96" t="e">
        <f t="shared" si="24"/>
        <v>#VALUE!</v>
      </c>
      <c r="Q69" s="98">
        <f t="shared" si="34"/>
        <v>67</v>
      </c>
      <c r="R69" s="99" t="e">
        <f t="shared" si="25"/>
        <v>#VALUE!</v>
      </c>
      <c r="S69" s="100" t="e">
        <f t="shared" si="28"/>
        <v>#VALUE!</v>
      </c>
      <c r="T69" s="100" t="e">
        <f t="shared" ref="T69:T132" si="35">SUM(S67:S69)</f>
        <v>#VALUE!</v>
      </c>
      <c r="U69" s="100" t="e">
        <f t="shared" si="18"/>
        <v>#VALUE!</v>
      </c>
      <c r="V69" s="100" t="e">
        <f t="shared" si="29"/>
        <v>#VALUE!</v>
      </c>
      <c r="W69" s="100" t="e">
        <f t="shared" ref="W69:W132" si="36">SUM(V67:V69)</f>
        <v>#VALUE!</v>
      </c>
      <c r="X69" s="100" t="e">
        <f t="shared" si="19"/>
        <v>#VALUE!</v>
      </c>
      <c r="Y69" s="99">
        <f t="shared" si="26"/>
        <v>0</v>
      </c>
    </row>
    <row r="70" spans="1:25" x14ac:dyDescent="0.2">
      <c r="A70" s="68"/>
      <c r="B70" s="68"/>
      <c r="C70" s="68"/>
      <c r="D70" s="68"/>
      <c r="E70" s="1047"/>
      <c r="F70" s="1450"/>
      <c r="G70" s="91">
        <f t="shared" si="30"/>
        <v>69</v>
      </c>
      <c r="H70" s="105">
        <f t="shared" si="27"/>
        <v>2070</v>
      </c>
      <c r="I70" s="93">
        <f t="shared" si="20"/>
        <v>0</v>
      </c>
      <c r="J70" s="106">
        <f t="shared" si="31"/>
        <v>0</v>
      </c>
      <c r="K70" s="106">
        <f t="shared" si="32"/>
        <v>0</v>
      </c>
      <c r="L70" s="95">
        <f t="shared" si="33"/>
        <v>69</v>
      </c>
      <c r="M70" s="96" t="e">
        <f t="shared" si="21"/>
        <v>#VALUE!</v>
      </c>
      <c r="N70" s="96" t="e">
        <f t="shared" si="22"/>
        <v>#VALUE!</v>
      </c>
      <c r="O70" s="96" t="e">
        <f t="shared" si="23"/>
        <v>#VALUE!</v>
      </c>
      <c r="P70" s="96" t="e">
        <f t="shared" si="24"/>
        <v>#VALUE!</v>
      </c>
      <c r="Q70" s="98">
        <f t="shared" si="34"/>
        <v>68</v>
      </c>
      <c r="R70" s="99" t="e">
        <f t="shared" si="25"/>
        <v>#VALUE!</v>
      </c>
      <c r="S70" s="100" t="e">
        <f t="shared" si="28"/>
        <v>#VALUE!</v>
      </c>
      <c r="T70" s="100" t="e">
        <f t="shared" si="35"/>
        <v>#VALUE!</v>
      </c>
      <c r="U70" s="100" t="e">
        <f t="shared" si="18"/>
        <v>#VALUE!</v>
      </c>
      <c r="V70" s="100" t="e">
        <f t="shared" si="29"/>
        <v>#VALUE!</v>
      </c>
      <c r="W70" s="100" t="e">
        <f t="shared" si="36"/>
        <v>#VALUE!</v>
      </c>
      <c r="X70" s="100" t="e">
        <f t="shared" si="19"/>
        <v>#VALUE!</v>
      </c>
      <c r="Y70" s="99">
        <f t="shared" si="26"/>
        <v>0</v>
      </c>
    </row>
    <row r="71" spans="1:25" x14ac:dyDescent="0.2">
      <c r="A71" s="68"/>
      <c r="B71" s="68"/>
      <c r="C71" s="68"/>
      <c r="D71" s="68"/>
      <c r="E71" s="1047"/>
      <c r="F71" s="1450"/>
      <c r="G71" s="91">
        <f t="shared" si="30"/>
        <v>70</v>
      </c>
      <c r="H71" s="105">
        <f t="shared" si="27"/>
        <v>2100</v>
      </c>
      <c r="I71" s="93">
        <f t="shared" si="20"/>
        <v>0</v>
      </c>
      <c r="J71" s="106">
        <f t="shared" si="31"/>
        <v>0</v>
      </c>
      <c r="K71" s="106">
        <f t="shared" si="32"/>
        <v>0</v>
      </c>
      <c r="L71" s="95">
        <f t="shared" si="33"/>
        <v>70</v>
      </c>
      <c r="M71" s="96" t="e">
        <f t="shared" si="21"/>
        <v>#VALUE!</v>
      </c>
      <c r="N71" s="96" t="e">
        <f t="shared" si="22"/>
        <v>#VALUE!</v>
      </c>
      <c r="O71" s="96" t="e">
        <f t="shared" si="23"/>
        <v>#VALUE!</v>
      </c>
      <c r="P71" s="96" t="e">
        <f t="shared" si="24"/>
        <v>#VALUE!</v>
      </c>
      <c r="Q71" s="98">
        <f t="shared" si="34"/>
        <v>69</v>
      </c>
      <c r="R71" s="99" t="e">
        <f t="shared" si="25"/>
        <v>#VALUE!</v>
      </c>
      <c r="S71" s="100" t="e">
        <f t="shared" si="28"/>
        <v>#VALUE!</v>
      </c>
      <c r="T71" s="100" t="e">
        <f t="shared" si="35"/>
        <v>#VALUE!</v>
      </c>
      <c r="U71" s="100" t="e">
        <f t="shared" si="18"/>
        <v>#VALUE!</v>
      </c>
      <c r="V71" s="100" t="e">
        <f t="shared" si="29"/>
        <v>#VALUE!</v>
      </c>
      <c r="W71" s="100" t="e">
        <f t="shared" si="36"/>
        <v>#VALUE!</v>
      </c>
      <c r="X71" s="100" t="e">
        <f t="shared" si="19"/>
        <v>#VALUE!</v>
      </c>
      <c r="Y71" s="99">
        <f t="shared" si="26"/>
        <v>0</v>
      </c>
    </row>
    <row r="72" spans="1:25" x14ac:dyDescent="0.2">
      <c r="A72" s="68"/>
      <c r="B72" s="68"/>
      <c r="C72" s="68"/>
      <c r="D72" s="68"/>
      <c r="E72" s="1047"/>
      <c r="F72" s="1450"/>
      <c r="G72" s="91">
        <f t="shared" si="30"/>
        <v>71</v>
      </c>
      <c r="H72" s="105">
        <f t="shared" si="27"/>
        <v>2131</v>
      </c>
      <c r="I72" s="93">
        <f t="shared" si="20"/>
        <v>0</v>
      </c>
      <c r="J72" s="106">
        <f t="shared" si="31"/>
        <v>0</v>
      </c>
      <c r="K72" s="106">
        <f t="shared" si="32"/>
        <v>0</v>
      </c>
      <c r="L72" s="95">
        <f t="shared" si="33"/>
        <v>71</v>
      </c>
      <c r="M72" s="96" t="e">
        <f t="shared" si="21"/>
        <v>#VALUE!</v>
      </c>
      <c r="N72" s="96" t="e">
        <f t="shared" si="22"/>
        <v>#VALUE!</v>
      </c>
      <c r="O72" s="96" t="e">
        <f t="shared" si="23"/>
        <v>#VALUE!</v>
      </c>
      <c r="P72" s="96" t="e">
        <f t="shared" si="24"/>
        <v>#VALUE!</v>
      </c>
      <c r="Q72" s="98">
        <f t="shared" si="34"/>
        <v>70</v>
      </c>
      <c r="R72" s="99" t="e">
        <f t="shared" si="25"/>
        <v>#VALUE!</v>
      </c>
      <c r="S72" s="100" t="e">
        <f t="shared" si="28"/>
        <v>#VALUE!</v>
      </c>
      <c r="T72" s="100" t="e">
        <f t="shared" si="35"/>
        <v>#VALUE!</v>
      </c>
      <c r="U72" s="100" t="e">
        <f t="shared" ref="U72:U135" si="37">SUM(S67:S72)</f>
        <v>#VALUE!</v>
      </c>
      <c r="V72" s="100" t="e">
        <f t="shared" si="29"/>
        <v>#VALUE!</v>
      </c>
      <c r="W72" s="100" t="e">
        <f t="shared" si="36"/>
        <v>#VALUE!</v>
      </c>
      <c r="X72" s="100" t="e">
        <f t="shared" ref="X72:X135" si="38">SUM(V67:V72)</f>
        <v>#VALUE!</v>
      </c>
      <c r="Y72" s="99">
        <f t="shared" si="26"/>
        <v>0</v>
      </c>
    </row>
    <row r="73" spans="1:25" x14ac:dyDescent="0.2">
      <c r="A73" s="68"/>
      <c r="B73" s="68"/>
      <c r="C73" s="68"/>
      <c r="D73" s="68"/>
      <c r="E73" s="1047"/>
      <c r="F73" s="1450"/>
      <c r="G73" s="91">
        <f t="shared" si="30"/>
        <v>72</v>
      </c>
      <c r="H73" s="105">
        <f t="shared" si="27"/>
        <v>2161</v>
      </c>
      <c r="I73" s="93">
        <f t="shared" si="20"/>
        <v>0</v>
      </c>
      <c r="J73" s="106">
        <f t="shared" si="31"/>
        <v>0</v>
      </c>
      <c r="K73" s="106">
        <f t="shared" si="32"/>
        <v>0</v>
      </c>
      <c r="L73" s="95">
        <f t="shared" si="33"/>
        <v>72</v>
      </c>
      <c r="M73" s="96" t="e">
        <f t="shared" si="21"/>
        <v>#VALUE!</v>
      </c>
      <c r="N73" s="96" t="e">
        <f t="shared" si="22"/>
        <v>#VALUE!</v>
      </c>
      <c r="O73" s="96" t="e">
        <f t="shared" si="23"/>
        <v>#VALUE!</v>
      </c>
      <c r="P73" s="96" t="e">
        <f t="shared" si="24"/>
        <v>#VALUE!</v>
      </c>
      <c r="Q73" s="98">
        <f t="shared" si="34"/>
        <v>71</v>
      </c>
      <c r="R73" s="99" t="e">
        <f t="shared" si="25"/>
        <v>#VALUE!</v>
      </c>
      <c r="S73" s="100" t="e">
        <f t="shared" si="28"/>
        <v>#VALUE!</v>
      </c>
      <c r="T73" s="100" t="e">
        <f t="shared" si="35"/>
        <v>#VALUE!</v>
      </c>
      <c r="U73" s="100" t="e">
        <f t="shared" si="37"/>
        <v>#VALUE!</v>
      </c>
      <c r="V73" s="100" t="e">
        <f t="shared" si="29"/>
        <v>#VALUE!</v>
      </c>
      <c r="W73" s="100" t="e">
        <f t="shared" si="36"/>
        <v>#VALUE!</v>
      </c>
      <c r="X73" s="100" t="e">
        <f t="shared" si="38"/>
        <v>#VALUE!</v>
      </c>
      <c r="Y73" s="99">
        <f t="shared" si="26"/>
        <v>0</v>
      </c>
    </row>
    <row r="74" spans="1:25" x14ac:dyDescent="0.2">
      <c r="A74" s="68"/>
      <c r="B74" s="68"/>
      <c r="C74" s="68"/>
      <c r="D74" s="68"/>
      <c r="E74" s="1047"/>
      <c r="F74" s="1450">
        <v>7</v>
      </c>
      <c r="G74" s="91">
        <f t="shared" si="30"/>
        <v>73</v>
      </c>
      <c r="H74" s="105">
        <f t="shared" si="27"/>
        <v>2192</v>
      </c>
      <c r="I74" s="93">
        <f t="shared" si="20"/>
        <v>0</v>
      </c>
      <c r="J74" s="106">
        <f t="shared" si="31"/>
        <v>0</v>
      </c>
      <c r="K74" s="106">
        <f t="shared" si="32"/>
        <v>0</v>
      </c>
      <c r="L74" s="95">
        <f t="shared" si="33"/>
        <v>73</v>
      </c>
      <c r="M74" s="96" t="e">
        <f t="shared" si="21"/>
        <v>#VALUE!</v>
      </c>
      <c r="N74" s="96" t="e">
        <f t="shared" si="22"/>
        <v>#VALUE!</v>
      </c>
      <c r="O74" s="96" t="e">
        <f t="shared" si="23"/>
        <v>#VALUE!</v>
      </c>
      <c r="P74" s="96" t="e">
        <f t="shared" si="24"/>
        <v>#VALUE!</v>
      </c>
      <c r="Q74" s="98">
        <f t="shared" si="34"/>
        <v>72</v>
      </c>
      <c r="R74" s="99" t="e">
        <f t="shared" si="25"/>
        <v>#VALUE!</v>
      </c>
      <c r="S74" s="100" t="e">
        <f t="shared" si="28"/>
        <v>#VALUE!</v>
      </c>
      <c r="T74" s="100" t="e">
        <f t="shared" si="35"/>
        <v>#VALUE!</v>
      </c>
      <c r="U74" s="100" t="e">
        <f t="shared" si="37"/>
        <v>#VALUE!</v>
      </c>
      <c r="V74" s="100" t="e">
        <f t="shared" si="29"/>
        <v>#VALUE!</v>
      </c>
      <c r="W74" s="100" t="e">
        <f t="shared" si="36"/>
        <v>#VALUE!</v>
      </c>
      <c r="X74" s="100" t="e">
        <f t="shared" si="38"/>
        <v>#VALUE!</v>
      </c>
      <c r="Y74" s="99">
        <f t="shared" si="26"/>
        <v>0</v>
      </c>
    </row>
    <row r="75" spans="1:25" x14ac:dyDescent="0.2">
      <c r="A75" s="68"/>
      <c r="B75" s="68"/>
      <c r="C75" s="68"/>
      <c r="D75" s="68"/>
      <c r="E75" s="1047"/>
      <c r="F75" s="1450"/>
      <c r="G75" s="91">
        <f t="shared" si="30"/>
        <v>74</v>
      </c>
      <c r="H75" s="105">
        <f t="shared" si="27"/>
        <v>2223</v>
      </c>
      <c r="I75" s="93">
        <f t="shared" si="20"/>
        <v>0</v>
      </c>
      <c r="J75" s="106">
        <f t="shared" si="31"/>
        <v>0</v>
      </c>
      <c r="K75" s="106">
        <f t="shared" si="32"/>
        <v>0</v>
      </c>
      <c r="L75" s="95">
        <f t="shared" si="33"/>
        <v>74</v>
      </c>
      <c r="M75" s="96" t="e">
        <f t="shared" si="21"/>
        <v>#VALUE!</v>
      </c>
      <c r="N75" s="96" t="e">
        <f t="shared" si="22"/>
        <v>#VALUE!</v>
      </c>
      <c r="O75" s="96" t="e">
        <f t="shared" si="23"/>
        <v>#VALUE!</v>
      </c>
      <c r="P75" s="96" t="e">
        <f t="shared" si="24"/>
        <v>#VALUE!</v>
      </c>
      <c r="Q75" s="98">
        <f t="shared" si="34"/>
        <v>73</v>
      </c>
      <c r="R75" s="99" t="e">
        <f t="shared" si="25"/>
        <v>#VALUE!</v>
      </c>
      <c r="S75" s="100" t="e">
        <f t="shared" si="28"/>
        <v>#VALUE!</v>
      </c>
      <c r="T75" s="100" t="e">
        <f t="shared" si="35"/>
        <v>#VALUE!</v>
      </c>
      <c r="U75" s="100" t="e">
        <f t="shared" si="37"/>
        <v>#VALUE!</v>
      </c>
      <c r="V75" s="100" t="e">
        <f t="shared" si="29"/>
        <v>#VALUE!</v>
      </c>
      <c r="W75" s="100" t="e">
        <f t="shared" si="36"/>
        <v>#VALUE!</v>
      </c>
      <c r="X75" s="100" t="e">
        <f t="shared" si="38"/>
        <v>#VALUE!</v>
      </c>
      <c r="Y75" s="99">
        <f t="shared" si="26"/>
        <v>0</v>
      </c>
    </row>
    <row r="76" spans="1:25" x14ac:dyDescent="0.2">
      <c r="A76" s="68"/>
      <c r="B76" s="68"/>
      <c r="C76" s="68"/>
      <c r="D76" s="68"/>
      <c r="E76" s="1047"/>
      <c r="F76" s="1450"/>
      <c r="G76" s="91">
        <f t="shared" si="30"/>
        <v>75</v>
      </c>
      <c r="H76" s="105">
        <f t="shared" si="27"/>
        <v>2251</v>
      </c>
      <c r="I76" s="93">
        <f t="shared" si="20"/>
        <v>0</v>
      </c>
      <c r="J76" s="106">
        <f t="shared" si="31"/>
        <v>0</v>
      </c>
      <c r="K76" s="106">
        <f t="shared" si="32"/>
        <v>0</v>
      </c>
      <c r="L76" s="95">
        <f t="shared" si="33"/>
        <v>75</v>
      </c>
      <c r="M76" s="96" t="e">
        <f t="shared" si="21"/>
        <v>#VALUE!</v>
      </c>
      <c r="N76" s="96" t="e">
        <f t="shared" si="22"/>
        <v>#VALUE!</v>
      </c>
      <c r="O76" s="96" t="e">
        <f t="shared" si="23"/>
        <v>#VALUE!</v>
      </c>
      <c r="P76" s="96" t="e">
        <f t="shared" si="24"/>
        <v>#VALUE!</v>
      </c>
      <c r="Q76" s="98">
        <f t="shared" si="34"/>
        <v>74</v>
      </c>
      <c r="R76" s="99" t="e">
        <f t="shared" si="25"/>
        <v>#VALUE!</v>
      </c>
      <c r="S76" s="100" t="e">
        <f t="shared" si="28"/>
        <v>#VALUE!</v>
      </c>
      <c r="T76" s="100" t="e">
        <f t="shared" si="35"/>
        <v>#VALUE!</v>
      </c>
      <c r="U76" s="100" t="e">
        <f t="shared" si="37"/>
        <v>#VALUE!</v>
      </c>
      <c r="V76" s="100" t="e">
        <f t="shared" si="29"/>
        <v>#VALUE!</v>
      </c>
      <c r="W76" s="100" t="e">
        <f t="shared" si="36"/>
        <v>#VALUE!</v>
      </c>
      <c r="X76" s="100" t="e">
        <f t="shared" si="38"/>
        <v>#VALUE!</v>
      </c>
      <c r="Y76" s="99">
        <f t="shared" si="26"/>
        <v>0</v>
      </c>
    </row>
    <row r="77" spans="1:25" x14ac:dyDescent="0.2">
      <c r="A77" s="68"/>
      <c r="B77" s="68"/>
      <c r="C77" s="68"/>
      <c r="D77" s="68"/>
      <c r="E77" s="1047"/>
      <c r="F77" s="1450"/>
      <c r="G77" s="91">
        <f t="shared" si="30"/>
        <v>76</v>
      </c>
      <c r="H77" s="105">
        <f t="shared" si="27"/>
        <v>2282</v>
      </c>
      <c r="I77" s="93">
        <f t="shared" si="20"/>
        <v>0</v>
      </c>
      <c r="J77" s="106">
        <f t="shared" si="31"/>
        <v>0</v>
      </c>
      <c r="K77" s="106">
        <f t="shared" si="32"/>
        <v>0</v>
      </c>
      <c r="L77" s="95">
        <f t="shared" si="33"/>
        <v>76</v>
      </c>
      <c r="M77" s="96" t="e">
        <f t="shared" si="21"/>
        <v>#VALUE!</v>
      </c>
      <c r="N77" s="96" t="e">
        <f t="shared" si="22"/>
        <v>#VALUE!</v>
      </c>
      <c r="O77" s="96" t="e">
        <f t="shared" si="23"/>
        <v>#VALUE!</v>
      </c>
      <c r="P77" s="96" t="e">
        <f t="shared" si="24"/>
        <v>#VALUE!</v>
      </c>
      <c r="Q77" s="98">
        <f t="shared" si="34"/>
        <v>75</v>
      </c>
      <c r="R77" s="99" t="e">
        <f t="shared" si="25"/>
        <v>#VALUE!</v>
      </c>
      <c r="S77" s="100" t="e">
        <f t="shared" si="28"/>
        <v>#VALUE!</v>
      </c>
      <c r="T77" s="100" t="e">
        <f t="shared" si="35"/>
        <v>#VALUE!</v>
      </c>
      <c r="U77" s="100" t="e">
        <f t="shared" si="37"/>
        <v>#VALUE!</v>
      </c>
      <c r="V77" s="100" t="e">
        <f t="shared" si="29"/>
        <v>#VALUE!</v>
      </c>
      <c r="W77" s="100" t="e">
        <f t="shared" si="36"/>
        <v>#VALUE!</v>
      </c>
      <c r="X77" s="100" t="e">
        <f t="shared" si="38"/>
        <v>#VALUE!</v>
      </c>
      <c r="Y77" s="99">
        <f t="shared" si="26"/>
        <v>0</v>
      </c>
    </row>
    <row r="78" spans="1:25" x14ac:dyDescent="0.2">
      <c r="A78" s="68"/>
      <c r="B78" s="68"/>
      <c r="C78" s="68"/>
      <c r="D78" s="68"/>
      <c r="E78" s="1047"/>
      <c r="F78" s="1450"/>
      <c r="G78" s="91">
        <f t="shared" si="30"/>
        <v>77</v>
      </c>
      <c r="H78" s="105">
        <f t="shared" si="27"/>
        <v>2312</v>
      </c>
      <c r="I78" s="93">
        <f t="shared" si="20"/>
        <v>0</v>
      </c>
      <c r="J78" s="106">
        <f t="shared" si="31"/>
        <v>0</v>
      </c>
      <c r="K78" s="106">
        <f t="shared" si="32"/>
        <v>0</v>
      </c>
      <c r="L78" s="95">
        <f t="shared" si="33"/>
        <v>77</v>
      </c>
      <c r="M78" s="96" t="e">
        <f t="shared" si="21"/>
        <v>#VALUE!</v>
      </c>
      <c r="N78" s="96" t="e">
        <f t="shared" si="22"/>
        <v>#VALUE!</v>
      </c>
      <c r="O78" s="96" t="e">
        <f t="shared" si="23"/>
        <v>#VALUE!</v>
      </c>
      <c r="P78" s="96" t="e">
        <f t="shared" si="24"/>
        <v>#VALUE!</v>
      </c>
      <c r="Q78" s="98">
        <f t="shared" si="34"/>
        <v>76</v>
      </c>
      <c r="R78" s="99" t="e">
        <f t="shared" si="25"/>
        <v>#VALUE!</v>
      </c>
      <c r="S78" s="100" t="e">
        <f t="shared" si="28"/>
        <v>#VALUE!</v>
      </c>
      <c r="T78" s="100" t="e">
        <f t="shared" si="35"/>
        <v>#VALUE!</v>
      </c>
      <c r="U78" s="100" t="e">
        <f t="shared" si="37"/>
        <v>#VALUE!</v>
      </c>
      <c r="V78" s="100" t="e">
        <f t="shared" si="29"/>
        <v>#VALUE!</v>
      </c>
      <c r="W78" s="100" t="e">
        <f t="shared" si="36"/>
        <v>#VALUE!</v>
      </c>
      <c r="X78" s="100" t="e">
        <f t="shared" si="38"/>
        <v>#VALUE!</v>
      </c>
      <c r="Y78" s="99">
        <f t="shared" si="26"/>
        <v>0</v>
      </c>
    </row>
    <row r="79" spans="1:25" x14ac:dyDescent="0.2">
      <c r="A79" s="68"/>
      <c r="B79" s="68"/>
      <c r="C79" s="68"/>
      <c r="D79" s="68"/>
      <c r="E79" s="1047"/>
      <c r="F79" s="1450"/>
      <c r="G79" s="91">
        <f t="shared" si="30"/>
        <v>78</v>
      </c>
      <c r="H79" s="105">
        <f t="shared" si="27"/>
        <v>2343</v>
      </c>
      <c r="I79" s="93">
        <f t="shared" si="20"/>
        <v>0</v>
      </c>
      <c r="J79" s="106">
        <f t="shared" si="31"/>
        <v>0</v>
      </c>
      <c r="K79" s="106">
        <f t="shared" si="32"/>
        <v>0</v>
      </c>
      <c r="L79" s="95">
        <f t="shared" si="33"/>
        <v>78</v>
      </c>
      <c r="M79" s="96" t="e">
        <f t="shared" si="21"/>
        <v>#VALUE!</v>
      </c>
      <c r="N79" s="96" t="e">
        <f t="shared" si="22"/>
        <v>#VALUE!</v>
      </c>
      <c r="O79" s="96" t="e">
        <f t="shared" si="23"/>
        <v>#VALUE!</v>
      </c>
      <c r="P79" s="96" t="e">
        <f t="shared" si="24"/>
        <v>#VALUE!</v>
      </c>
      <c r="Q79" s="98">
        <f t="shared" si="34"/>
        <v>77</v>
      </c>
      <c r="R79" s="99" t="e">
        <f t="shared" si="25"/>
        <v>#VALUE!</v>
      </c>
      <c r="S79" s="100" t="e">
        <f t="shared" si="28"/>
        <v>#VALUE!</v>
      </c>
      <c r="T79" s="100" t="e">
        <f t="shared" si="35"/>
        <v>#VALUE!</v>
      </c>
      <c r="U79" s="100" t="e">
        <f t="shared" si="37"/>
        <v>#VALUE!</v>
      </c>
      <c r="V79" s="100" t="e">
        <f t="shared" si="29"/>
        <v>#VALUE!</v>
      </c>
      <c r="W79" s="100" t="e">
        <f t="shared" si="36"/>
        <v>#VALUE!</v>
      </c>
      <c r="X79" s="100" t="e">
        <f t="shared" si="38"/>
        <v>#VALUE!</v>
      </c>
      <c r="Y79" s="99">
        <f t="shared" si="26"/>
        <v>0</v>
      </c>
    </row>
    <row r="80" spans="1:25" x14ac:dyDescent="0.2">
      <c r="A80" s="68"/>
      <c r="B80" s="68"/>
      <c r="C80" s="68"/>
      <c r="D80" s="68"/>
      <c r="E80" s="1047"/>
      <c r="F80" s="1450"/>
      <c r="G80" s="91">
        <f t="shared" si="30"/>
        <v>79</v>
      </c>
      <c r="H80" s="105">
        <f t="shared" si="27"/>
        <v>2373</v>
      </c>
      <c r="I80" s="93">
        <f t="shared" si="20"/>
        <v>0</v>
      </c>
      <c r="J80" s="106">
        <f t="shared" si="31"/>
        <v>0</v>
      </c>
      <c r="K80" s="106">
        <f t="shared" si="32"/>
        <v>0</v>
      </c>
      <c r="L80" s="95">
        <f t="shared" si="33"/>
        <v>79</v>
      </c>
      <c r="M80" s="96" t="e">
        <f t="shared" si="21"/>
        <v>#VALUE!</v>
      </c>
      <c r="N80" s="96" t="e">
        <f t="shared" si="22"/>
        <v>#VALUE!</v>
      </c>
      <c r="O80" s="96" t="e">
        <f t="shared" si="23"/>
        <v>#VALUE!</v>
      </c>
      <c r="P80" s="96" t="e">
        <f t="shared" si="24"/>
        <v>#VALUE!</v>
      </c>
      <c r="Q80" s="98">
        <f t="shared" si="34"/>
        <v>78</v>
      </c>
      <c r="R80" s="99" t="e">
        <f t="shared" si="25"/>
        <v>#VALUE!</v>
      </c>
      <c r="S80" s="100" t="e">
        <f t="shared" si="28"/>
        <v>#VALUE!</v>
      </c>
      <c r="T80" s="100" t="e">
        <f t="shared" si="35"/>
        <v>#VALUE!</v>
      </c>
      <c r="U80" s="100" t="e">
        <f t="shared" si="37"/>
        <v>#VALUE!</v>
      </c>
      <c r="V80" s="100" t="e">
        <f t="shared" si="29"/>
        <v>#VALUE!</v>
      </c>
      <c r="W80" s="100" t="e">
        <f t="shared" si="36"/>
        <v>#VALUE!</v>
      </c>
      <c r="X80" s="100" t="e">
        <f t="shared" si="38"/>
        <v>#VALUE!</v>
      </c>
      <c r="Y80" s="99">
        <f t="shared" si="26"/>
        <v>0</v>
      </c>
    </row>
    <row r="81" spans="1:25" x14ac:dyDescent="0.2">
      <c r="A81" s="68"/>
      <c r="B81" s="68"/>
      <c r="C81" s="68"/>
      <c r="D81" s="68"/>
      <c r="E81" s="1047"/>
      <c r="F81" s="1450"/>
      <c r="G81" s="91">
        <f t="shared" si="30"/>
        <v>80</v>
      </c>
      <c r="H81" s="105">
        <f t="shared" si="27"/>
        <v>2404</v>
      </c>
      <c r="I81" s="93">
        <f t="shared" si="20"/>
        <v>0</v>
      </c>
      <c r="J81" s="106">
        <f t="shared" si="31"/>
        <v>0</v>
      </c>
      <c r="K81" s="106">
        <f t="shared" si="32"/>
        <v>0</v>
      </c>
      <c r="L81" s="95">
        <f t="shared" si="33"/>
        <v>80</v>
      </c>
      <c r="M81" s="96" t="e">
        <f t="shared" si="21"/>
        <v>#VALUE!</v>
      </c>
      <c r="N81" s="96" t="e">
        <f t="shared" si="22"/>
        <v>#VALUE!</v>
      </c>
      <c r="O81" s="96" t="e">
        <f t="shared" si="23"/>
        <v>#VALUE!</v>
      </c>
      <c r="P81" s="96" t="e">
        <f t="shared" si="24"/>
        <v>#VALUE!</v>
      </c>
      <c r="Q81" s="98">
        <f t="shared" si="34"/>
        <v>79</v>
      </c>
      <c r="R81" s="99" t="e">
        <f t="shared" si="25"/>
        <v>#VALUE!</v>
      </c>
      <c r="S81" s="100" t="e">
        <f t="shared" si="28"/>
        <v>#VALUE!</v>
      </c>
      <c r="T81" s="100" t="e">
        <f t="shared" si="35"/>
        <v>#VALUE!</v>
      </c>
      <c r="U81" s="100" t="e">
        <f t="shared" si="37"/>
        <v>#VALUE!</v>
      </c>
      <c r="V81" s="100" t="e">
        <f t="shared" si="29"/>
        <v>#VALUE!</v>
      </c>
      <c r="W81" s="100" t="e">
        <f t="shared" si="36"/>
        <v>#VALUE!</v>
      </c>
      <c r="X81" s="100" t="e">
        <f t="shared" si="38"/>
        <v>#VALUE!</v>
      </c>
      <c r="Y81" s="99">
        <f t="shared" si="26"/>
        <v>0</v>
      </c>
    </row>
    <row r="82" spans="1:25" x14ac:dyDescent="0.2">
      <c r="A82" s="68"/>
      <c r="B82" s="68"/>
      <c r="C82" s="68"/>
      <c r="D82" s="68"/>
      <c r="E82" s="1047"/>
      <c r="F82" s="1450"/>
      <c r="G82" s="91">
        <f t="shared" si="30"/>
        <v>81</v>
      </c>
      <c r="H82" s="105">
        <f t="shared" si="27"/>
        <v>2435</v>
      </c>
      <c r="I82" s="93">
        <f t="shared" si="20"/>
        <v>0</v>
      </c>
      <c r="J82" s="106">
        <f t="shared" si="31"/>
        <v>0</v>
      </c>
      <c r="K82" s="106">
        <f t="shared" si="32"/>
        <v>0</v>
      </c>
      <c r="L82" s="95">
        <f t="shared" si="33"/>
        <v>81</v>
      </c>
      <c r="M82" s="96" t="e">
        <f t="shared" si="21"/>
        <v>#VALUE!</v>
      </c>
      <c r="N82" s="96" t="e">
        <f t="shared" si="22"/>
        <v>#VALUE!</v>
      </c>
      <c r="O82" s="96" t="e">
        <f t="shared" si="23"/>
        <v>#VALUE!</v>
      </c>
      <c r="P82" s="96" t="e">
        <f t="shared" si="24"/>
        <v>#VALUE!</v>
      </c>
      <c r="Q82" s="98">
        <f t="shared" si="34"/>
        <v>80</v>
      </c>
      <c r="R82" s="99" t="e">
        <f t="shared" si="25"/>
        <v>#VALUE!</v>
      </c>
      <c r="S82" s="100" t="e">
        <f t="shared" si="28"/>
        <v>#VALUE!</v>
      </c>
      <c r="T82" s="100" t="e">
        <f t="shared" si="35"/>
        <v>#VALUE!</v>
      </c>
      <c r="U82" s="100" t="e">
        <f t="shared" si="37"/>
        <v>#VALUE!</v>
      </c>
      <c r="V82" s="100" t="e">
        <f t="shared" si="29"/>
        <v>#VALUE!</v>
      </c>
      <c r="W82" s="100" t="e">
        <f t="shared" si="36"/>
        <v>#VALUE!</v>
      </c>
      <c r="X82" s="100" t="e">
        <f t="shared" si="38"/>
        <v>#VALUE!</v>
      </c>
      <c r="Y82" s="99">
        <f t="shared" si="26"/>
        <v>0</v>
      </c>
    </row>
    <row r="83" spans="1:25" x14ac:dyDescent="0.2">
      <c r="A83" s="68"/>
      <c r="B83" s="68"/>
      <c r="C83" s="68"/>
      <c r="D83" s="68"/>
      <c r="E83" s="1047"/>
      <c r="F83" s="1450"/>
      <c r="G83" s="91">
        <f t="shared" si="30"/>
        <v>82</v>
      </c>
      <c r="H83" s="105">
        <f t="shared" si="27"/>
        <v>2465</v>
      </c>
      <c r="I83" s="93">
        <f t="shared" si="20"/>
        <v>0</v>
      </c>
      <c r="J83" s="106">
        <f t="shared" si="31"/>
        <v>0</v>
      </c>
      <c r="K83" s="106">
        <f t="shared" si="32"/>
        <v>0</v>
      </c>
      <c r="L83" s="95">
        <f t="shared" si="33"/>
        <v>82</v>
      </c>
      <c r="M83" s="96" t="e">
        <f t="shared" si="21"/>
        <v>#VALUE!</v>
      </c>
      <c r="N83" s="96" t="e">
        <f t="shared" si="22"/>
        <v>#VALUE!</v>
      </c>
      <c r="O83" s="96" t="e">
        <f t="shared" si="23"/>
        <v>#VALUE!</v>
      </c>
      <c r="P83" s="96" t="e">
        <f t="shared" si="24"/>
        <v>#VALUE!</v>
      </c>
      <c r="Q83" s="98">
        <f t="shared" si="34"/>
        <v>81</v>
      </c>
      <c r="R83" s="99" t="e">
        <f t="shared" si="25"/>
        <v>#VALUE!</v>
      </c>
      <c r="S83" s="100" t="e">
        <f t="shared" si="28"/>
        <v>#VALUE!</v>
      </c>
      <c r="T83" s="100" t="e">
        <f t="shared" si="35"/>
        <v>#VALUE!</v>
      </c>
      <c r="U83" s="100" t="e">
        <f t="shared" si="37"/>
        <v>#VALUE!</v>
      </c>
      <c r="V83" s="100" t="e">
        <f t="shared" si="29"/>
        <v>#VALUE!</v>
      </c>
      <c r="W83" s="100" t="e">
        <f t="shared" si="36"/>
        <v>#VALUE!</v>
      </c>
      <c r="X83" s="100" t="e">
        <f t="shared" si="38"/>
        <v>#VALUE!</v>
      </c>
      <c r="Y83" s="99">
        <f t="shared" si="26"/>
        <v>0</v>
      </c>
    </row>
    <row r="84" spans="1:25" x14ac:dyDescent="0.2">
      <c r="A84" s="68"/>
      <c r="B84" s="68"/>
      <c r="C84" s="68"/>
      <c r="D84" s="68"/>
      <c r="E84" s="1047"/>
      <c r="F84" s="1450"/>
      <c r="G84" s="91">
        <f t="shared" si="30"/>
        <v>83</v>
      </c>
      <c r="H84" s="105">
        <f t="shared" si="27"/>
        <v>2496</v>
      </c>
      <c r="I84" s="93">
        <f t="shared" si="20"/>
        <v>0</v>
      </c>
      <c r="J84" s="106">
        <f t="shared" si="31"/>
        <v>0</v>
      </c>
      <c r="K84" s="106">
        <f t="shared" si="32"/>
        <v>0</v>
      </c>
      <c r="L84" s="95">
        <f t="shared" si="33"/>
        <v>83</v>
      </c>
      <c r="M84" s="96" t="e">
        <f t="shared" si="21"/>
        <v>#VALUE!</v>
      </c>
      <c r="N84" s="96" t="e">
        <f t="shared" si="22"/>
        <v>#VALUE!</v>
      </c>
      <c r="O84" s="96" t="e">
        <f t="shared" si="23"/>
        <v>#VALUE!</v>
      </c>
      <c r="P84" s="96" t="e">
        <f t="shared" si="24"/>
        <v>#VALUE!</v>
      </c>
      <c r="Q84" s="98">
        <f t="shared" si="34"/>
        <v>82</v>
      </c>
      <c r="R84" s="99" t="e">
        <f t="shared" si="25"/>
        <v>#VALUE!</v>
      </c>
      <c r="S84" s="100" t="e">
        <f t="shared" si="28"/>
        <v>#VALUE!</v>
      </c>
      <c r="T84" s="100" t="e">
        <f t="shared" si="35"/>
        <v>#VALUE!</v>
      </c>
      <c r="U84" s="100" t="e">
        <f t="shared" si="37"/>
        <v>#VALUE!</v>
      </c>
      <c r="V84" s="100" t="e">
        <f t="shared" si="29"/>
        <v>#VALUE!</v>
      </c>
      <c r="W84" s="100" t="e">
        <f t="shared" si="36"/>
        <v>#VALUE!</v>
      </c>
      <c r="X84" s="100" t="e">
        <f t="shared" si="38"/>
        <v>#VALUE!</v>
      </c>
      <c r="Y84" s="99">
        <f t="shared" si="26"/>
        <v>0</v>
      </c>
    </row>
    <row r="85" spans="1:25" x14ac:dyDescent="0.2">
      <c r="A85" s="68"/>
      <c r="B85" s="68"/>
      <c r="C85" s="68"/>
      <c r="D85" s="68"/>
      <c r="E85" s="1047"/>
      <c r="F85" s="1450"/>
      <c r="G85" s="91">
        <f t="shared" si="30"/>
        <v>84</v>
      </c>
      <c r="H85" s="105">
        <f t="shared" si="27"/>
        <v>2526</v>
      </c>
      <c r="I85" s="93">
        <f t="shared" si="20"/>
        <v>0</v>
      </c>
      <c r="J85" s="106">
        <f t="shared" si="31"/>
        <v>0</v>
      </c>
      <c r="K85" s="106">
        <f t="shared" si="32"/>
        <v>0</v>
      </c>
      <c r="L85" s="95">
        <f t="shared" si="33"/>
        <v>84</v>
      </c>
      <c r="M85" s="96" t="e">
        <f t="shared" si="21"/>
        <v>#VALUE!</v>
      </c>
      <c r="N85" s="96" t="e">
        <f t="shared" si="22"/>
        <v>#VALUE!</v>
      </c>
      <c r="O85" s="96" t="e">
        <f t="shared" si="23"/>
        <v>#VALUE!</v>
      </c>
      <c r="P85" s="96" t="e">
        <f t="shared" si="24"/>
        <v>#VALUE!</v>
      </c>
      <c r="Q85" s="98">
        <f t="shared" si="34"/>
        <v>83</v>
      </c>
      <c r="R85" s="99" t="e">
        <f t="shared" si="25"/>
        <v>#VALUE!</v>
      </c>
      <c r="S85" s="100" t="e">
        <f t="shared" si="28"/>
        <v>#VALUE!</v>
      </c>
      <c r="T85" s="100" t="e">
        <f t="shared" si="35"/>
        <v>#VALUE!</v>
      </c>
      <c r="U85" s="100" t="e">
        <f t="shared" si="37"/>
        <v>#VALUE!</v>
      </c>
      <c r="V85" s="100" t="e">
        <f t="shared" si="29"/>
        <v>#VALUE!</v>
      </c>
      <c r="W85" s="100" t="e">
        <f t="shared" si="36"/>
        <v>#VALUE!</v>
      </c>
      <c r="X85" s="100" t="e">
        <f t="shared" si="38"/>
        <v>#VALUE!</v>
      </c>
      <c r="Y85" s="99">
        <f t="shared" si="26"/>
        <v>0</v>
      </c>
    </row>
    <row r="86" spans="1:25" x14ac:dyDescent="0.2">
      <c r="A86" s="68"/>
      <c r="B86" s="68"/>
      <c r="C86" s="68"/>
      <c r="D86" s="68"/>
      <c r="E86" s="1047"/>
      <c r="F86" s="1450">
        <v>8</v>
      </c>
      <c r="G86" s="91">
        <f t="shared" si="30"/>
        <v>85</v>
      </c>
      <c r="H86" s="105">
        <f t="shared" si="27"/>
        <v>2557</v>
      </c>
      <c r="I86" s="93">
        <f t="shared" si="20"/>
        <v>0</v>
      </c>
      <c r="J86" s="106">
        <f t="shared" si="31"/>
        <v>0</v>
      </c>
      <c r="K86" s="106">
        <f t="shared" si="32"/>
        <v>0</v>
      </c>
      <c r="L86" s="95">
        <f t="shared" si="33"/>
        <v>85</v>
      </c>
      <c r="M86" s="96" t="e">
        <f t="shared" si="21"/>
        <v>#VALUE!</v>
      </c>
      <c r="N86" s="96" t="e">
        <f t="shared" si="22"/>
        <v>#VALUE!</v>
      </c>
      <c r="O86" s="96" t="e">
        <f t="shared" si="23"/>
        <v>#VALUE!</v>
      </c>
      <c r="P86" s="96" t="e">
        <f t="shared" si="24"/>
        <v>#VALUE!</v>
      </c>
      <c r="Q86" s="98">
        <f t="shared" si="34"/>
        <v>84</v>
      </c>
      <c r="R86" s="99" t="e">
        <f t="shared" si="25"/>
        <v>#VALUE!</v>
      </c>
      <c r="S86" s="100" t="e">
        <f t="shared" si="28"/>
        <v>#VALUE!</v>
      </c>
      <c r="T86" s="100" t="e">
        <f t="shared" si="35"/>
        <v>#VALUE!</v>
      </c>
      <c r="U86" s="100" t="e">
        <f t="shared" si="37"/>
        <v>#VALUE!</v>
      </c>
      <c r="V86" s="100" t="e">
        <f t="shared" si="29"/>
        <v>#VALUE!</v>
      </c>
      <c r="W86" s="100" t="e">
        <f t="shared" si="36"/>
        <v>#VALUE!</v>
      </c>
      <c r="X86" s="100" t="e">
        <f t="shared" si="38"/>
        <v>#VALUE!</v>
      </c>
      <c r="Y86" s="99">
        <f t="shared" si="26"/>
        <v>0</v>
      </c>
    </row>
    <row r="87" spans="1:25" x14ac:dyDescent="0.2">
      <c r="A87" s="68"/>
      <c r="B87" s="68"/>
      <c r="C87" s="68"/>
      <c r="D87" s="68"/>
      <c r="E87" s="1047"/>
      <c r="F87" s="1450"/>
      <c r="G87" s="91">
        <f t="shared" si="30"/>
        <v>86</v>
      </c>
      <c r="H87" s="105">
        <f t="shared" si="27"/>
        <v>2588</v>
      </c>
      <c r="I87" s="93">
        <f t="shared" si="20"/>
        <v>0</v>
      </c>
      <c r="J87" s="106">
        <f t="shared" si="31"/>
        <v>0</v>
      </c>
      <c r="K87" s="106">
        <f t="shared" si="32"/>
        <v>0</v>
      </c>
      <c r="L87" s="95">
        <f t="shared" si="33"/>
        <v>86</v>
      </c>
      <c r="M87" s="96" t="e">
        <f t="shared" si="21"/>
        <v>#VALUE!</v>
      </c>
      <c r="N87" s="96" t="e">
        <f t="shared" si="22"/>
        <v>#VALUE!</v>
      </c>
      <c r="O87" s="96" t="e">
        <f t="shared" si="23"/>
        <v>#VALUE!</v>
      </c>
      <c r="P87" s="96" t="e">
        <f t="shared" si="24"/>
        <v>#VALUE!</v>
      </c>
      <c r="Q87" s="98">
        <f t="shared" si="34"/>
        <v>85</v>
      </c>
      <c r="R87" s="99" t="e">
        <f t="shared" si="25"/>
        <v>#VALUE!</v>
      </c>
      <c r="S87" s="100" t="e">
        <f t="shared" si="28"/>
        <v>#VALUE!</v>
      </c>
      <c r="T87" s="100" t="e">
        <f t="shared" si="35"/>
        <v>#VALUE!</v>
      </c>
      <c r="U87" s="100" t="e">
        <f t="shared" si="37"/>
        <v>#VALUE!</v>
      </c>
      <c r="V87" s="100" t="e">
        <f t="shared" si="29"/>
        <v>#VALUE!</v>
      </c>
      <c r="W87" s="100" t="e">
        <f t="shared" si="36"/>
        <v>#VALUE!</v>
      </c>
      <c r="X87" s="100" t="e">
        <f t="shared" si="38"/>
        <v>#VALUE!</v>
      </c>
      <c r="Y87" s="99">
        <f t="shared" si="26"/>
        <v>0</v>
      </c>
    </row>
    <row r="88" spans="1:25" x14ac:dyDescent="0.2">
      <c r="A88" s="68"/>
      <c r="B88" s="68"/>
      <c r="C88" s="68"/>
      <c r="D88" s="68"/>
      <c r="E88" s="1047"/>
      <c r="F88" s="1450"/>
      <c r="G88" s="91">
        <f t="shared" si="30"/>
        <v>87</v>
      </c>
      <c r="H88" s="105">
        <f t="shared" si="27"/>
        <v>2616</v>
      </c>
      <c r="I88" s="93">
        <f t="shared" si="20"/>
        <v>0</v>
      </c>
      <c r="J88" s="106">
        <f t="shared" si="31"/>
        <v>0</v>
      </c>
      <c r="K88" s="106">
        <f t="shared" si="32"/>
        <v>0</v>
      </c>
      <c r="L88" s="95">
        <f t="shared" si="33"/>
        <v>87</v>
      </c>
      <c r="M88" s="96" t="e">
        <f t="shared" si="21"/>
        <v>#VALUE!</v>
      </c>
      <c r="N88" s="96" t="e">
        <f t="shared" si="22"/>
        <v>#VALUE!</v>
      </c>
      <c r="O88" s="96" t="e">
        <f t="shared" si="23"/>
        <v>#VALUE!</v>
      </c>
      <c r="P88" s="96" t="e">
        <f t="shared" si="24"/>
        <v>#VALUE!</v>
      </c>
      <c r="Q88" s="98">
        <f t="shared" si="34"/>
        <v>86</v>
      </c>
      <c r="R88" s="99" t="e">
        <f t="shared" si="25"/>
        <v>#VALUE!</v>
      </c>
      <c r="S88" s="100" t="e">
        <f t="shared" si="28"/>
        <v>#VALUE!</v>
      </c>
      <c r="T88" s="100" t="e">
        <f t="shared" si="35"/>
        <v>#VALUE!</v>
      </c>
      <c r="U88" s="100" t="e">
        <f t="shared" si="37"/>
        <v>#VALUE!</v>
      </c>
      <c r="V88" s="100" t="e">
        <f t="shared" si="29"/>
        <v>#VALUE!</v>
      </c>
      <c r="W88" s="100" t="e">
        <f t="shared" si="36"/>
        <v>#VALUE!</v>
      </c>
      <c r="X88" s="100" t="e">
        <f t="shared" si="38"/>
        <v>#VALUE!</v>
      </c>
      <c r="Y88" s="99">
        <f t="shared" si="26"/>
        <v>0</v>
      </c>
    </row>
    <row r="89" spans="1:25" x14ac:dyDescent="0.2">
      <c r="A89" s="68"/>
      <c r="B89" s="68"/>
      <c r="C89" s="68"/>
      <c r="D89" s="68"/>
      <c r="E89" s="1047"/>
      <c r="F89" s="1450"/>
      <c r="G89" s="91">
        <f t="shared" si="30"/>
        <v>88</v>
      </c>
      <c r="H89" s="105">
        <f t="shared" si="27"/>
        <v>2647</v>
      </c>
      <c r="I89" s="93">
        <f t="shared" si="20"/>
        <v>0</v>
      </c>
      <c r="J89" s="106">
        <f t="shared" si="31"/>
        <v>0</v>
      </c>
      <c r="K89" s="106">
        <f t="shared" si="32"/>
        <v>0</v>
      </c>
      <c r="L89" s="95">
        <f t="shared" si="33"/>
        <v>88</v>
      </c>
      <c r="M89" s="96" t="e">
        <f t="shared" si="21"/>
        <v>#VALUE!</v>
      </c>
      <c r="N89" s="96" t="e">
        <f t="shared" si="22"/>
        <v>#VALUE!</v>
      </c>
      <c r="O89" s="96" t="e">
        <f t="shared" si="23"/>
        <v>#VALUE!</v>
      </c>
      <c r="P89" s="96" t="e">
        <f t="shared" si="24"/>
        <v>#VALUE!</v>
      </c>
      <c r="Q89" s="98">
        <f t="shared" si="34"/>
        <v>87</v>
      </c>
      <c r="R89" s="99" t="e">
        <f t="shared" si="25"/>
        <v>#VALUE!</v>
      </c>
      <c r="S89" s="100" t="e">
        <f t="shared" si="28"/>
        <v>#VALUE!</v>
      </c>
      <c r="T89" s="100" t="e">
        <f t="shared" si="35"/>
        <v>#VALUE!</v>
      </c>
      <c r="U89" s="100" t="e">
        <f t="shared" si="37"/>
        <v>#VALUE!</v>
      </c>
      <c r="V89" s="100" t="e">
        <f t="shared" si="29"/>
        <v>#VALUE!</v>
      </c>
      <c r="W89" s="100" t="e">
        <f t="shared" si="36"/>
        <v>#VALUE!</v>
      </c>
      <c r="X89" s="100" t="e">
        <f t="shared" si="38"/>
        <v>#VALUE!</v>
      </c>
      <c r="Y89" s="99">
        <f t="shared" si="26"/>
        <v>0</v>
      </c>
    </row>
    <row r="90" spans="1:25" x14ac:dyDescent="0.2">
      <c r="A90" s="68"/>
      <c r="B90" s="68"/>
      <c r="C90" s="68"/>
      <c r="D90" s="68"/>
      <c r="E90" s="1047"/>
      <c r="F90" s="1450"/>
      <c r="G90" s="91">
        <f t="shared" si="30"/>
        <v>89</v>
      </c>
      <c r="H90" s="105">
        <f t="shared" si="27"/>
        <v>2677</v>
      </c>
      <c r="I90" s="93">
        <f t="shared" si="20"/>
        <v>0</v>
      </c>
      <c r="J90" s="106">
        <f t="shared" si="31"/>
        <v>0</v>
      </c>
      <c r="K90" s="106">
        <f t="shared" si="32"/>
        <v>0</v>
      </c>
      <c r="L90" s="95">
        <f t="shared" si="33"/>
        <v>89</v>
      </c>
      <c r="M90" s="96" t="e">
        <f t="shared" si="21"/>
        <v>#VALUE!</v>
      </c>
      <c r="N90" s="96" t="e">
        <f t="shared" si="22"/>
        <v>#VALUE!</v>
      </c>
      <c r="O90" s="96" t="e">
        <f t="shared" si="23"/>
        <v>#VALUE!</v>
      </c>
      <c r="P90" s="96" t="e">
        <f t="shared" si="24"/>
        <v>#VALUE!</v>
      </c>
      <c r="Q90" s="98">
        <f t="shared" si="34"/>
        <v>88</v>
      </c>
      <c r="R90" s="99" t="e">
        <f t="shared" si="25"/>
        <v>#VALUE!</v>
      </c>
      <c r="S90" s="100" t="e">
        <f t="shared" si="28"/>
        <v>#VALUE!</v>
      </c>
      <c r="T90" s="100" t="e">
        <f t="shared" si="35"/>
        <v>#VALUE!</v>
      </c>
      <c r="U90" s="100" t="e">
        <f t="shared" si="37"/>
        <v>#VALUE!</v>
      </c>
      <c r="V90" s="100" t="e">
        <f t="shared" si="29"/>
        <v>#VALUE!</v>
      </c>
      <c r="W90" s="100" t="e">
        <f t="shared" si="36"/>
        <v>#VALUE!</v>
      </c>
      <c r="X90" s="100" t="e">
        <f t="shared" si="38"/>
        <v>#VALUE!</v>
      </c>
      <c r="Y90" s="99">
        <f t="shared" si="26"/>
        <v>0</v>
      </c>
    </row>
    <row r="91" spans="1:25" x14ac:dyDescent="0.2">
      <c r="A91" s="68"/>
      <c r="B91" s="68"/>
      <c r="C91" s="68"/>
      <c r="D91" s="68"/>
      <c r="E91" s="1047"/>
      <c r="F91" s="1450"/>
      <c r="G91" s="91">
        <f t="shared" si="30"/>
        <v>90</v>
      </c>
      <c r="H91" s="105">
        <f t="shared" si="27"/>
        <v>2708</v>
      </c>
      <c r="I91" s="93">
        <f t="shared" si="20"/>
        <v>0</v>
      </c>
      <c r="J91" s="106">
        <f t="shared" si="31"/>
        <v>0</v>
      </c>
      <c r="K91" s="106">
        <f t="shared" si="32"/>
        <v>0</v>
      </c>
      <c r="L91" s="95">
        <f t="shared" si="33"/>
        <v>90</v>
      </c>
      <c r="M91" s="96" t="e">
        <f t="shared" si="21"/>
        <v>#VALUE!</v>
      </c>
      <c r="N91" s="96" t="e">
        <f t="shared" si="22"/>
        <v>#VALUE!</v>
      </c>
      <c r="O91" s="96" t="e">
        <f t="shared" si="23"/>
        <v>#VALUE!</v>
      </c>
      <c r="P91" s="96" t="e">
        <f t="shared" si="24"/>
        <v>#VALUE!</v>
      </c>
      <c r="Q91" s="98">
        <f t="shared" si="34"/>
        <v>89</v>
      </c>
      <c r="R91" s="99" t="e">
        <f t="shared" si="25"/>
        <v>#VALUE!</v>
      </c>
      <c r="S91" s="100" t="e">
        <f t="shared" si="28"/>
        <v>#VALUE!</v>
      </c>
      <c r="T91" s="100" t="e">
        <f t="shared" si="35"/>
        <v>#VALUE!</v>
      </c>
      <c r="U91" s="100" t="e">
        <f t="shared" si="37"/>
        <v>#VALUE!</v>
      </c>
      <c r="V91" s="100" t="e">
        <f t="shared" si="29"/>
        <v>#VALUE!</v>
      </c>
      <c r="W91" s="100" t="e">
        <f t="shared" si="36"/>
        <v>#VALUE!</v>
      </c>
      <c r="X91" s="100" t="e">
        <f t="shared" si="38"/>
        <v>#VALUE!</v>
      </c>
      <c r="Y91" s="99">
        <f t="shared" si="26"/>
        <v>0</v>
      </c>
    </row>
    <row r="92" spans="1:25" x14ac:dyDescent="0.2">
      <c r="A92" s="68"/>
      <c r="B92" s="68"/>
      <c r="C92" s="68"/>
      <c r="D92" s="68"/>
      <c r="E92" s="1047"/>
      <c r="F92" s="1450"/>
      <c r="G92" s="91">
        <f t="shared" si="30"/>
        <v>91</v>
      </c>
      <c r="H92" s="105">
        <f t="shared" si="27"/>
        <v>2738</v>
      </c>
      <c r="I92" s="93">
        <f t="shared" si="20"/>
        <v>0</v>
      </c>
      <c r="J92" s="106">
        <f t="shared" si="31"/>
        <v>0</v>
      </c>
      <c r="K92" s="106">
        <f t="shared" si="32"/>
        <v>0</v>
      </c>
      <c r="L92" s="95">
        <f t="shared" si="33"/>
        <v>91</v>
      </c>
      <c r="M92" s="96" t="e">
        <f t="shared" si="21"/>
        <v>#VALUE!</v>
      </c>
      <c r="N92" s="96" t="e">
        <f t="shared" si="22"/>
        <v>#VALUE!</v>
      </c>
      <c r="O92" s="96" t="e">
        <f t="shared" si="23"/>
        <v>#VALUE!</v>
      </c>
      <c r="P92" s="96" t="e">
        <f t="shared" si="24"/>
        <v>#VALUE!</v>
      </c>
      <c r="Q92" s="98">
        <f t="shared" si="34"/>
        <v>90</v>
      </c>
      <c r="R92" s="99" t="e">
        <f t="shared" si="25"/>
        <v>#VALUE!</v>
      </c>
      <c r="S92" s="100" t="e">
        <f t="shared" si="28"/>
        <v>#VALUE!</v>
      </c>
      <c r="T92" s="100" t="e">
        <f t="shared" si="35"/>
        <v>#VALUE!</v>
      </c>
      <c r="U92" s="100" t="e">
        <f t="shared" si="37"/>
        <v>#VALUE!</v>
      </c>
      <c r="V92" s="100" t="e">
        <f t="shared" si="29"/>
        <v>#VALUE!</v>
      </c>
      <c r="W92" s="100" t="e">
        <f t="shared" si="36"/>
        <v>#VALUE!</v>
      </c>
      <c r="X92" s="100" t="e">
        <f t="shared" si="38"/>
        <v>#VALUE!</v>
      </c>
      <c r="Y92" s="99">
        <f t="shared" si="26"/>
        <v>0</v>
      </c>
    </row>
    <row r="93" spans="1:25" x14ac:dyDescent="0.2">
      <c r="A93" s="68"/>
      <c r="B93" s="68"/>
      <c r="C93" s="68"/>
      <c r="D93" s="68"/>
      <c r="E93" s="1047"/>
      <c r="F93" s="1450"/>
      <c r="G93" s="91">
        <f t="shared" si="30"/>
        <v>92</v>
      </c>
      <c r="H93" s="105">
        <f t="shared" si="27"/>
        <v>2769</v>
      </c>
      <c r="I93" s="93">
        <f t="shared" si="20"/>
        <v>0</v>
      </c>
      <c r="J93" s="106">
        <f t="shared" si="31"/>
        <v>0</v>
      </c>
      <c r="K93" s="106">
        <f t="shared" si="32"/>
        <v>0</v>
      </c>
      <c r="L93" s="95">
        <f t="shared" si="33"/>
        <v>92</v>
      </c>
      <c r="M93" s="96" t="e">
        <f t="shared" si="21"/>
        <v>#VALUE!</v>
      </c>
      <c r="N93" s="96" t="e">
        <f t="shared" si="22"/>
        <v>#VALUE!</v>
      </c>
      <c r="O93" s="96" t="e">
        <f t="shared" si="23"/>
        <v>#VALUE!</v>
      </c>
      <c r="P93" s="96" t="e">
        <f t="shared" si="24"/>
        <v>#VALUE!</v>
      </c>
      <c r="Q93" s="98">
        <f t="shared" si="34"/>
        <v>91</v>
      </c>
      <c r="R93" s="99" t="e">
        <f t="shared" si="25"/>
        <v>#VALUE!</v>
      </c>
      <c r="S93" s="100" t="e">
        <f t="shared" si="28"/>
        <v>#VALUE!</v>
      </c>
      <c r="T93" s="100" t="e">
        <f t="shared" si="35"/>
        <v>#VALUE!</v>
      </c>
      <c r="U93" s="100" t="e">
        <f t="shared" si="37"/>
        <v>#VALUE!</v>
      </c>
      <c r="V93" s="100" t="e">
        <f t="shared" si="29"/>
        <v>#VALUE!</v>
      </c>
      <c r="W93" s="100" t="e">
        <f t="shared" si="36"/>
        <v>#VALUE!</v>
      </c>
      <c r="X93" s="100" t="e">
        <f t="shared" si="38"/>
        <v>#VALUE!</v>
      </c>
      <c r="Y93" s="99">
        <f t="shared" si="26"/>
        <v>0</v>
      </c>
    </row>
    <row r="94" spans="1:25" x14ac:dyDescent="0.2">
      <c r="A94" s="68"/>
      <c r="B94" s="68"/>
      <c r="C94" s="68"/>
      <c r="D94" s="68"/>
      <c r="E94" s="1047"/>
      <c r="F94" s="1450"/>
      <c r="G94" s="91">
        <f t="shared" si="30"/>
        <v>93</v>
      </c>
      <c r="H94" s="105">
        <f t="shared" si="27"/>
        <v>2800</v>
      </c>
      <c r="I94" s="93">
        <f t="shared" si="20"/>
        <v>0</v>
      </c>
      <c r="J94" s="106">
        <f t="shared" si="31"/>
        <v>0</v>
      </c>
      <c r="K94" s="106">
        <f t="shared" si="32"/>
        <v>0</v>
      </c>
      <c r="L94" s="95">
        <f t="shared" si="33"/>
        <v>93</v>
      </c>
      <c r="M94" s="96" t="e">
        <f t="shared" si="21"/>
        <v>#VALUE!</v>
      </c>
      <c r="N94" s="96" t="e">
        <f t="shared" si="22"/>
        <v>#VALUE!</v>
      </c>
      <c r="O94" s="96" t="e">
        <f t="shared" si="23"/>
        <v>#VALUE!</v>
      </c>
      <c r="P94" s="96" t="e">
        <f t="shared" si="24"/>
        <v>#VALUE!</v>
      </c>
      <c r="Q94" s="98">
        <f t="shared" si="34"/>
        <v>92</v>
      </c>
      <c r="R94" s="99" t="e">
        <f t="shared" si="25"/>
        <v>#VALUE!</v>
      </c>
      <c r="S94" s="100" t="e">
        <f t="shared" si="28"/>
        <v>#VALUE!</v>
      </c>
      <c r="T94" s="100" t="e">
        <f t="shared" si="35"/>
        <v>#VALUE!</v>
      </c>
      <c r="U94" s="100" t="e">
        <f t="shared" si="37"/>
        <v>#VALUE!</v>
      </c>
      <c r="V94" s="100" t="e">
        <f t="shared" si="29"/>
        <v>#VALUE!</v>
      </c>
      <c r="W94" s="100" t="e">
        <f t="shared" si="36"/>
        <v>#VALUE!</v>
      </c>
      <c r="X94" s="100" t="e">
        <f t="shared" si="38"/>
        <v>#VALUE!</v>
      </c>
      <c r="Y94" s="99">
        <f t="shared" si="26"/>
        <v>0</v>
      </c>
    </row>
    <row r="95" spans="1:25" x14ac:dyDescent="0.2">
      <c r="A95" s="68"/>
      <c r="B95" s="68"/>
      <c r="C95" s="68"/>
      <c r="D95" s="68"/>
      <c r="E95" s="1047"/>
      <c r="F95" s="1450"/>
      <c r="G95" s="91">
        <f t="shared" si="30"/>
        <v>94</v>
      </c>
      <c r="H95" s="105">
        <f t="shared" si="27"/>
        <v>2830</v>
      </c>
      <c r="I95" s="93">
        <f t="shared" si="20"/>
        <v>0</v>
      </c>
      <c r="J95" s="106">
        <f t="shared" si="31"/>
        <v>0</v>
      </c>
      <c r="K95" s="106">
        <f t="shared" si="32"/>
        <v>0</v>
      </c>
      <c r="L95" s="95">
        <f t="shared" si="33"/>
        <v>94</v>
      </c>
      <c r="M95" s="96" t="e">
        <f t="shared" si="21"/>
        <v>#VALUE!</v>
      </c>
      <c r="N95" s="96" t="e">
        <f t="shared" si="22"/>
        <v>#VALUE!</v>
      </c>
      <c r="O95" s="96" t="e">
        <f t="shared" si="23"/>
        <v>#VALUE!</v>
      </c>
      <c r="P95" s="96" t="e">
        <f t="shared" si="24"/>
        <v>#VALUE!</v>
      </c>
      <c r="Q95" s="98">
        <f t="shared" si="34"/>
        <v>93</v>
      </c>
      <c r="R95" s="99" t="e">
        <f t="shared" si="25"/>
        <v>#VALUE!</v>
      </c>
      <c r="S95" s="100" t="e">
        <f t="shared" si="28"/>
        <v>#VALUE!</v>
      </c>
      <c r="T95" s="100" t="e">
        <f t="shared" si="35"/>
        <v>#VALUE!</v>
      </c>
      <c r="U95" s="100" t="e">
        <f t="shared" si="37"/>
        <v>#VALUE!</v>
      </c>
      <c r="V95" s="100" t="e">
        <f t="shared" si="29"/>
        <v>#VALUE!</v>
      </c>
      <c r="W95" s="100" t="e">
        <f t="shared" si="36"/>
        <v>#VALUE!</v>
      </c>
      <c r="X95" s="100" t="e">
        <f t="shared" si="38"/>
        <v>#VALUE!</v>
      </c>
      <c r="Y95" s="99">
        <f t="shared" si="26"/>
        <v>0</v>
      </c>
    </row>
    <row r="96" spans="1:25" x14ac:dyDescent="0.2">
      <c r="A96" s="68"/>
      <c r="B96" s="68"/>
      <c r="C96" s="68"/>
      <c r="D96" s="68"/>
      <c r="E96" s="1047"/>
      <c r="F96" s="1450"/>
      <c r="G96" s="91">
        <f t="shared" si="30"/>
        <v>95</v>
      </c>
      <c r="H96" s="105">
        <f t="shared" si="27"/>
        <v>2861</v>
      </c>
      <c r="I96" s="93">
        <f t="shared" si="20"/>
        <v>0</v>
      </c>
      <c r="J96" s="106">
        <f t="shared" si="31"/>
        <v>0</v>
      </c>
      <c r="K96" s="106">
        <f t="shared" si="32"/>
        <v>0</v>
      </c>
      <c r="L96" s="95">
        <f t="shared" si="33"/>
        <v>95</v>
      </c>
      <c r="M96" s="96" t="e">
        <f t="shared" si="21"/>
        <v>#VALUE!</v>
      </c>
      <c r="N96" s="96" t="e">
        <f t="shared" si="22"/>
        <v>#VALUE!</v>
      </c>
      <c r="O96" s="96" t="e">
        <f t="shared" si="23"/>
        <v>#VALUE!</v>
      </c>
      <c r="P96" s="96" t="e">
        <f t="shared" si="24"/>
        <v>#VALUE!</v>
      </c>
      <c r="Q96" s="98">
        <f t="shared" si="34"/>
        <v>94</v>
      </c>
      <c r="R96" s="99" t="e">
        <f t="shared" si="25"/>
        <v>#VALUE!</v>
      </c>
      <c r="S96" s="100" t="e">
        <f t="shared" si="28"/>
        <v>#VALUE!</v>
      </c>
      <c r="T96" s="100" t="e">
        <f t="shared" si="35"/>
        <v>#VALUE!</v>
      </c>
      <c r="U96" s="100" t="e">
        <f t="shared" si="37"/>
        <v>#VALUE!</v>
      </c>
      <c r="V96" s="100" t="e">
        <f t="shared" si="29"/>
        <v>#VALUE!</v>
      </c>
      <c r="W96" s="100" t="e">
        <f t="shared" si="36"/>
        <v>#VALUE!</v>
      </c>
      <c r="X96" s="100" t="e">
        <f t="shared" si="38"/>
        <v>#VALUE!</v>
      </c>
      <c r="Y96" s="99">
        <f t="shared" si="26"/>
        <v>0</v>
      </c>
    </row>
    <row r="97" spans="1:25" x14ac:dyDescent="0.2">
      <c r="A97" s="68"/>
      <c r="B97" s="68"/>
      <c r="C97" s="68"/>
      <c r="D97" s="68"/>
      <c r="E97" s="1047"/>
      <c r="F97" s="1450"/>
      <c r="G97" s="91">
        <f t="shared" si="30"/>
        <v>96</v>
      </c>
      <c r="H97" s="105">
        <f t="shared" si="27"/>
        <v>2891</v>
      </c>
      <c r="I97" s="93">
        <f t="shared" si="20"/>
        <v>0</v>
      </c>
      <c r="J97" s="106">
        <f t="shared" si="31"/>
        <v>0</v>
      </c>
      <c r="K97" s="106">
        <f t="shared" si="32"/>
        <v>0</v>
      </c>
      <c r="L97" s="95">
        <f t="shared" si="33"/>
        <v>96</v>
      </c>
      <c r="M97" s="96" t="e">
        <f t="shared" si="21"/>
        <v>#VALUE!</v>
      </c>
      <c r="N97" s="96" t="e">
        <f t="shared" si="22"/>
        <v>#VALUE!</v>
      </c>
      <c r="O97" s="96" t="e">
        <f t="shared" si="23"/>
        <v>#VALUE!</v>
      </c>
      <c r="P97" s="96" t="e">
        <f t="shared" si="24"/>
        <v>#VALUE!</v>
      </c>
      <c r="Q97" s="98">
        <f t="shared" si="34"/>
        <v>95</v>
      </c>
      <c r="R97" s="99" t="e">
        <f t="shared" si="25"/>
        <v>#VALUE!</v>
      </c>
      <c r="S97" s="100" t="e">
        <f t="shared" si="28"/>
        <v>#VALUE!</v>
      </c>
      <c r="T97" s="100" t="e">
        <f t="shared" si="35"/>
        <v>#VALUE!</v>
      </c>
      <c r="U97" s="100" t="e">
        <f t="shared" si="37"/>
        <v>#VALUE!</v>
      </c>
      <c r="V97" s="100" t="e">
        <f t="shared" si="29"/>
        <v>#VALUE!</v>
      </c>
      <c r="W97" s="100" t="e">
        <f t="shared" si="36"/>
        <v>#VALUE!</v>
      </c>
      <c r="X97" s="100" t="e">
        <f t="shared" si="38"/>
        <v>#VALUE!</v>
      </c>
      <c r="Y97" s="99">
        <f t="shared" si="26"/>
        <v>0</v>
      </c>
    </row>
    <row r="98" spans="1:25" x14ac:dyDescent="0.2">
      <c r="A98" s="68"/>
      <c r="B98" s="68"/>
      <c r="C98" s="68"/>
      <c r="D98" s="68"/>
      <c r="E98" s="1047"/>
      <c r="F98" s="1450">
        <v>9</v>
      </c>
      <c r="G98" s="91">
        <f t="shared" si="30"/>
        <v>97</v>
      </c>
      <c r="H98" s="105">
        <f t="shared" si="27"/>
        <v>2922</v>
      </c>
      <c r="I98" s="93">
        <f t="shared" si="20"/>
        <v>0</v>
      </c>
      <c r="J98" s="106">
        <f t="shared" si="31"/>
        <v>0</v>
      </c>
      <c r="K98" s="106">
        <f t="shared" si="32"/>
        <v>0</v>
      </c>
      <c r="L98" s="95">
        <f t="shared" si="33"/>
        <v>97</v>
      </c>
      <c r="M98" s="96" t="e">
        <f t="shared" si="21"/>
        <v>#VALUE!</v>
      </c>
      <c r="N98" s="96" t="e">
        <f t="shared" si="22"/>
        <v>#VALUE!</v>
      </c>
      <c r="O98" s="96" t="e">
        <f t="shared" si="23"/>
        <v>#VALUE!</v>
      </c>
      <c r="P98" s="96" t="e">
        <f t="shared" si="24"/>
        <v>#VALUE!</v>
      </c>
      <c r="Q98" s="98">
        <f t="shared" si="34"/>
        <v>96</v>
      </c>
      <c r="R98" s="99" t="e">
        <f t="shared" si="25"/>
        <v>#VALUE!</v>
      </c>
      <c r="S98" s="100" t="e">
        <f t="shared" si="28"/>
        <v>#VALUE!</v>
      </c>
      <c r="T98" s="100" t="e">
        <f t="shared" si="35"/>
        <v>#VALUE!</v>
      </c>
      <c r="U98" s="100" t="e">
        <f t="shared" si="37"/>
        <v>#VALUE!</v>
      </c>
      <c r="V98" s="100" t="e">
        <f t="shared" si="29"/>
        <v>#VALUE!</v>
      </c>
      <c r="W98" s="100" t="e">
        <f t="shared" si="36"/>
        <v>#VALUE!</v>
      </c>
      <c r="X98" s="100" t="e">
        <f t="shared" si="38"/>
        <v>#VALUE!</v>
      </c>
      <c r="Y98" s="99">
        <f t="shared" si="26"/>
        <v>0</v>
      </c>
    </row>
    <row r="99" spans="1:25" x14ac:dyDescent="0.2">
      <c r="A99" s="68"/>
      <c r="B99" s="68"/>
      <c r="C99" s="68"/>
      <c r="D99" s="68"/>
      <c r="E99" s="1047"/>
      <c r="F99" s="1450"/>
      <c r="G99" s="91">
        <f t="shared" si="30"/>
        <v>98</v>
      </c>
      <c r="H99" s="105">
        <f t="shared" si="27"/>
        <v>2953</v>
      </c>
      <c r="I99" s="93">
        <f t="shared" si="20"/>
        <v>0</v>
      </c>
      <c r="J99" s="106">
        <f t="shared" si="31"/>
        <v>0</v>
      </c>
      <c r="K99" s="106">
        <f t="shared" si="32"/>
        <v>0</v>
      </c>
      <c r="L99" s="95">
        <f t="shared" si="33"/>
        <v>98</v>
      </c>
      <c r="M99" s="96" t="e">
        <f t="shared" si="21"/>
        <v>#VALUE!</v>
      </c>
      <c r="N99" s="96" t="e">
        <f t="shared" si="22"/>
        <v>#VALUE!</v>
      </c>
      <c r="O99" s="96" t="e">
        <f t="shared" si="23"/>
        <v>#VALUE!</v>
      </c>
      <c r="P99" s="96" t="e">
        <f t="shared" si="24"/>
        <v>#VALUE!</v>
      </c>
      <c r="Q99" s="98">
        <f t="shared" si="34"/>
        <v>97</v>
      </c>
      <c r="R99" s="99" t="e">
        <f t="shared" si="25"/>
        <v>#VALUE!</v>
      </c>
      <c r="S99" s="100" t="e">
        <f t="shared" si="28"/>
        <v>#VALUE!</v>
      </c>
      <c r="T99" s="100" t="e">
        <f t="shared" si="35"/>
        <v>#VALUE!</v>
      </c>
      <c r="U99" s="100" t="e">
        <f t="shared" si="37"/>
        <v>#VALUE!</v>
      </c>
      <c r="V99" s="100" t="e">
        <f t="shared" si="29"/>
        <v>#VALUE!</v>
      </c>
      <c r="W99" s="100" t="e">
        <f t="shared" si="36"/>
        <v>#VALUE!</v>
      </c>
      <c r="X99" s="100" t="e">
        <f t="shared" si="38"/>
        <v>#VALUE!</v>
      </c>
      <c r="Y99" s="99">
        <f t="shared" si="26"/>
        <v>0</v>
      </c>
    </row>
    <row r="100" spans="1:25" x14ac:dyDescent="0.2">
      <c r="A100" s="68"/>
      <c r="B100" s="68"/>
      <c r="C100" s="68"/>
      <c r="D100" s="68"/>
      <c r="E100" s="1047"/>
      <c r="F100" s="1450"/>
      <c r="G100" s="91">
        <f t="shared" si="30"/>
        <v>99</v>
      </c>
      <c r="H100" s="105">
        <f t="shared" si="27"/>
        <v>2982</v>
      </c>
      <c r="I100" s="93">
        <f t="shared" si="20"/>
        <v>0</v>
      </c>
      <c r="J100" s="106">
        <f t="shared" si="31"/>
        <v>0</v>
      </c>
      <c r="K100" s="106">
        <f t="shared" si="32"/>
        <v>0</v>
      </c>
      <c r="L100" s="95">
        <f t="shared" si="33"/>
        <v>99</v>
      </c>
      <c r="M100" s="96" t="e">
        <f t="shared" si="21"/>
        <v>#VALUE!</v>
      </c>
      <c r="N100" s="96" t="e">
        <f t="shared" si="22"/>
        <v>#VALUE!</v>
      </c>
      <c r="O100" s="96" t="e">
        <f t="shared" si="23"/>
        <v>#VALUE!</v>
      </c>
      <c r="P100" s="96" t="e">
        <f t="shared" si="24"/>
        <v>#VALUE!</v>
      </c>
      <c r="Q100" s="98">
        <f t="shared" si="34"/>
        <v>98</v>
      </c>
      <c r="R100" s="99" t="e">
        <f t="shared" si="25"/>
        <v>#VALUE!</v>
      </c>
      <c r="S100" s="100" t="e">
        <f t="shared" si="28"/>
        <v>#VALUE!</v>
      </c>
      <c r="T100" s="100" t="e">
        <f t="shared" si="35"/>
        <v>#VALUE!</v>
      </c>
      <c r="U100" s="100" t="e">
        <f t="shared" si="37"/>
        <v>#VALUE!</v>
      </c>
      <c r="V100" s="100" t="e">
        <f t="shared" si="29"/>
        <v>#VALUE!</v>
      </c>
      <c r="W100" s="100" t="e">
        <f t="shared" si="36"/>
        <v>#VALUE!</v>
      </c>
      <c r="X100" s="100" t="e">
        <f t="shared" si="38"/>
        <v>#VALUE!</v>
      </c>
      <c r="Y100" s="99">
        <f t="shared" si="26"/>
        <v>0</v>
      </c>
    </row>
    <row r="101" spans="1:25" x14ac:dyDescent="0.2">
      <c r="A101" s="68"/>
      <c r="B101" s="68"/>
      <c r="C101" s="68"/>
      <c r="D101" s="68"/>
      <c r="E101" s="1047"/>
      <c r="F101" s="1450"/>
      <c r="G101" s="91">
        <f t="shared" si="30"/>
        <v>100</v>
      </c>
      <c r="H101" s="105">
        <f t="shared" si="27"/>
        <v>3013</v>
      </c>
      <c r="I101" s="93">
        <f t="shared" si="20"/>
        <v>0</v>
      </c>
      <c r="J101" s="106">
        <f t="shared" si="31"/>
        <v>0</v>
      </c>
      <c r="K101" s="106">
        <f t="shared" si="32"/>
        <v>0</v>
      </c>
      <c r="L101" s="95">
        <f t="shared" si="33"/>
        <v>100</v>
      </c>
      <c r="M101" s="96" t="e">
        <f t="shared" si="21"/>
        <v>#VALUE!</v>
      </c>
      <c r="N101" s="96" t="e">
        <f t="shared" si="22"/>
        <v>#VALUE!</v>
      </c>
      <c r="O101" s="96" t="e">
        <f t="shared" si="23"/>
        <v>#VALUE!</v>
      </c>
      <c r="P101" s="96" t="e">
        <f t="shared" si="24"/>
        <v>#VALUE!</v>
      </c>
      <c r="Q101" s="98">
        <f t="shared" si="34"/>
        <v>99</v>
      </c>
      <c r="R101" s="99" t="e">
        <f t="shared" si="25"/>
        <v>#VALUE!</v>
      </c>
      <c r="S101" s="100" t="e">
        <f t="shared" si="28"/>
        <v>#VALUE!</v>
      </c>
      <c r="T101" s="100" t="e">
        <f t="shared" si="35"/>
        <v>#VALUE!</v>
      </c>
      <c r="U101" s="100" t="e">
        <f t="shared" si="37"/>
        <v>#VALUE!</v>
      </c>
      <c r="V101" s="100" t="e">
        <f t="shared" si="29"/>
        <v>#VALUE!</v>
      </c>
      <c r="W101" s="100" t="e">
        <f t="shared" si="36"/>
        <v>#VALUE!</v>
      </c>
      <c r="X101" s="100" t="e">
        <f t="shared" si="38"/>
        <v>#VALUE!</v>
      </c>
      <c r="Y101" s="99">
        <f t="shared" si="26"/>
        <v>0</v>
      </c>
    </row>
    <row r="102" spans="1:25" x14ac:dyDescent="0.2">
      <c r="A102" s="68"/>
      <c r="B102" s="68"/>
      <c r="C102" s="68"/>
      <c r="D102" s="68"/>
      <c r="E102" s="1047"/>
      <c r="F102" s="1450"/>
      <c r="G102" s="91">
        <f t="shared" si="30"/>
        <v>101</v>
      </c>
      <c r="H102" s="105">
        <f t="shared" si="27"/>
        <v>3043</v>
      </c>
      <c r="I102" s="93">
        <f t="shared" si="20"/>
        <v>0</v>
      </c>
      <c r="J102" s="106">
        <f t="shared" si="31"/>
        <v>0</v>
      </c>
      <c r="K102" s="106">
        <f t="shared" si="32"/>
        <v>0</v>
      </c>
      <c r="L102" s="95">
        <f t="shared" si="33"/>
        <v>101</v>
      </c>
      <c r="M102" s="96" t="e">
        <f t="shared" si="21"/>
        <v>#VALUE!</v>
      </c>
      <c r="N102" s="96" t="e">
        <f t="shared" si="22"/>
        <v>#VALUE!</v>
      </c>
      <c r="O102" s="96" t="e">
        <f t="shared" si="23"/>
        <v>#VALUE!</v>
      </c>
      <c r="P102" s="96" t="e">
        <f t="shared" si="24"/>
        <v>#VALUE!</v>
      </c>
      <c r="Q102" s="98">
        <f t="shared" si="34"/>
        <v>100</v>
      </c>
      <c r="R102" s="99" t="e">
        <f t="shared" si="25"/>
        <v>#VALUE!</v>
      </c>
      <c r="S102" s="100" t="e">
        <f t="shared" si="28"/>
        <v>#VALUE!</v>
      </c>
      <c r="T102" s="100" t="e">
        <f t="shared" si="35"/>
        <v>#VALUE!</v>
      </c>
      <c r="U102" s="100" t="e">
        <f t="shared" si="37"/>
        <v>#VALUE!</v>
      </c>
      <c r="V102" s="100" t="e">
        <f t="shared" si="29"/>
        <v>#VALUE!</v>
      </c>
      <c r="W102" s="100" t="e">
        <f t="shared" si="36"/>
        <v>#VALUE!</v>
      </c>
      <c r="X102" s="100" t="e">
        <f t="shared" si="38"/>
        <v>#VALUE!</v>
      </c>
      <c r="Y102" s="99">
        <f t="shared" si="26"/>
        <v>0</v>
      </c>
    </row>
    <row r="103" spans="1:25" x14ac:dyDescent="0.2">
      <c r="A103" s="68"/>
      <c r="B103" s="68"/>
      <c r="C103" s="68"/>
      <c r="D103" s="68"/>
      <c r="E103" s="1047"/>
      <c r="F103" s="1450"/>
      <c r="G103" s="91">
        <f t="shared" si="30"/>
        <v>102</v>
      </c>
      <c r="H103" s="105">
        <f t="shared" si="27"/>
        <v>3074</v>
      </c>
      <c r="I103" s="93">
        <f t="shared" si="20"/>
        <v>0</v>
      </c>
      <c r="J103" s="106">
        <f t="shared" si="31"/>
        <v>0</v>
      </c>
      <c r="K103" s="106">
        <f t="shared" si="32"/>
        <v>0</v>
      </c>
      <c r="L103" s="95">
        <f t="shared" si="33"/>
        <v>102</v>
      </c>
      <c r="M103" s="96" t="e">
        <f t="shared" si="21"/>
        <v>#VALUE!</v>
      </c>
      <c r="N103" s="96" t="e">
        <f t="shared" si="22"/>
        <v>#VALUE!</v>
      </c>
      <c r="O103" s="96" t="e">
        <f t="shared" si="23"/>
        <v>#VALUE!</v>
      </c>
      <c r="P103" s="96" t="e">
        <f t="shared" si="24"/>
        <v>#VALUE!</v>
      </c>
      <c r="Q103" s="98">
        <f t="shared" si="34"/>
        <v>101</v>
      </c>
      <c r="R103" s="99" t="e">
        <f t="shared" si="25"/>
        <v>#VALUE!</v>
      </c>
      <c r="S103" s="100" t="e">
        <f t="shared" si="28"/>
        <v>#VALUE!</v>
      </c>
      <c r="T103" s="100" t="e">
        <f t="shared" si="35"/>
        <v>#VALUE!</v>
      </c>
      <c r="U103" s="100" t="e">
        <f t="shared" si="37"/>
        <v>#VALUE!</v>
      </c>
      <c r="V103" s="100" t="e">
        <f t="shared" si="29"/>
        <v>#VALUE!</v>
      </c>
      <c r="W103" s="100" t="e">
        <f t="shared" si="36"/>
        <v>#VALUE!</v>
      </c>
      <c r="X103" s="100" t="e">
        <f t="shared" si="38"/>
        <v>#VALUE!</v>
      </c>
      <c r="Y103" s="99">
        <f t="shared" si="26"/>
        <v>0</v>
      </c>
    </row>
    <row r="104" spans="1:25" x14ac:dyDescent="0.2">
      <c r="A104" s="68"/>
      <c r="B104" s="68"/>
      <c r="C104" s="68"/>
      <c r="D104" s="68"/>
      <c r="E104" s="1047"/>
      <c r="F104" s="1450"/>
      <c r="G104" s="91">
        <f t="shared" si="30"/>
        <v>103</v>
      </c>
      <c r="H104" s="105">
        <f t="shared" si="27"/>
        <v>3104</v>
      </c>
      <c r="I104" s="93">
        <f t="shared" si="20"/>
        <v>0</v>
      </c>
      <c r="J104" s="106">
        <f t="shared" si="31"/>
        <v>0</v>
      </c>
      <c r="K104" s="106">
        <f t="shared" si="32"/>
        <v>0</v>
      </c>
      <c r="L104" s="95">
        <f t="shared" si="33"/>
        <v>103</v>
      </c>
      <c r="M104" s="96" t="e">
        <f t="shared" si="21"/>
        <v>#VALUE!</v>
      </c>
      <c r="N104" s="96" t="e">
        <f t="shared" si="22"/>
        <v>#VALUE!</v>
      </c>
      <c r="O104" s="96" t="e">
        <f t="shared" si="23"/>
        <v>#VALUE!</v>
      </c>
      <c r="P104" s="96" t="e">
        <f t="shared" si="24"/>
        <v>#VALUE!</v>
      </c>
      <c r="Q104" s="98">
        <f t="shared" si="34"/>
        <v>102</v>
      </c>
      <c r="R104" s="99" t="e">
        <f t="shared" si="25"/>
        <v>#VALUE!</v>
      </c>
      <c r="S104" s="100" t="e">
        <f t="shared" si="28"/>
        <v>#VALUE!</v>
      </c>
      <c r="T104" s="100" t="e">
        <f t="shared" si="35"/>
        <v>#VALUE!</v>
      </c>
      <c r="U104" s="100" t="e">
        <f t="shared" si="37"/>
        <v>#VALUE!</v>
      </c>
      <c r="V104" s="100" t="e">
        <f t="shared" si="29"/>
        <v>#VALUE!</v>
      </c>
      <c r="W104" s="100" t="e">
        <f t="shared" si="36"/>
        <v>#VALUE!</v>
      </c>
      <c r="X104" s="100" t="e">
        <f t="shared" si="38"/>
        <v>#VALUE!</v>
      </c>
      <c r="Y104" s="99">
        <f t="shared" si="26"/>
        <v>0</v>
      </c>
    </row>
    <row r="105" spans="1:25" x14ac:dyDescent="0.2">
      <c r="A105" s="68"/>
      <c r="B105" s="68"/>
      <c r="C105" s="68"/>
      <c r="D105" s="68"/>
      <c r="E105" s="1047"/>
      <c r="F105" s="1450"/>
      <c r="G105" s="91">
        <f t="shared" si="30"/>
        <v>104</v>
      </c>
      <c r="H105" s="105">
        <f t="shared" si="27"/>
        <v>3135</v>
      </c>
      <c r="I105" s="93">
        <f t="shared" si="20"/>
        <v>0</v>
      </c>
      <c r="J105" s="106">
        <f t="shared" si="31"/>
        <v>0</v>
      </c>
      <c r="K105" s="106">
        <f t="shared" si="32"/>
        <v>0</v>
      </c>
      <c r="L105" s="95">
        <f t="shared" si="33"/>
        <v>104</v>
      </c>
      <c r="M105" s="96" t="e">
        <f t="shared" si="21"/>
        <v>#VALUE!</v>
      </c>
      <c r="N105" s="96" t="e">
        <f t="shared" si="22"/>
        <v>#VALUE!</v>
      </c>
      <c r="O105" s="96" t="e">
        <f t="shared" si="23"/>
        <v>#VALUE!</v>
      </c>
      <c r="P105" s="96" t="e">
        <f t="shared" si="24"/>
        <v>#VALUE!</v>
      </c>
      <c r="Q105" s="98">
        <f t="shared" si="34"/>
        <v>103</v>
      </c>
      <c r="R105" s="99" t="e">
        <f t="shared" si="25"/>
        <v>#VALUE!</v>
      </c>
      <c r="S105" s="100" t="e">
        <f t="shared" si="28"/>
        <v>#VALUE!</v>
      </c>
      <c r="T105" s="100" t="e">
        <f t="shared" si="35"/>
        <v>#VALUE!</v>
      </c>
      <c r="U105" s="100" t="e">
        <f t="shared" si="37"/>
        <v>#VALUE!</v>
      </c>
      <c r="V105" s="100" t="e">
        <f t="shared" si="29"/>
        <v>#VALUE!</v>
      </c>
      <c r="W105" s="100" t="e">
        <f t="shared" si="36"/>
        <v>#VALUE!</v>
      </c>
      <c r="X105" s="100" t="e">
        <f t="shared" si="38"/>
        <v>#VALUE!</v>
      </c>
      <c r="Y105" s="99">
        <f t="shared" si="26"/>
        <v>0</v>
      </c>
    </row>
    <row r="106" spans="1:25" x14ac:dyDescent="0.2">
      <c r="A106" s="68"/>
      <c r="B106" s="68"/>
      <c r="C106" s="68"/>
      <c r="D106" s="68"/>
      <c r="E106" s="1047"/>
      <c r="F106" s="1450"/>
      <c r="G106" s="91">
        <f t="shared" si="30"/>
        <v>105</v>
      </c>
      <c r="H106" s="105">
        <f t="shared" si="27"/>
        <v>3166</v>
      </c>
      <c r="I106" s="93">
        <f t="shared" si="20"/>
        <v>0</v>
      </c>
      <c r="J106" s="106">
        <f t="shared" si="31"/>
        <v>0</v>
      </c>
      <c r="K106" s="106">
        <f t="shared" si="32"/>
        <v>0</v>
      </c>
      <c r="L106" s="95">
        <f t="shared" si="33"/>
        <v>105</v>
      </c>
      <c r="M106" s="96" t="e">
        <f t="shared" si="21"/>
        <v>#VALUE!</v>
      </c>
      <c r="N106" s="96" t="e">
        <f t="shared" si="22"/>
        <v>#VALUE!</v>
      </c>
      <c r="O106" s="96" t="e">
        <f t="shared" si="23"/>
        <v>#VALUE!</v>
      </c>
      <c r="P106" s="96" t="e">
        <f t="shared" si="24"/>
        <v>#VALUE!</v>
      </c>
      <c r="Q106" s="98">
        <f t="shared" si="34"/>
        <v>104</v>
      </c>
      <c r="R106" s="99" t="e">
        <f t="shared" si="25"/>
        <v>#VALUE!</v>
      </c>
      <c r="S106" s="100" t="e">
        <f t="shared" si="28"/>
        <v>#VALUE!</v>
      </c>
      <c r="T106" s="100" t="e">
        <f t="shared" si="35"/>
        <v>#VALUE!</v>
      </c>
      <c r="U106" s="100" t="e">
        <f t="shared" si="37"/>
        <v>#VALUE!</v>
      </c>
      <c r="V106" s="100" t="e">
        <f t="shared" si="29"/>
        <v>#VALUE!</v>
      </c>
      <c r="W106" s="100" t="e">
        <f t="shared" si="36"/>
        <v>#VALUE!</v>
      </c>
      <c r="X106" s="100" t="e">
        <f t="shared" si="38"/>
        <v>#VALUE!</v>
      </c>
      <c r="Y106" s="99">
        <f t="shared" si="26"/>
        <v>0</v>
      </c>
    </row>
    <row r="107" spans="1:25" x14ac:dyDescent="0.2">
      <c r="A107" s="68"/>
      <c r="B107" s="68"/>
      <c r="C107" s="68"/>
      <c r="D107" s="68"/>
      <c r="E107" s="1047"/>
      <c r="F107" s="1450"/>
      <c r="G107" s="91">
        <f t="shared" si="30"/>
        <v>106</v>
      </c>
      <c r="H107" s="105">
        <f t="shared" si="27"/>
        <v>3196</v>
      </c>
      <c r="I107" s="93">
        <f t="shared" si="20"/>
        <v>0</v>
      </c>
      <c r="J107" s="106">
        <f t="shared" si="31"/>
        <v>0</v>
      </c>
      <c r="K107" s="106">
        <f t="shared" si="32"/>
        <v>0</v>
      </c>
      <c r="L107" s="95">
        <f t="shared" si="33"/>
        <v>106</v>
      </c>
      <c r="M107" s="96" t="e">
        <f t="shared" si="21"/>
        <v>#VALUE!</v>
      </c>
      <c r="N107" s="96" t="e">
        <f t="shared" si="22"/>
        <v>#VALUE!</v>
      </c>
      <c r="O107" s="96" t="e">
        <f t="shared" si="23"/>
        <v>#VALUE!</v>
      </c>
      <c r="P107" s="96" t="e">
        <f t="shared" si="24"/>
        <v>#VALUE!</v>
      </c>
      <c r="Q107" s="98">
        <f t="shared" si="34"/>
        <v>105</v>
      </c>
      <c r="R107" s="99" t="e">
        <f t="shared" si="25"/>
        <v>#VALUE!</v>
      </c>
      <c r="S107" s="100" t="e">
        <f t="shared" si="28"/>
        <v>#VALUE!</v>
      </c>
      <c r="T107" s="100" t="e">
        <f t="shared" si="35"/>
        <v>#VALUE!</v>
      </c>
      <c r="U107" s="100" t="e">
        <f t="shared" si="37"/>
        <v>#VALUE!</v>
      </c>
      <c r="V107" s="100" t="e">
        <f t="shared" si="29"/>
        <v>#VALUE!</v>
      </c>
      <c r="W107" s="100" t="e">
        <f t="shared" si="36"/>
        <v>#VALUE!</v>
      </c>
      <c r="X107" s="100" t="e">
        <f t="shared" si="38"/>
        <v>#VALUE!</v>
      </c>
      <c r="Y107" s="99">
        <f t="shared" si="26"/>
        <v>0</v>
      </c>
    </row>
    <row r="108" spans="1:25" x14ac:dyDescent="0.2">
      <c r="A108" s="68"/>
      <c r="B108" s="68"/>
      <c r="C108" s="68"/>
      <c r="D108" s="68"/>
      <c r="E108" s="1047"/>
      <c r="F108" s="1450"/>
      <c r="G108" s="91">
        <f t="shared" si="30"/>
        <v>107</v>
      </c>
      <c r="H108" s="105">
        <f t="shared" si="27"/>
        <v>3227</v>
      </c>
      <c r="I108" s="93">
        <f t="shared" si="20"/>
        <v>0</v>
      </c>
      <c r="J108" s="106">
        <f t="shared" si="31"/>
        <v>0</v>
      </c>
      <c r="K108" s="106">
        <f t="shared" si="32"/>
        <v>0</v>
      </c>
      <c r="L108" s="95">
        <f t="shared" si="33"/>
        <v>107</v>
      </c>
      <c r="M108" s="96" t="e">
        <f t="shared" si="21"/>
        <v>#VALUE!</v>
      </c>
      <c r="N108" s="96" t="e">
        <f t="shared" si="22"/>
        <v>#VALUE!</v>
      </c>
      <c r="O108" s="96" t="e">
        <f t="shared" si="23"/>
        <v>#VALUE!</v>
      </c>
      <c r="P108" s="96" t="e">
        <f t="shared" si="24"/>
        <v>#VALUE!</v>
      </c>
      <c r="Q108" s="98">
        <f t="shared" si="34"/>
        <v>106</v>
      </c>
      <c r="R108" s="99" t="e">
        <f t="shared" si="25"/>
        <v>#VALUE!</v>
      </c>
      <c r="S108" s="100" t="e">
        <f t="shared" si="28"/>
        <v>#VALUE!</v>
      </c>
      <c r="T108" s="100" t="e">
        <f t="shared" si="35"/>
        <v>#VALUE!</v>
      </c>
      <c r="U108" s="100" t="e">
        <f t="shared" si="37"/>
        <v>#VALUE!</v>
      </c>
      <c r="V108" s="100" t="e">
        <f t="shared" si="29"/>
        <v>#VALUE!</v>
      </c>
      <c r="W108" s="100" t="e">
        <f t="shared" si="36"/>
        <v>#VALUE!</v>
      </c>
      <c r="X108" s="100" t="e">
        <f t="shared" si="38"/>
        <v>#VALUE!</v>
      </c>
      <c r="Y108" s="99">
        <f t="shared" si="26"/>
        <v>0</v>
      </c>
    </row>
    <row r="109" spans="1:25" x14ac:dyDescent="0.2">
      <c r="A109" s="68"/>
      <c r="B109" s="68"/>
      <c r="C109" s="68"/>
      <c r="D109" s="68"/>
      <c r="E109" s="1047"/>
      <c r="F109" s="1450"/>
      <c r="G109" s="91">
        <f t="shared" si="30"/>
        <v>108</v>
      </c>
      <c r="H109" s="105">
        <f t="shared" si="27"/>
        <v>3257</v>
      </c>
      <c r="I109" s="93">
        <f t="shared" si="20"/>
        <v>0</v>
      </c>
      <c r="J109" s="106">
        <f t="shared" si="31"/>
        <v>0</v>
      </c>
      <c r="K109" s="106">
        <f t="shared" si="32"/>
        <v>0</v>
      </c>
      <c r="L109" s="95">
        <f t="shared" si="33"/>
        <v>108</v>
      </c>
      <c r="M109" s="96" t="e">
        <f t="shared" si="21"/>
        <v>#VALUE!</v>
      </c>
      <c r="N109" s="96" t="e">
        <f t="shared" si="22"/>
        <v>#VALUE!</v>
      </c>
      <c r="O109" s="96" t="e">
        <f t="shared" si="23"/>
        <v>#VALUE!</v>
      </c>
      <c r="P109" s="96" t="e">
        <f t="shared" si="24"/>
        <v>#VALUE!</v>
      </c>
      <c r="Q109" s="98">
        <f t="shared" si="34"/>
        <v>107</v>
      </c>
      <c r="R109" s="99" t="e">
        <f t="shared" si="25"/>
        <v>#VALUE!</v>
      </c>
      <c r="S109" s="100" t="e">
        <f t="shared" si="28"/>
        <v>#VALUE!</v>
      </c>
      <c r="T109" s="100" t="e">
        <f t="shared" si="35"/>
        <v>#VALUE!</v>
      </c>
      <c r="U109" s="100" t="e">
        <f t="shared" si="37"/>
        <v>#VALUE!</v>
      </c>
      <c r="V109" s="100" t="e">
        <f t="shared" si="29"/>
        <v>#VALUE!</v>
      </c>
      <c r="W109" s="100" t="e">
        <f t="shared" si="36"/>
        <v>#VALUE!</v>
      </c>
      <c r="X109" s="100" t="e">
        <f t="shared" si="38"/>
        <v>#VALUE!</v>
      </c>
      <c r="Y109" s="99">
        <f t="shared" si="26"/>
        <v>0</v>
      </c>
    </row>
    <row r="110" spans="1:25" x14ac:dyDescent="0.2">
      <c r="A110" s="68"/>
      <c r="B110" s="68"/>
      <c r="C110" s="68"/>
      <c r="D110" s="68"/>
      <c r="E110" s="1047"/>
      <c r="F110" s="1450">
        <v>10</v>
      </c>
      <c r="G110" s="91">
        <f t="shared" si="30"/>
        <v>109</v>
      </c>
      <c r="H110" s="105">
        <f t="shared" si="27"/>
        <v>3288</v>
      </c>
      <c r="I110" s="93">
        <f t="shared" si="20"/>
        <v>0</v>
      </c>
      <c r="J110" s="106">
        <f t="shared" si="31"/>
        <v>0</v>
      </c>
      <c r="K110" s="106">
        <f t="shared" si="32"/>
        <v>0</v>
      </c>
      <c r="L110" s="95">
        <f t="shared" si="33"/>
        <v>109</v>
      </c>
      <c r="M110" s="96" t="e">
        <f t="shared" si="21"/>
        <v>#VALUE!</v>
      </c>
      <c r="N110" s="96" t="e">
        <f t="shared" si="22"/>
        <v>#VALUE!</v>
      </c>
      <c r="O110" s="96" t="e">
        <f t="shared" si="23"/>
        <v>#VALUE!</v>
      </c>
      <c r="P110" s="96" t="e">
        <f t="shared" si="24"/>
        <v>#VALUE!</v>
      </c>
      <c r="Q110" s="98">
        <f t="shared" si="34"/>
        <v>108</v>
      </c>
      <c r="R110" s="99" t="e">
        <f t="shared" si="25"/>
        <v>#VALUE!</v>
      </c>
      <c r="S110" s="100" t="e">
        <f t="shared" si="28"/>
        <v>#VALUE!</v>
      </c>
      <c r="T110" s="100" t="e">
        <f t="shared" si="35"/>
        <v>#VALUE!</v>
      </c>
      <c r="U110" s="100" t="e">
        <f t="shared" si="37"/>
        <v>#VALUE!</v>
      </c>
      <c r="V110" s="100" t="e">
        <f t="shared" si="29"/>
        <v>#VALUE!</v>
      </c>
      <c r="W110" s="100" t="e">
        <f t="shared" si="36"/>
        <v>#VALUE!</v>
      </c>
      <c r="X110" s="100" t="e">
        <f t="shared" si="38"/>
        <v>#VALUE!</v>
      </c>
      <c r="Y110" s="99">
        <f t="shared" si="26"/>
        <v>0</v>
      </c>
    </row>
    <row r="111" spans="1:25" x14ac:dyDescent="0.2">
      <c r="A111" s="68"/>
      <c r="B111" s="68"/>
      <c r="C111" s="68"/>
      <c r="D111" s="68"/>
      <c r="E111" s="1047"/>
      <c r="F111" s="1450"/>
      <c r="G111" s="91">
        <f t="shared" si="30"/>
        <v>110</v>
      </c>
      <c r="H111" s="105">
        <f t="shared" si="27"/>
        <v>3319</v>
      </c>
      <c r="I111" s="93">
        <f t="shared" si="20"/>
        <v>0</v>
      </c>
      <c r="J111" s="106">
        <f t="shared" si="31"/>
        <v>0</v>
      </c>
      <c r="K111" s="106">
        <f t="shared" si="32"/>
        <v>0</v>
      </c>
      <c r="L111" s="95">
        <f t="shared" si="33"/>
        <v>110</v>
      </c>
      <c r="M111" s="96" t="e">
        <f t="shared" si="21"/>
        <v>#VALUE!</v>
      </c>
      <c r="N111" s="96" t="e">
        <f t="shared" si="22"/>
        <v>#VALUE!</v>
      </c>
      <c r="O111" s="96" t="e">
        <f t="shared" si="23"/>
        <v>#VALUE!</v>
      </c>
      <c r="P111" s="96" t="e">
        <f t="shared" si="24"/>
        <v>#VALUE!</v>
      </c>
      <c r="Q111" s="98">
        <f t="shared" si="34"/>
        <v>109</v>
      </c>
      <c r="R111" s="99" t="e">
        <f t="shared" si="25"/>
        <v>#VALUE!</v>
      </c>
      <c r="S111" s="100" t="e">
        <f t="shared" si="28"/>
        <v>#VALUE!</v>
      </c>
      <c r="T111" s="100" t="e">
        <f t="shared" si="35"/>
        <v>#VALUE!</v>
      </c>
      <c r="U111" s="100" t="e">
        <f t="shared" si="37"/>
        <v>#VALUE!</v>
      </c>
      <c r="V111" s="100" t="e">
        <f t="shared" si="29"/>
        <v>#VALUE!</v>
      </c>
      <c r="W111" s="100" t="e">
        <f t="shared" si="36"/>
        <v>#VALUE!</v>
      </c>
      <c r="X111" s="100" t="e">
        <f t="shared" si="38"/>
        <v>#VALUE!</v>
      </c>
      <c r="Y111" s="99">
        <f t="shared" si="26"/>
        <v>0</v>
      </c>
    </row>
    <row r="112" spans="1:25" x14ac:dyDescent="0.2">
      <c r="A112" s="68"/>
      <c r="B112" s="68"/>
      <c r="C112" s="68"/>
      <c r="D112" s="68"/>
      <c r="E112" s="1047"/>
      <c r="F112" s="1450"/>
      <c r="G112" s="91">
        <f t="shared" si="30"/>
        <v>111</v>
      </c>
      <c r="H112" s="105">
        <f t="shared" si="27"/>
        <v>3347</v>
      </c>
      <c r="I112" s="93">
        <f t="shared" si="20"/>
        <v>0</v>
      </c>
      <c r="J112" s="106">
        <f t="shared" si="31"/>
        <v>0</v>
      </c>
      <c r="K112" s="106">
        <f t="shared" si="32"/>
        <v>0</v>
      </c>
      <c r="L112" s="95">
        <f t="shared" si="33"/>
        <v>111</v>
      </c>
      <c r="M112" s="96" t="e">
        <f t="shared" si="21"/>
        <v>#VALUE!</v>
      </c>
      <c r="N112" s="96" t="e">
        <f t="shared" si="22"/>
        <v>#VALUE!</v>
      </c>
      <c r="O112" s="96" t="e">
        <f t="shared" si="23"/>
        <v>#VALUE!</v>
      </c>
      <c r="P112" s="96" t="e">
        <f t="shared" si="24"/>
        <v>#VALUE!</v>
      </c>
      <c r="Q112" s="98">
        <f t="shared" si="34"/>
        <v>110</v>
      </c>
      <c r="R112" s="99" t="e">
        <f t="shared" si="25"/>
        <v>#VALUE!</v>
      </c>
      <c r="S112" s="100" t="e">
        <f t="shared" si="28"/>
        <v>#VALUE!</v>
      </c>
      <c r="T112" s="100" t="e">
        <f t="shared" si="35"/>
        <v>#VALUE!</v>
      </c>
      <c r="U112" s="100" t="e">
        <f t="shared" si="37"/>
        <v>#VALUE!</v>
      </c>
      <c r="V112" s="100" t="e">
        <f t="shared" si="29"/>
        <v>#VALUE!</v>
      </c>
      <c r="W112" s="100" t="e">
        <f t="shared" si="36"/>
        <v>#VALUE!</v>
      </c>
      <c r="X112" s="100" t="e">
        <f t="shared" si="38"/>
        <v>#VALUE!</v>
      </c>
      <c r="Y112" s="99">
        <f t="shared" si="26"/>
        <v>0</v>
      </c>
    </row>
    <row r="113" spans="1:25" x14ac:dyDescent="0.2">
      <c r="A113" s="68"/>
      <c r="B113" s="68"/>
      <c r="C113" s="68"/>
      <c r="D113" s="68"/>
      <c r="E113" s="1047"/>
      <c r="F113" s="1450"/>
      <c r="G113" s="91">
        <f t="shared" si="30"/>
        <v>112</v>
      </c>
      <c r="H113" s="105">
        <f t="shared" si="27"/>
        <v>3378</v>
      </c>
      <c r="I113" s="93">
        <f t="shared" si="20"/>
        <v>0</v>
      </c>
      <c r="J113" s="106">
        <f t="shared" si="31"/>
        <v>0</v>
      </c>
      <c r="K113" s="106">
        <f t="shared" si="32"/>
        <v>0</v>
      </c>
      <c r="L113" s="95">
        <f t="shared" si="33"/>
        <v>112</v>
      </c>
      <c r="M113" s="96" t="e">
        <f t="shared" si="21"/>
        <v>#VALUE!</v>
      </c>
      <c r="N113" s="96" t="e">
        <f t="shared" si="22"/>
        <v>#VALUE!</v>
      </c>
      <c r="O113" s="96" t="e">
        <f t="shared" si="23"/>
        <v>#VALUE!</v>
      </c>
      <c r="P113" s="96" t="e">
        <f t="shared" si="24"/>
        <v>#VALUE!</v>
      </c>
      <c r="Q113" s="98">
        <f t="shared" si="34"/>
        <v>111</v>
      </c>
      <c r="R113" s="99" t="e">
        <f t="shared" si="25"/>
        <v>#VALUE!</v>
      </c>
      <c r="S113" s="100" t="e">
        <f t="shared" si="28"/>
        <v>#VALUE!</v>
      </c>
      <c r="T113" s="100" t="e">
        <f t="shared" si="35"/>
        <v>#VALUE!</v>
      </c>
      <c r="U113" s="100" t="e">
        <f t="shared" si="37"/>
        <v>#VALUE!</v>
      </c>
      <c r="V113" s="100" t="e">
        <f t="shared" si="29"/>
        <v>#VALUE!</v>
      </c>
      <c r="W113" s="100" t="e">
        <f t="shared" si="36"/>
        <v>#VALUE!</v>
      </c>
      <c r="X113" s="100" t="e">
        <f t="shared" si="38"/>
        <v>#VALUE!</v>
      </c>
      <c r="Y113" s="99">
        <f t="shared" si="26"/>
        <v>0</v>
      </c>
    </row>
    <row r="114" spans="1:25" x14ac:dyDescent="0.2">
      <c r="A114" s="68"/>
      <c r="B114" s="68"/>
      <c r="C114" s="68"/>
      <c r="D114" s="68"/>
      <c r="E114" s="1047"/>
      <c r="F114" s="1450"/>
      <c r="G114" s="91">
        <f t="shared" si="30"/>
        <v>113</v>
      </c>
      <c r="H114" s="105">
        <f t="shared" si="27"/>
        <v>3408</v>
      </c>
      <c r="I114" s="93">
        <f t="shared" si="20"/>
        <v>0</v>
      </c>
      <c r="J114" s="106">
        <f t="shared" si="31"/>
        <v>0</v>
      </c>
      <c r="K114" s="106">
        <f t="shared" si="32"/>
        <v>0</v>
      </c>
      <c r="L114" s="95">
        <f t="shared" si="33"/>
        <v>113</v>
      </c>
      <c r="M114" s="96" t="e">
        <f t="shared" si="21"/>
        <v>#VALUE!</v>
      </c>
      <c r="N114" s="96" t="e">
        <f t="shared" si="22"/>
        <v>#VALUE!</v>
      </c>
      <c r="O114" s="96" t="e">
        <f t="shared" si="23"/>
        <v>#VALUE!</v>
      </c>
      <c r="P114" s="96" t="e">
        <f t="shared" si="24"/>
        <v>#VALUE!</v>
      </c>
      <c r="Q114" s="98">
        <f t="shared" si="34"/>
        <v>112</v>
      </c>
      <c r="R114" s="99" t="e">
        <f t="shared" si="25"/>
        <v>#VALUE!</v>
      </c>
      <c r="S114" s="100" t="e">
        <f t="shared" si="28"/>
        <v>#VALUE!</v>
      </c>
      <c r="T114" s="100" t="e">
        <f t="shared" si="35"/>
        <v>#VALUE!</v>
      </c>
      <c r="U114" s="100" t="e">
        <f t="shared" si="37"/>
        <v>#VALUE!</v>
      </c>
      <c r="V114" s="100" t="e">
        <f t="shared" si="29"/>
        <v>#VALUE!</v>
      </c>
      <c r="W114" s="100" t="e">
        <f t="shared" si="36"/>
        <v>#VALUE!</v>
      </c>
      <c r="X114" s="100" t="e">
        <f t="shared" si="38"/>
        <v>#VALUE!</v>
      </c>
      <c r="Y114" s="99">
        <f t="shared" si="26"/>
        <v>0</v>
      </c>
    </row>
    <row r="115" spans="1:25" x14ac:dyDescent="0.2">
      <c r="A115" s="68"/>
      <c r="B115" s="68"/>
      <c r="C115" s="68"/>
      <c r="D115" s="68"/>
      <c r="E115" s="1047"/>
      <c r="F115" s="1450"/>
      <c r="G115" s="91">
        <f t="shared" si="30"/>
        <v>114</v>
      </c>
      <c r="H115" s="105">
        <f t="shared" si="27"/>
        <v>3439</v>
      </c>
      <c r="I115" s="93">
        <f t="shared" si="20"/>
        <v>0</v>
      </c>
      <c r="J115" s="106">
        <f t="shared" si="31"/>
        <v>0</v>
      </c>
      <c r="K115" s="106">
        <f t="shared" si="32"/>
        <v>0</v>
      </c>
      <c r="L115" s="95">
        <f t="shared" si="33"/>
        <v>114</v>
      </c>
      <c r="M115" s="96" t="e">
        <f t="shared" si="21"/>
        <v>#VALUE!</v>
      </c>
      <c r="N115" s="96" t="e">
        <f t="shared" si="22"/>
        <v>#VALUE!</v>
      </c>
      <c r="O115" s="96" t="e">
        <f t="shared" si="23"/>
        <v>#VALUE!</v>
      </c>
      <c r="P115" s="96" t="e">
        <f t="shared" si="24"/>
        <v>#VALUE!</v>
      </c>
      <c r="Q115" s="98">
        <f t="shared" si="34"/>
        <v>113</v>
      </c>
      <c r="R115" s="99" t="e">
        <f t="shared" si="25"/>
        <v>#VALUE!</v>
      </c>
      <c r="S115" s="100" t="e">
        <f t="shared" si="28"/>
        <v>#VALUE!</v>
      </c>
      <c r="T115" s="100" t="e">
        <f t="shared" si="35"/>
        <v>#VALUE!</v>
      </c>
      <c r="U115" s="100" t="e">
        <f t="shared" si="37"/>
        <v>#VALUE!</v>
      </c>
      <c r="V115" s="100" t="e">
        <f t="shared" si="29"/>
        <v>#VALUE!</v>
      </c>
      <c r="W115" s="100" t="e">
        <f t="shared" si="36"/>
        <v>#VALUE!</v>
      </c>
      <c r="X115" s="100" t="e">
        <f t="shared" si="38"/>
        <v>#VALUE!</v>
      </c>
      <c r="Y115" s="99">
        <f t="shared" si="26"/>
        <v>0</v>
      </c>
    </row>
    <row r="116" spans="1:25" x14ac:dyDescent="0.2">
      <c r="A116" s="68"/>
      <c r="B116" s="68"/>
      <c r="C116" s="68"/>
      <c r="D116" s="68"/>
      <c r="E116" s="1047"/>
      <c r="F116" s="1450"/>
      <c r="G116" s="91">
        <f t="shared" si="30"/>
        <v>115</v>
      </c>
      <c r="H116" s="105">
        <f t="shared" si="27"/>
        <v>3469</v>
      </c>
      <c r="I116" s="93">
        <f t="shared" si="20"/>
        <v>0</v>
      </c>
      <c r="J116" s="106">
        <f t="shared" si="31"/>
        <v>0</v>
      </c>
      <c r="K116" s="106">
        <f t="shared" si="32"/>
        <v>0</v>
      </c>
      <c r="L116" s="95">
        <f t="shared" si="33"/>
        <v>115</v>
      </c>
      <c r="M116" s="96" t="e">
        <f t="shared" si="21"/>
        <v>#VALUE!</v>
      </c>
      <c r="N116" s="96" t="e">
        <f t="shared" si="22"/>
        <v>#VALUE!</v>
      </c>
      <c r="O116" s="96" t="e">
        <f t="shared" si="23"/>
        <v>#VALUE!</v>
      </c>
      <c r="P116" s="96" t="e">
        <f t="shared" si="24"/>
        <v>#VALUE!</v>
      </c>
      <c r="Q116" s="98">
        <f t="shared" si="34"/>
        <v>114</v>
      </c>
      <c r="R116" s="99" t="e">
        <f t="shared" si="25"/>
        <v>#VALUE!</v>
      </c>
      <c r="S116" s="100" t="e">
        <f t="shared" si="28"/>
        <v>#VALUE!</v>
      </c>
      <c r="T116" s="100" t="e">
        <f t="shared" si="35"/>
        <v>#VALUE!</v>
      </c>
      <c r="U116" s="100" t="e">
        <f t="shared" si="37"/>
        <v>#VALUE!</v>
      </c>
      <c r="V116" s="100" t="e">
        <f t="shared" si="29"/>
        <v>#VALUE!</v>
      </c>
      <c r="W116" s="100" t="e">
        <f t="shared" si="36"/>
        <v>#VALUE!</v>
      </c>
      <c r="X116" s="100" t="e">
        <f t="shared" si="38"/>
        <v>#VALUE!</v>
      </c>
      <c r="Y116" s="99">
        <f t="shared" si="26"/>
        <v>0</v>
      </c>
    </row>
    <row r="117" spans="1:25" x14ac:dyDescent="0.2">
      <c r="A117" s="68"/>
      <c r="B117" s="68"/>
      <c r="C117" s="68"/>
      <c r="D117" s="68"/>
      <c r="E117" s="1047"/>
      <c r="F117" s="1450"/>
      <c r="G117" s="91">
        <f t="shared" si="30"/>
        <v>116</v>
      </c>
      <c r="H117" s="105">
        <f t="shared" si="27"/>
        <v>3500</v>
      </c>
      <c r="I117" s="93">
        <f t="shared" si="20"/>
        <v>0</v>
      </c>
      <c r="J117" s="106">
        <f t="shared" si="31"/>
        <v>0</v>
      </c>
      <c r="K117" s="106">
        <f t="shared" si="32"/>
        <v>0</v>
      </c>
      <c r="L117" s="95">
        <f t="shared" si="33"/>
        <v>116</v>
      </c>
      <c r="M117" s="96" t="e">
        <f t="shared" si="21"/>
        <v>#VALUE!</v>
      </c>
      <c r="N117" s="96" t="e">
        <f t="shared" si="22"/>
        <v>#VALUE!</v>
      </c>
      <c r="O117" s="96" t="e">
        <f t="shared" si="23"/>
        <v>#VALUE!</v>
      </c>
      <c r="P117" s="96" t="e">
        <f t="shared" si="24"/>
        <v>#VALUE!</v>
      </c>
      <c r="Q117" s="98">
        <f t="shared" si="34"/>
        <v>115</v>
      </c>
      <c r="R117" s="99" t="e">
        <f t="shared" si="25"/>
        <v>#VALUE!</v>
      </c>
      <c r="S117" s="100" t="e">
        <f t="shared" si="28"/>
        <v>#VALUE!</v>
      </c>
      <c r="T117" s="100" t="e">
        <f t="shared" si="35"/>
        <v>#VALUE!</v>
      </c>
      <c r="U117" s="100" t="e">
        <f t="shared" si="37"/>
        <v>#VALUE!</v>
      </c>
      <c r="V117" s="100" t="e">
        <f t="shared" si="29"/>
        <v>#VALUE!</v>
      </c>
      <c r="W117" s="100" t="e">
        <f t="shared" si="36"/>
        <v>#VALUE!</v>
      </c>
      <c r="X117" s="100" t="e">
        <f t="shared" si="38"/>
        <v>#VALUE!</v>
      </c>
      <c r="Y117" s="99">
        <f t="shared" si="26"/>
        <v>0</v>
      </c>
    </row>
    <row r="118" spans="1:25" x14ac:dyDescent="0.2">
      <c r="A118" s="68"/>
      <c r="B118" s="68"/>
      <c r="C118" s="68"/>
      <c r="D118" s="68"/>
      <c r="E118" s="1047"/>
      <c r="F118" s="1450"/>
      <c r="G118" s="91">
        <f t="shared" si="30"/>
        <v>117</v>
      </c>
      <c r="H118" s="105">
        <f t="shared" si="27"/>
        <v>3531</v>
      </c>
      <c r="I118" s="93">
        <f t="shared" si="20"/>
        <v>0</v>
      </c>
      <c r="J118" s="106">
        <f t="shared" si="31"/>
        <v>0</v>
      </c>
      <c r="K118" s="106">
        <f t="shared" si="32"/>
        <v>0</v>
      </c>
      <c r="L118" s="95">
        <f t="shared" si="33"/>
        <v>117</v>
      </c>
      <c r="M118" s="96" t="e">
        <f t="shared" si="21"/>
        <v>#VALUE!</v>
      </c>
      <c r="N118" s="96" t="e">
        <f t="shared" si="22"/>
        <v>#VALUE!</v>
      </c>
      <c r="O118" s="96" t="e">
        <f t="shared" si="23"/>
        <v>#VALUE!</v>
      </c>
      <c r="P118" s="96" t="e">
        <f t="shared" si="24"/>
        <v>#VALUE!</v>
      </c>
      <c r="Q118" s="98">
        <f t="shared" si="34"/>
        <v>116</v>
      </c>
      <c r="R118" s="99" t="e">
        <f t="shared" si="25"/>
        <v>#VALUE!</v>
      </c>
      <c r="S118" s="100" t="e">
        <f t="shared" si="28"/>
        <v>#VALUE!</v>
      </c>
      <c r="T118" s="100" t="e">
        <f t="shared" si="35"/>
        <v>#VALUE!</v>
      </c>
      <c r="U118" s="100" t="e">
        <f t="shared" si="37"/>
        <v>#VALUE!</v>
      </c>
      <c r="V118" s="100" t="e">
        <f t="shared" si="29"/>
        <v>#VALUE!</v>
      </c>
      <c r="W118" s="100" t="e">
        <f t="shared" si="36"/>
        <v>#VALUE!</v>
      </c>
      <c r="X118" s="100" t="e">
        <f t="shared" si="38"/>
        <v>#VALUE!</v>
      </c>
      <c r="Y118" s="99">
        <f t="shared" si="26"/>
        <v>0</v>
      </c>
    </row>
    <row r="119" spans="1:25" x14ac:dyDescent="0.2">
      <c r="A119" s="68"/>
      <c r="B119" s="68"/>
      <c r="C119" s="68"/>
      <c r="D119" s="68"/>
      <c r="E119" s="1047"/>
      <c r="F119" s="1450"/>
      <c r="G119" s="91">
        <f t="shared" si="30"/>
        <v>118</v>
      </c>
      <c r="H119" s="105">
        <f t="shared" si="27"/>
        <v>3561</v>
      </c>
      <c r="I119" s="93">
        <f t="shared" si="20"/>
        <v>0</v>
      </c>
      <c r="J119" s="106">
        <f t="shared" si="31"/>
        <v>0</v>
      </c>
      <c r="K119" s="106">
        <f t="shared" si="32"/>
        <v>0</v>
      </c>
      <c r="L119" s="95">
        <f t="shared" si="33"/>
        <v>118</v>
      </c>
      <c r="M119" s="96" t="e">
        <f t="shared" si="21"/>
        <v>#VALUE!</v>
      </c>
      <c r="N119" s="96" t="e">
        <f t="shared" si="22"/>
        <v>#VALUE!</v>
      </c>
      <c r="O119" s="96" t="e">
        <f t="shared" si="23"/>
        <v>#VALUE!</v>
      </c>
      <c r="P119" s="96" t="e">
        <f t="shared" si="24"/>
        <v>#VALUE!</v>
      </c>
      <c r="Q119" s="98">
        <f t="shared" si="34"/>
        <v>117</v>
      </c>
      <c r="R119" s="99" t="e">
        <f t="shared" si="25"/>
        <v>#VALUE!</v>
      </c>
      <c r="S119" s="100" t="e">
        <f t="shared" si="28"/>
        <v>#VALUE!</v>
      </c>
      <c r="T119" s="100" t="e">
        <f t="shared" si="35"/>
        <v>#VALUE!</v>
      </c>
      <c r="U119" s="100" t="e">
        <f t="shared" si="37"/>
        <v>#VALUE!</v>
      </c>
      <c r="V119" s="100" t="e">
        <f t="shared" si="29"/>
        <v>#VALUE!</v>
      </c>
      <c r="W119" s="100" t="e">
        <f t="shared" si="36"/>
        <v>#VALUE!</v>
      </c>
      <c r="X119" s="100" t="e">
        <f t="shared" si="38"/>
        <v>#VALUE!</v>
      </c>
      <c r="Y119" s="99">
        <f t="shared" si="26"/>
        <v>0</v>
      </c>
    </row>
    <row r="120" spans="1:25" x14ac:dyDescent="0.2">
      <c r="A120" s="68"/>
      <c r="B120" s="68"/>
      <c r="C120" s="68"/>
      <c r="D120" s="68"/>
      <c r="E120" s="1047"/>
      <c r="F120" s="1450"/>
      <c r="G120" s="91">
        <f t="shared" si="30"/>
        <v>119</v>
      </c>
      <c r="H120" s="105">
        <f t="shared" si="27"/>
        <v>3592</v>
      </c>
      <c r="I120" s="93">
        <f t="shared" si="20"/>
        <v>0</v>
      </c>
      <c r="J120" s="106">
        <f t="shared" si="31"/>
        <v>0</v>
      </c>
      <c r="K120" s="106">
        <f t="shared" si="32"/>
        <v>0</v>
      </c>
      <c r="L120" s="95">
        <f t="shared" si="33"/>
        <v>119</v>
      </c>
      <c r="M120" s="96" t="e">
        <f t="shared" si="21"/>
        <v>#VALUE!</v>
      </c>
      <c r="N120" s="96" t="e">
        <f t="shared" si="22"/>
        <v>#VALUE!</v>
      </c>
      <c r="O120" s="96" t="e">
        <f t="shared" si="23"/>
        <v>#VALUE!</v>
      </c>
      <c r="P120" s="96" t="e">
        <f t="shared" si="24"/>
        <v>#VALUE!</v>
      </c>
      <c r="Q120" s="98">
        <f t="shared" si="34"/>
        <v>118</v>
      </c>
      <c r="R120" s="99" t="e">
        <f t="shared" si="25"/>
        <v>#VALUE!</v>
      </c>
      <c r="S120" s="100" t="e">
        <f t="shared" si="28"/>
        <v>#VALUE!</v>
      </c>
      <c r="T120" s="100" t="e">
        <f t="shared" si="35"/>
        <v>#VALUE!</v>
      </c>
      <c r="U120" s="100" t="e">
        <f t="shared" si="37"/>
        <v>#VALUE!</v>
      </c>
      <c r="V120" s="100" t="e">
        <f t="shared" si="29"/>
        <v>#VALUE!</v>
      </c>
      <c r="W120" s="100" t="e">
        <f t="shared" si="36"/>
        <v>#VALUE!</v>
      </c>
      <c r="X120" s="100" t="e">
        <f t="shared" si="38"/>
        <v>#VALUE!</v>
      </c>
      <c r="Y120" s="99">
        <f t="shared" si="26"/>
        <v>0</v>
      </c>
    </row>
    <row r="121" spans="1:25" x14ac:dyDescent="0.2">
      <c r="A121" s="68"/>
      <c r="B121" s="68"/>
      <c r="C121" s="68"/>
      <c r="D121" s="68"/>
      <c r="E121" s="1047"/>
      <c r="F121" s="1450"/>
      <c r="G121" s="91">
        <f t="shared" si="30"/>
        <v>120</v>
      </c>
      <c r="H121" s="105">
        <f t="shared" si="27"/>
        <v>3622</v>
      </c>
      <c r="I121" s="93">
        <f t="shared" si="20"/>
        <v>0</v>
      </c>
      <c r="J121" s="106">
        <f t="shared" si="31"/>
        <v>0</v>
      </c>
      <c r="K121" s="106">
        <f t="shared" si="32"/>
        <v>0</v>
      </c>
      <c r="L121" s="95">
        <f t="shared" si="33"/>
        <v>120</v>
      </c>
      <c r="M121" s="96" t="e">
        <f t="shared" si="21"/>
        <v>#VALUE!</v>
      </c>
      <c r="N121" s="96" t="e">
        <f t="shared" si="22"/>
        <v>#VALUE!</v>
      </c>
      <c r="O121" s="96" t="e">
        <f t="shared" si="23"/>
        <v>#VALUE!</v>
      </c>
      <c r="P121" s="96" t="e">
        <f t="shared" si="24"/>
        <v>#VALUE!</v>
      </c>
      <c r="Q121" s="98">
        <f t="shared" si="34"/>
        <v>119</v>
      </c>
      <c r="R121" s="99" t="e">
        <f t="shared" si="25"/>
        <v>#VALUE!</v>
      </c>
      <c r="S121" s="100" t="e">
        <f t="shared" si="28"/>
        <v>#VALUE!</v>
      </c>
      <c r="T121" s="100" t="e">
        <f t="shared" si="35"/>
        <v>#VALUE!</v>
      </c>
      <c r="U121" s="100" t="e">
        <f t="shared" si="37"/>
        <v>#VALUE!</v>
      </c>
      <c r="V121" s="100" t="e">
        <f t="shared" si="29"/>
        <v>#VALUE!</v>
      </c>
      <c r="W121" s="100" t="e">
        <f t="shared" si="36"/>
        <v>#VALUE!</v>
      </c>
      <c r="X121" s="100" t="e">
        <f t="shared" si="38"/>
        <v>#VALUE!</v>
      </c>
      <c r="Y121" s="99">
        <f t="shared" si="26"/>
        <v>0</v>
      </c>
    </row>
    <row r="122" spans="1:25" x14ac:dyDescent="0.2">
      <c r="A122" s="68"/>
      <c r="B122" s="68"/>
      <c r="C122" s="68"/>
      <c r="D122" s="68"/>
      <c r="E122" s="1047"/>
      <c r="F122" s="1450">
        <v>11</v>
      </c>
      <c r="G122" s="91">
        <f t="shared" si="30"/>
        <v>121</v>
      </c>
      <c r="H122" s="105">
        <f t="shared" si="27"/>
        <v>3653</v>
      </c>
      <c r="I122" s="93">
        <f t="shared" si="20"/>
        <v>0</v>
      </c>
      <c r="J122" s="106">
        <f t="shared" si="31"/>
        <v>0</v>
      </c>
      <c r="K122" s="106">
        <f t="shared" si="32"/>
        <v>0</v>
      </c>
      <c r="L122" s="95">
        <f t="shared" si="33"/>
        <v>121</v>
      </c>
      <c r="M122" s="96" t="e">
        <f t="shared" si="21"/>
        <v>#VALUE!</v>
      </c>
      <c r="N122" s="96" t="e">
        <f t="shared" si="22"/>
        <v>#VALUE!</v>
      </c>
      <c r="O122" s="96" t="e">
        <f t="shared" si="23"/>
        <v>#VALUE!</v>
      </c>
      <c r="P122" s="96" t="e">
        <f t="shared" si="24"/>
        <v>#VALUE!</v>
      </c>
      <c r="Q122" s="98">
        <f t="shared" si="34"/>
        <v>120</v>
      </c>
      <c r="R122" s="99" t="e">
        <f t="shared" si="25"/>
        <v>#VALUE!</v>
      </c>
      <c r="S122" s="100" t="e">
        <f t="shared" si="28"/>
        <v>#VALUE!</v>
      </c>
      <c r="T122" s="100" t="e">
        <f t="shared" si="35"/>
        <v>#VALUE!</v>
      </c>
      <c r="U122" s="100" t="e">
        <f t="shared" si="37"/>
        <v>#VALUE!</v>
      </c>
      <c r="V122" s="100" t="e">
        <f t="shared" si="29"/>
        <v>#VALUE!</v>
      </c>
      <c r="W122" s="100" t="e">
        <f t="shared" si="36"/>
        <v>#VALUE!</v>
      </c>
      <c r="X122" s="100" t="e">
        <f t="shared" si="38"/>
        <v>#VALUE!</v>
      </c>
      <c r="Y122" s="99">
        <f t="shared" si="26"/>
        <v>0</v>
      </c>
    </row>
    <row r="123" spans="1:25" x14ac:dyDescent="0.2">
      <c r="A123" s="68"/>
      <c r="B123" s="68"/>
      <c r="C123" s="68"/>
      <c r="D123" s="68"/>
      <c r="E123" s="1047"/>
      <c r="F123" s="1450"/>
      <c r="G123" s="91">
        <f t="shared" si="30"/>
        <v>122</v>
      </c>
      <c r="H123" s="105">
        <f t="shared" si="27"/>
        <v>3684</v>
      </c>
      <c r="I123" s="93">
        <f t="shared" si="20"/>
        <v>0</v>
      </c>
      <c r="J123" s="106">
        <f t="shared" si="31"/>
        <v>0</v>
      </c>
      <c r="K123" s="106">
        <f t="shared" si="32"/>
        <v>0</v>
      </c>
      <c r="L123" s="95">
        <f t="shared" si="33"/>
        <v>122</v>
      </c>
      <c r="M123" s="96" t="e">
        <f t="shared" si="21"/>
        <v>#VALUE!</v>
      </c>
      <c r="N123" s="96" t="e">
        <f t="shared" si="22"/>
        <v>#VALUE!</v>
      </c>
      <c r="O123" s="96" t="e">
        <f t="shared" si="23"/>
        <v>#VALUE!</v>
      </c>
      <c r="P123" s="96" t="e">
        <f t="shared" si="24"/>
        <v>#VALUE!</v>
      </c>
      <c r="Q123" s="98">
        <f t="shared" si="34"/>
        <v>121</v>
      </c>
      <c r="R123" s="99" t="e">
        <f t="shared" si="25"/>
        <v>#VALUE!</v>
      </c>
      <c r="S123" s="100" t="e">
        <f t="shared" si="28"/>
        <v>#VALUE!</v>
      </c>
      <c r="T123" s="100" t="e">
        <f t="shared" si="35"/>
        <v>#VALUE!</v>
      </c>
      <c r="U123" s="100" t="e">
        <f t="shared" si="37"/>
        <v>#VALUE!</v>
      </c>
      <c r="V123" s="100" t="e">
        <f t="shared" si="29"/>
        <v>#VALUE!</v>
      </c>
      <c r="W123" s="100" t="e">
        <f t="shared" si="36"/>
        <v>#VALUE!</v>
      </c>
      <c r="X123" s="100" t="e">
        <f t="shared" si="38"/>
        <v>#VALUE!</v>
      </c>
      <c r="Y123" s="99">
        <f t="shared" si="26"/>
        <v>0</v>
      </c>
    </row>
    <row r="124" spans="1:25" x14ac:dyDescent="0.2">
      <c r="A124" s="68"/>
      <c r="B124" s="68"/>
      <c r="C124" s="68"/>
      <c r="D124" s="68"/>
      <c r="E124" s="1047"/>
      <c r="F124" s="1450"/>
      <c r="G124" s="91">
        <f t="shared" si="30"/>
        <v>123</v>
      </c>
      <c r="H124" s="105">
        <f t="shared" si="27"/>
        <v>3712</v>
      </c>
      <c r="I124" s="93">
        <f t="shared" si="20"/>
        <v>0</v>
      </c>
      <c r="J124" s="106">
        <f t="shared" si="31"/>
        <v>0</v>
      </c>
      <c r="K124" s="106">
        <f t="shared" si="32"/>
        <v>0</v>
      </c>
      <c r="L124" s="95">
        <f t="shared" si="33"/>
        <v>123</v>
      </c>
      <c r="M124" s="96" t="e">
        <f t="shared" si="21"/>
        <v>#VALUE!</v>
      </c>
      <c r="N124" s="96" t="e">
        <f t="shared" si="22"/>
        <v>#VALUE!</v>
      </c>
      <c r="O124" s="96" t="e">
        <f t="shared" si="23"/>
        <v>#VALUE!</v>
      </c>
      <c r="P124" s="96" t="e">
        <f t="shared" si="24"/>
        <v>#VALUE!</v>
      </c>
      <c r="Q124" s="98">
        <f t="shared" si="34"/>
        <v>122</v>
      </c>
      <c r="R124" s="99" t="e">
        <f t="shared" si="25"/>
        <v>#VALUE!</v>
      </c>
      <c r="S124" s="100" t="e">
        <f t="shared" si="28"/>
        <v>#VALUE!</v>
      </c>
      <c r="T124" s="100" t="e">
        <f t="shared" si="35"/>
        <v>#VALUE!</v>
      </c>
      <c r="U124" s="100" t="e">
        <f t="shared" si="37"/>
        <v>#VALUE!</v>
      </c>
      <c r="V124" s="100" t="e">
        <f t="shared" si="29"/>
        <v>#VALUE!</v>
      </c>
      <c r="W124" s="100" t="e">
        <f t="shared" si="36"/>
        <v>#VALUE!</v>
      </c>
      <c r="X124" s="100" t="e">
        <f t="shared" si="38"/>
        <v>#VALUE!</v>
      </c>
      <c r="Y124" s="99">
        <f t="shared" si="26"/>
        <v>0</v>
      </c>
    </row>
    <row r="125" spans="1:25" x14ac:dyDescent="0.2">
      <c r="A125" s="68"/>
      <c r="B125" s="68"/>
      <c r="C125" s="68"/>
      <c r="D125" s="68"/>
      <c r="E125" s="1047"/>
      <c r="F125" s="1450"/>
      <c r="G125" s="91">
        <f t="shared" si="30"/>
        <v>124</v>
      </c>
      <c r="H125" s="105">
        <f t="shared" si="27"/>
        <v>3743</v>
      </c>
      <c r="I125" s="93">
        <f t="shared" si="20"/>
        <v>0</v>
      </c>
      <c r="J125" s="106">
        <f t="shared" si="31"/>
        <v>0</v>
      </c>
      <c r="K125" s="106">
        <f t="shared" si="32"/>
        <v>0</v>
      </c>
      <c r="L125" s="95">
        <f t="shared" si="33"/>
        <v>124</v>
      </c>
      <c r="M125" s="96" t="e">
        <f t="shared" si="21"/>
        <v>#VALUE!</v>
      </c>
      <c r="N125" s="96" t="e">
        <f t="shared" si="22"/>
        <v>#VALUE!</v>
      </c>
      <c r="O125" s="96" t="e">
        <f t="shared" si="23"/>
        <v>#VALUE!</v>
      </c>
      <c r="P125" s="96" t="e">
        <f t="shared" si="24"/>
        <v>#VALUE!</v>
      </c>
      <c r="Q125" s="98">
        <f t="shared" si="34"/>
        <v>123</v>
      </c>
      <c r="R125" s="99" t="e">
        <f t="shared" si="25"/>
        <v>#VALUE!</v>
      </c>
      <c r="S125" s="100" t="e">
        <f t="shared" si="28"/>
        <v>#VALUE!</v>
      </c>
      <c r="T125" s="100" t="e">
        <f t="shared" si="35"/>
        <v>#VALUE!</v>
      </c>
      <c r="U125" s="100" t="e">
        <f t="shared" si="37"/>
        <v>#VALUE!</v>
      </c>
      <c r="V125" s="100" t="e">
        <f t="shared" si="29"/>
        <v>#VALUE!</v>
      </c>
      <c r="W125" s="100" t="e">
        <f t="shared" si="36"/>
        <v>#VALUE!</v>
      </c>
      <c r="X125" s="100" t="e">
        <f t="shared" si="38"/>
        <v>#VALUE!</v>
      </c>
      <c r="Y125" s="99">
        <f t="shared" si="26"/>
        <v>0</v>
      </c>
    </row>
    <row r="126" spans="1:25" x14ac:dyDescent="0.2">
      <c r="A126" s="68"/>
      <c r="B126" s="68"/>
      <c r="C126" s="68"/>
      <c r="D126" s="68"/>
      <c r="E126" s="1047"/>
      <c r="F126" s="1450"/>
      <c r="G126" s="91">
        <f t="shared" si="30"/>
        <v>125</v>
      </c>
      <c r="H126" s="105">
        <f t="shared" si="27"/>
        <v>3773</v>
      </c>
      <c r="I126" s="93">
        <f t="shared" si="20"/>
        <v>0</v>
      </c>
      <c r="J126" s="106">
        <f t="shared" si="31"/>
        <v>0</v>
      </c>
      <c r="K126" s="106">
        <f t="shared" si="32"/>
        <v>0</v>
      </c>
      <c r="L126" s="95">
        <f t="shared" si="33"/>
        <v>125</v>
      </c>
      <c r="M126" s="96" t="e">
        <f t="shared" si="21"/>
        <v>#VALUE!</v>
      </c>
      <c r="N126" s="96" t="e">
        <f t="shared" si="22"/>
        <v>#VALUE!</v>
      </c>
      <c r="O126" s="96" t="e">
        <f t="shared" si="23"/>
        <v>#VALUE!</v>
      </c>
      <c r="P126" s="96" t="e">
        <f t="shared" si="24"/>
        <v>#VALUE!</v>
      </c>
      <c r="Q126" s="98">
        <f t="shared" si="34"/>
        <v>124</v>
      </c>
      <c r="R126" s="99" t="e">
        <f t="shared" si="25"/>
        <v>#VALUE!</v>
      </c>
      <c r="S126" s="100" t="e">
        <f t="shared" si="28"/>
        <v>#VALUE!</v>
      </c>
      <c r="T126" s="100" t="e">
        <f t="shared" si="35"/>
        <v>#VALUE!</v>
      </c>
      <c r="U126" s="100" t="e">
        <f t="shared" si="37"/>
        <v>#VALUE!</v>
      </c>
      <c r="V126" s="100" t="e">
        <f t="shared" si="29"/>
        <v>#VALUE!</v>
      </c>
      <c r="W126" s="100" t="e">
        <f t="shared" si="36"/>
        <v>#VALUE!</v>
      </c>
      <c r="X126" s="100" t="e">
        <f t="shared" si="38"/>
        <v>#VALUE!</v>
      </c>
      <c r="Y126" s="99">
        <f t="shared" si="26"/>
        <v>0</v>
      </c>
    </row>
    <row r="127" spans="1:25" x14ac:dyDescent="0.2">
      <c r="A127" s="68"/>
      <c r="B127" s="68"/>
      <c r="C127" s="68"/>
      <c r="D127" s="68"/>
      <c r="E127" s="1047"/>
      <c r="F127" s="1450"/>
      <c r="G127" s="91">
        <f t="shared" si="30"/>
        <v>126</v>
      </c>
      <c r="H127" s="105">
        <f t="shared" si="27"/>
        <v>3804</v>
      </c>
      <c r="I127" s="93">
        <f t="shared" si="20"/>
        <v>0</v>
      </c>
      <c r="J127" s="106">
        <f t="shared" si="31"/>
        <v>0</v>
      </c>
      <c r="K127" s="106">
        <f t="shared" si="32"/>
        <v>0</v>
      </c>
      <c r="L127" s="95">
        <f t="shared" si="33"/>
        <v>126</v>
      </c>
      <c r="M127" s="96" t="e">
        <f t="shared" si="21"/>
        <v>#VALUE!</v>
      </c>
      <c r="N127" s="96" t="e">
        <f t="shared" si="22"/>
        <v>#VALUE!</v>
      </c>
      <c r="O127" s="96" t="e">
        <f t="shared" si="23"/>
        <v>#VALUE!</v>
      </c>
      <c r="P127" s="96" t="e">
        <f t="shared" si="24"/>
        <v>#VALUE!</v>
      </c>
      <c r="Q127" s="98">
        <f t="shared" si="34"/>
        <v>125</v>
      </c>
      <c r="R127" s="99" t="e">
        <f t="shared" si="25"/>
        <v>#VALUE!</v>
      </c>
      <c r="S127" s="100" t="e">
        <f t="shared" si="28"/>
        <v>#VALUE!</v>
      </c>
      <c r="T127" s="100" t="e">
        <f t="shared" si="35"/>
        <v>#VALUE!</v>
      </c>
      <c r="U127" s="100" t="e">
        <f t="shared" si="37"/>
        <v>#VALUE!</v>
      </c>
      <c r="V127" s="100" t="e">
        <f t="shared" si="29"/>
        <v>#VALUE!</v>
      </c>
      <c r="W127" s="100" t="e">
        <f t="shared" si="36"/>
        <v>#VALUE!</v>
      </c>
      <c r="X127" s="100" t="e">
        <f t="shared" si="38"/>
        <v>#VALUE!</v>
      </c>
      <c r="Y127" s="99">
        <f t="shared" si="26"/>
        <v>0</v>
      </c>
    </row>
    <row r="128" spans="1:25" x14ac:dyDescent="0.2">
      <c r="A128" s="68"/>
      <c r="B128" s="68"/>
      <c r="C128" s="68"/>
      <c r="D128" s="68"/>
      <c r="E128" s="1047"/>
      <c r="F128" s="1450"/>
      <c r="G128" s="91">
        <f t="shared" si="30"/>
        <v>127</v>
      </c>
      <c r="H128" s="105">
        <f t="shared" si="27"/>
        <v>3834</v>
      </c>
      <c r="I128" s="93">
        <f t="shared" si="20"/>
        <v>0</v>
      </c>
      <c r="J128" s="106">
        <f t="shared" si="31"/>
        <v>0</v>
      </c>
      <c r="K128" s="106">
        <f t="shared" si="32"/>
        <v>0</v>
      </c>
      <c r="L128" s="95">
        <f t="shared" si="33"/>
        <v>127</v>
      </c>
      <c r="M128" s="96" t="e">
        <f t="shared" si="21"/>
        <v>#VALUE!</v>
      </c>
      <c r="N128" s="96" t="e">
        <f t="shared" si="22"/>
        <v>#VALUE!</v>
      </c>
      <c r="O128" s="96" t="e">
        <f t="shared" si="23"/>
        <v>#VALUE!</v>
      </c>
      <c r="P128" s="96" t="e">
        <f t="shared" si="24"/>
        <v>#VALUE!</v>
      </c>
      <c r="Q128" s="98">
        <f t="shared" si="34"/>
        <v>126</v>
      </c>
      <c r="R128" s="99" t="e">
        <f t="shared" si="25"/>
        <v>#VALUE!</v>
      </c>
      <c r="S128" s="100" t="e">
        <f t="shared" si="28"/>
        <v>#VALUE!</v>
      </c>
      <c r="T128" s="100" t="e">
        <f t="shared" si="35"/>
        <v>#VALUE!</v>
      </c>
      <c r="U128" s="100" t="e">
        <f t="shared" si="37"/>
        <v>#VALUE!</v>
      </c>
      <c r="V128" s="100" t="e">
        <f t="shared" si="29"/>
        <v>#VALUE!</v>
      </c>
      <c r="W128" s="100" t="e">
        <f t="shared" si="36"/>
        <v>#VALUE!</v>
      </c>
      <c r="X128" s="100" t="e">
        <f t="shared" si="38"/>
        <v>#VALUE!</v>
      </c>
      <c r="Y128" s="99">
        <f t="shared" si="26"/>
        <v>0</v>
      </c>
    </row>
    <row r="129" spans="1:25" x14ac:dyDescent="0.2">
      <c r="A129" s="68"/>
      <c r="B129" s="68"/>
      <c r="C129" s="68"/>
      <c r="D129" s="68"/>
      <c r="E129" s="1047"/>
      <c r="F129" s="1450"/>
      <c r="G129" s="91">
        <f t="shared" si="30"/>
        <v>128</v>
      </c>
      <c r="H129" s="105">
        <f t="shared" si="27"/>
        <v>3865</v>
      </c>
      <c r="I129" s="93">
        <f t="shared" si="20"/>
        <v>0</v>
      </c>
      <c r="J129" s="106">
        <f t="shared" si="31"/>
        <v>0</v>
      </c>
      <c r="K129" s="106">
        <f t="shared" si="32"/>
        <v>0</v>
      </c>
      <c r="L129" s="95">
        <f t="shared" si="33"/>
        <v>128</v>
      </c>
      <c r="M129" s="96" t="e">
        <f t="shared" si="21"/>
        <v>#VALUE!</v>
      </c>
      <c r="N129" s="96" t="e">
        <f t="shared" si="22"/>
        <v>#VALUE!</v>
      </c>
      <c r="O129" s="96" t="e">
        <f t="shared" si="23"/>
        <v>#VALUE!</v>
      </c>
      <c r="P129" s="96" t="e">
        <f t="shared" si="24"/>
        <v>#VALUE!</v>
      </c>
      <c r="Q129" s="98">
        <f t="shared" si="34"/>
        <v>127</v>
      </c>
      <c r="R129" s="99" t="e">
        <f t="shared" si="25"/>
        <v>#VALUE!</v>
      </c>
      <c r="S129" s="100" t="e">
        <f t="shared" si="28"/>
        <v>#VALUE!</v>
      </c>
      <c r="T129" s="100" t="e">
        <f t="shared" si="35"/>
        <v>#VALUE!</v>
      </c>
      <c r="U129" s="100" t="e">
        <f t="shared" si="37"/>
        <v>#VALUE!</v>
      </c>
      <c r="V129" s="100" t="e">
        <f t="shared" si="29"/>
        <v>#VALUE!</v>
      </c>
      <c r="W129" s="100" t="e">
        <f t="shared" si="36"/>
        <v>#VALUE!</v>
      </c>
      <c r="X129" s="100" t="e">
        <f t="shared" si="38"/>
        <v>#VALUE!</v>
      </c>
      <c r="Y129" s="99">
        <f t="shared" si="26"/>
        <v>0</v>
      </c>
    </row>
    <row r="130" spans="1:25" x14ac:dyDescent="0.2">
      <c r="A130" s="68"/>
      <c r="B130" s="68"/>
      <c r="C130" s="68"/>
      <c r="D130" s="68"/>
      <c r="E130" s="1047"/>
      <c r="F130" s="1450"/>
      <c r="G130" s="91">
        <f t="shared" si="30"/>
        <v>129</v>
      </c>
      <c r="H130" s="105">
        <f t="shared" si="27"/>
        <v>3896</v>
      </c>
      <c r="I130" s="93">
        <f t="shared" ref="I130:I193" si="39">IFERROR(VLOOKUP(H130,torlesztesek,2,FALSE),0)</f>
        <v>0</v>
      </c>
      <c r="J130" s="106">
        <f t="shared" si="31"/>
        <v>0</v>
      </c>
      <c r="K130" s="106">
        <f t="shared" si="32"/>
        <v>0</v>
      </c>
      <c r="L130" s="95">
        <f t="shared" si="33"/>
        <v>129</v>
      </c>
      <c r="M130" s="96" t="e">
        <f t="shared" ref="M130:M193" si="40">IF(honap_periodus_kamat=1,S130,IF(honap_periodus_kamat=3,T130,U130))*IF(R130=0,1,)</f>
        <v>#VALUE!</v>
      </c>
      <c r="N130" s="96" t="e">
        <f t="shared" ref="N130:N193" si="41">IF(honap_periodus_kamat=1,V130,IF(honap_periodus_kamat=3,W130,X130))*IF(R130=0,1,)</f>
        <v>#VALUE!</v>
      </c>
      <c r="O130" s="96" t="e">
        <f t="shared" ref="O130:O193" si="42">M130-N130</f>
        <v>#VALUE!</v>
      </c>
      <c r="P130" s="96" t="e">
        <f t="shared" ref="P130:P193" si="43">O130/((1+i_eu/12)^(G130-1))</f>
        <v>#VALUE!</v>
      </c>
      <c r="Q130" s="98">
        <f t="shared" si="34"/>
        <v>128</v>
      </c>
      <c r="R130" s="99" t="e">
        <f t="shared" ref="R130:R193" si="44">MOD(Utolso_torl_honap-G130,honap_periodus_kamat)</f>
        <v>#VALUE!</v>
      </c>
      <c r="S130" s="100" t="e">
        <f t="shared" si="28"/>
        <v>#VALUE!</v>
      </c>
      <c r="T130" s="100" t="e">
        <f t="shared" si="35"/>
        <v>#VALUE!</v>
      </c>
      <c r="U130" s="100" t="e">
        <f t="shared" si="37"/>
        <v>#VALUE!</v>
      </c>
      <c r="V130" s="100" t="e">
        <f t="shared" si="29"/>
        <v>#VALUE!</v>
      </c>
      <c r="W130" s="100" t="e">
        <f t="shared" si="36"/>
        <v>#VALUE!</v>
      </c>
      <c r="X130" s="100" t="e">
        <f t="shared" si="38"/>
        <v>#VALUE!</v>
      </c>
      <c r="Y130" s="99">
        <f t="shared" ref="Y130:Y193" si="45">ROUND(I130,0)</f>
        <v>0</v>
      </c>
    </row>
    <row r="131" spans="1:25" x14ac:dyDescent="0.2">
      <c r="A131" s="68"/>
      <c r="B131" s="68"/>
      <c r="C131" s="68"/>
      <c r="D131" s="68"/>
      <c r="E131" s="1047"/>
      <c r="F131" s="1450"/>
      <c r="G131" s="91">
        <f t="shared" si="30"/>
        <v>130</v>
      </c>
      <c r="H131" s="105">
        <f t="shared" ref="H131:H194" si="46">IF(hovege,EOMONTH(ElsoHonapVege,G130),EDATE(ElsoHonapVege,G130))</f>
        <v>3926</v>
      </c>
      <c r="I131" s="93">
        <f t="shared" si="39"/>
        <v>0</v>
      </c>
      <c r="J131" s="106">
        <f t="shared" si="31"/>
        <v>0</v>
      </c>
      <c r="K131" s="106">
        <f t="shared" si="32"/>
        <v>0</v>
      </c>
      <c r="L131" s="95">
        <f t="shared" si="33"/>
        <v>130</v>
      </c>
      <c r="M131" s="96" t="e">
        <f t="shared" si="40"/>
        <v>#VALUE!</v>
      </c>
      <c r="N131" s="96" t="e">
        <f t="shared" si="41"/>
        <v>#VALUE!</v>
      </c>
      <c r="O131" s="96" t="e">
        <f t="shared" si="42"/>
        <v>#VALUE!</v>
      </c>
      <c r="P131" s="96" t="e">
        <f t="shared" si="43"/>
        <v>#VALUE!</v>
      </c>
      <c r="Q131" s="98">
        <f t="shared" si="34"/>
        <v>129</v>
      </c>
      <c r="R131" s="99" t="e">
        <f t="shared" si="44"/>
        <v>#VALUE!</v>
      </c>
      <c r="S131" s="100" t="e">
        <f t="shared" ref="S131:S194" si="47">(J131*r_ref)/12</f>
        <v>#VALUE!</v>
      </c>
      <c r="T131" s="100" t="e">
        <f t="shared" si="35"/>
        <v>#VALUE!</v>
      </c>
      <c r="U131" s="100" t="e">
        <f t="shared" si="37"/>
        <v>#VALUE!</v>
      </c>
      <c r="V131" s="100" t="e">
        <f t="shared" ref="V131:V194" si="48">(J131*r_k)/12</f>
        <v>#VALUE!</v>
      </c>
      <c r="W131" s="100" t="e">
        <f t="shared" si="36"/>
        <v>#VALUE!</v>
      </c>
      <c r="X131" s="100" t="e">
        <f t="shared" si="38"/>
        <v>#VALUE!</v>
      </c>
      <c r="Y131" s="99">
        <f t="shared" si="45"/>
        <v>0</v>
      </c>
    </row>
    <row r="132" spans="1:25" x14ac:dyDescent="0.2">
      <c r="A132" s="68"/>
      <c r="B132" s="68"/>
      <c r="C132" s="68"/>
      <c r="D132" s="68"/>
      <c r="E132" s="1047"/>
      <c r="F132" s="1450"/>
      <c r="G132" s="91">
        <f t="shared" ref="G132:G195" si="49">G131+1</f>
        <v>131</v>
      </c>
      <c r="H132" s="105">
        <f t="shared" si="46"/>
        <v>3957</v>
      </c>
      <c r="I132" s="93">
        <f t="shared" si="39"/>
        <v>0</v>
      </c>
      <c r="J132" s="106">
        <f t="shared" ref="J132:J195" si="50">+ROUND(J131-I131,100)</f>
        <v>0</v>
      </c>
      <c r="K132" s="106">
        <f t="shared" ref="K132:K195" si="51">+SIGN(ROUND(J132,0))</f>
        <v>0</v>
      </c>
      <c r="L132" s="95">
        <f t="shared" ref="L132:L195" si="52">L131+1</f>
        <v>131</v>
      </c>
      <c r="M132" s="96" t="e">
        <f t="shared" si="40"/>
        <v>#VALUE!</v>
      </c>
      <c r="N132" s="96" t="e">
        <f t="shared" si="41"/>
        <v>#VALUE!</v>
      </c>
      <c r="O132" s="96" t="e">
        <f t="shared" si="42"/>
        <v>#VALUE!</v>
      </c>
      <c r="P132" s="96" t="e">
        <f t="shared" si="43"/>
        <v>#VALUE!</v>
      </c>
      <c r="Q132" s="98">
        <f t="shared" ref="Q132:Q195" si="53">Q131+1</f>
        <v>130</v>
      </c>
      <c r="R132" s="99" t="e">
        <f t="shared" si="44"/>
        <v>#VALUE!</v>
      </c>
      <c r="S132" s="100" t="e">
        <f t="shared" si="47"/>
        <v>#VALUE!</v>
      </c>
      <c r="T132" s="100" t="e">
        <f t="shared" si="35"/>
        <v>#VALUE!</v>
      </c>
      <c r="U132" s="100" t="e">
        <f t="shared" si="37"/>
        <v>#VALUE!</v>
      </c>
      <c r="V132" s="100" t="e">
        <f t="shared" si="48"/>
        <v>#VALUE!</v>
      </c>
      <c r="W132" s="100" t="e">
        <f t="shared" si="36"/>
        <v>#VALUE!</v>
      </c>
      <c r="X132" s="100" t="e">
        <f t="shared" si="38"/>
        <v>#VALUE!</v>
      </c>
      <c r="Y132" s="99">
        <f t="shared" si="45"/>
        <v>0</v>
      </c>
    </row>
    <row r="133" spans="1:25" x14ac:dyDescent="0.2">
      <c r="A133" s="68"/>
      <c r="B133" s="68"/>
      <c r="C133" s="68"/>
      <c r="D133" s="68"/>
      <c r="E133" s="1047"/>
      <c r="F133" s="1450"/>
      <c r="G133" s="91">
        <f t="shared" si="49"/>
        <v>132</v>
      </c>
      <c r="H133" s="105">
        <f t="shared" si="46"/>
        <v>3987</v>
      </c>
      <c r="I133" s="93">
        <f t="shared" si="39"/>
        <v>0</v>
      </c>
      <c r="J133" s="106">
        <f t="shared" si="50"/>
        <v>0</v>
      </c>
      <c r="K133" s="106">
        <f t="shared" si="51"/>
        <v>0</v>
      </c>
      <c r="L133" s="95">
        <f t="shared" si="52"/>
        <v>132</v>
      </c>
      <c r="M133" s="96" t="e">
        <f t="shared" si="40"/>
        <v>#VALUE!</v>
      </c>
      <c r="N133" s="96" t="e">
        <f t="shared" si="41"/>
        <v>#VALUE!</v>
      </c>
      <c r="O133" s="96" t="e">
        <f t="shared" si="42"/>
        <v>#VALUE!</v>
      </c>
      <c r="P133" s="96" t="e">
        <f t="shared" si="43"/>
        <v>#VALUE!</v>
      </c>
      <c r="Q133" s="98">
        <f t="shared" si="53"/>
        <v>131</v>
      </c>
      <c r="R133" s="99" t="e">
        <f t="shared" si="44"/>
        <v>#VALUE!</v>
      </c>
      <c r="S133" s="100" t="e">
        <f t="shared" si="47"/>
        <v>#VALUE!</v>
      </c>
      <c r="T133" s="100" t="e">
        <f t="shared" ref="T133:T196" si="54">SUM(S131:S133)</f>
        <v>#VALUE!</v>
      </c>
      <c r="U133" s="100" t="e">
        <f t="shared" si="37"/>
        <v>#VALUE!</v>
      </c>
      <c r="V133" s="100" t="e">
        <f t="shared" si="48"/>
        <v>#VALUE!</v>
      </c>
      <c r="W133" s="100" t="e">
        <f t="shared" ref="W133:W196" si="55">SUM(V131:V133)</f>
        <v>#VALUE!</v>
      </c>
      <c r="X133" s="100" t="e">
        <f t="shared" si="38"/>
        <v>#VALUE!</v>
      </c>
      <c r="Y133" s="99">
        <f t="shared" si="45"/>
        <v>0</v>
      </c>
    </row>
    <row r="134" spans="1:25" x14ac:dyDescent="0.2">
      <c r="A134" s="68"/>
      <c r="B134" s="68"/>
      <c r="C134" s="68"/>
      <c r="D134" s="68"/>
      <c r="E134" s="1047"/>
      <c r="F134" s="1450">
        <v>12</v>
      </c>
      <c r="G134" s="91">
        <f t="shared" si="49"/>
        <v>133</v>
      </c>
      <c r="H134" s="105">
        <f t="shared" si="46"/>
        <v>4018</v>
      </c>
      <c r="I134" s="93">
        <f t="shared" si="39"/>
        <v>0</v>
      </c>
      <c r="J134" s="106">
        <f t="shared" si="50"/>
        <v>0</v>
      </c>
      <c r="K134" s="106">
        <f t="shared" si="51"/>
        <v>0</v>
      </c>
      <c r="L134" s="95">
        <f t="shared" si="52"/>
        <v>133</v>
      </c>
      <c r="M134" s="96" t="e">
        <f t="shared" si="40"/>
        <v>#VALUE!</v>
      </c>
      <c r="N134" s="96" t="e">
        <f t="shared" si="41"/>
        <v>#VALUE!</v>
      </c>
      <c r="O134" s="96" t="e">
        <f t="shared" si="42"/>
        <v>#VALUE!</v>
      </c>
      <c r="P134" s="96" t="e">
        <f t="shared" si="43"/>
        <v>#VALUE!</v>
      </c>
      <c r="Q134" s="98">
        <f t="shared" si="53"/>
        <v>132</v>
      </c>
      <c r="R134" s="99" t="e">
        <f t="shared" si="44"/>
        <v>#VALUE!</v>
      </c>
      <c r="S134" s="100" t="e">
        <f t="shared" si="47"/>
        <v>#VALUE!</v>
      </c>
      <c r="T134" s="100" t="e">
        <f t="shared" si="54"/>
        <v>#VALUE!</v>
      </c>
      <c r="U134" s="100" t="e">
        <f t="shared" si="37"/>
        <v>#VALUE!</v>
      </c>
      <c r="V134" s="100" t="e">
        <f t="shared" si="48"/>
        <v>#VALUE!</v>
      </c>
      <c r="W134" s="100" t="e">
        <f t="shared" si="55"/>
        <v>#VALUE!</v>
      </c>
      <c r="X134" s="100" t="e">
        <f t="shared" si="38"/>
        <v>#VALUE!</v>
      </c>
      <c r="Y134" s="99">
        <f t="shared" si="45"/>
        <v>0</v>
      </c>
    </row>
    <row r="135" spans="1:25" x14ac:dyDescent="0.2">
      <c r="A135" s="68"/>
      <c r="B135" s="68"/>
      <c r="C135" s="68"/>
      <c r="D135" s="68"/>
      <c r="E135" s="1047"/>
      <c r="F135" s="1450"/>
      <c r="G135" s="91">
        <f t="shared" si="49"/>
        <v>134</v>
      </c>
      <c r="H135" s="105">
        <f t="shared" si="46"/>
        <v>4049</v>
      </c>
      <c r="I135" s="93">
        <f t="shared" si="39"/>
        <v>0</v>
      </c>
      <c r="J135" s="106">
        <f t="shared" si="50"/>
        <v>0</v>
      </c>
      <c r="K135" s="106">
        <f t="shared" si="51"/>
        <v>0</v>
      </c>
      <c r="L135" s="95">
        <f t="shared" si="52"/>
        <v>134</v>
      </c>
      <c r="M135" s="96" t="e">
        <f t="shared" si="40"/>
        <v>#VALUE!</v>
      </c>
      <c r="N135" s="96" t="e">
        <f t="shared" si="41"/>
        <v>#VALUE!</v>
      </c>
      <c r="O135" s="96" t="e">
        <f t="shared" si="42"/>
        <v>#VALUE!</v>
      </c>
      <c r="P135" s="96" t="e">
        <f t="shared" si="43"/>
        <v>#VALUE!</v>
      </c>
      <c r="Q135" s="98">
        <f t="shared" si="53"/>
        <v>133</v>
      </c>
      <c r="R135" s="99" t="e">
        <f t="shared" si="44"/>
        <v>#VALUE!</v>
      </c>
      <c r="S135" s="100" t="e">
        <f t="shared" si="47"/>
        <v>#VALUE!</v>
      </c>
      <c r="T135" s="100" t="e">
        <f t="shared" si="54"/>
        <v>#VALUE!</v>
      </c>
      <c r="U135" s="100" t="e">
        <f t="shared" si="37"/>
        <v>#VALUE!</v>
      </c>
      <c r="V135" s="100" t="e">
        <f t="shared" si="48"/>
        <v>#VALUE!</v>
      </c>
      <c r="W135" s="100" t="e">
        <f t="shared" si="55"/>
        <v>#VALUE!</v>
      </c>
      <c r="X135" s="100" t="e">
        <f t="shared" si="38"/>
        <v>#VALUE!</v>
      </c>
      <c r="Y135" s="99">
        <f t="shared" si="45"/>
        <v>0</v>
      </c>
    </row>
    <row r="136" spans="1:25" x14ac:dyDescent="0.2">
      <c r="A136" s="68"/>
      <c r="B136" s="68"/>
      <c r="C136" s="68"/>
      <c r="D136" s="68"/>
      <c r="E136" s="1047"/>
      <c r="F136" s="1450"/>
      <c r="G136" s="91">
        <f t="shared" si="49"/>
        <v>135</v>
      </c>
      <c r="H136" s="105">
        <f t="shared" si="46"/>
        <v>4077</v>
      </c>
      <c r="I136" s="93">
        <f t="shared" si="39"/>
        <v>0</v>
      </c>
      <c r="J136" s="106">
        <f t="shared" si="50"/>
        <v>0</v>
      </c>
      <c r="K136" s="106">
        <f t="shared" si="51"/>
        <v>0</v>
      </c>
      <c r="L136" s="95">
        <f t="shared" si="52"/>
        <v>135</v>
      </c>
      <c r="M136" s="96" t="e">
        <f t="shared" si="40"/>
        <v>#VALUE!</v>
      </c>
      <c r="N136" s="96" t="e">
        <f t="shared" si="41"/>
        <v>#VALUE!</v>
      </c>
      <c r="O136" s="96" t="e">
        <f t="shared" si="42"/>
        <v>#VALUE!</v>
      </c>
      <c r="P136" s="96" t="e">
        <f t="shared" si="43"/>
        <v>#VALUE!</v>
      </c>
      <c r="Q136" s="98">
        <f t="shared" si="53"/>
        <v>134</v>
      </c>
      <c r="R136" s="99" t="e">
        <f t="shared" si="44"/>
        <v>#VALUE!</v>
      </c>
      <c r="S136" s="100" t="e">
        <f t="shared" si="47"/>
        <v>#VALUE!</v>
      </c>
      <c r="T136" s="100" t="e">
        <f t="shared" si="54"/>
        <v>#VALUE!</v>
      </c>
      <c r="U136" s="100" t="e">
        <f t="shared" ref="U136:U199" si="56">SUM(S131:S136)</f>
        <v>#VALUE!</v>
      </c>
      <c r="V136" s="100" t="e">
        <f t="shared" si="48"/>
        <v>#VALUE!</v>
      </c>
      <c r="W136" s="100" t="e">
        <f t="shared" si="55"/>
        <v>#VALUE!</v>
      </c>
      <c r="X136" s="100" t="e">
        <f t="shared" ref="X136:X199" si="57">SUM(V131:V136)</f>
        <v>#VALUE!</v>
      </c>
      <c r="Y136" s="99">
        <f t="shared" si="45"/>
        <v>0</v>
      </c>
    </row>
    <row r="137" spans="1:25" x14ac:dyDescent="0.2">
      <c r="A137" s="68"/>
      <c r="B137" s="68"/>
      <c r="C137" s="68"/>
      <c r="D137" s="68"/>
      <c r="E137" s="1047"/>
      <c r="F137" s="1450"/>
      <c r="G137" s="91">
        <f t="shared" si="49"/>
        <v>136</v>
      </c>
      <c r="H137" s="105">
        <f t="shared" si="46"/>
        <v>4108</v>
      </c>
      <c r="I137" s="93">
        <f t="shared" si="39"/>
        <v>0</v>
      </c>
      <c r="J137" s="106">
        <f t="shared" si="50"/>
        <v>0</v>
      </c>
      <c r="K137" s="106">
        <f t="shared" si="51"/>
        <v>0</v>
      </c>
      <c r="L137" s="95">
        <f t="shared" si="52"/>
        <v>136</v>
      </c>
      <c r="M137" s="96" t="e">
        <f t="shared" si="40"/>
        <v>#VALUE!</v>
      </c>
      <c r="N137" s="96" t="e">
        <f t="shared" si="41"/>
        <v>#VALUE!</v>
      </c>
      <c r="O137" s="96" t="e">
        <f t="shared" si="42"/>
        <v>#VALUE!</v>
      </c>
      <c r="P137" s="96" t="e">
        <f t="shared" si="43"/>
        <v>#VALUE!</v>
      </c>
      <c r="Q137" s="98">
        <f t="shared" si="53"/>
        <v>135</v>
      </c>
      <c r="R137" s="99" t="e">
        <f t="shared" si="44"/>
        <v>#VALUE!</v>
      </c>
      <c r="S137" s="100" t="e">
        <f t="shared" si="47"/>
        <v>#VALUE!</v>
      </c>
      <c r="T137" s="100" t="e">
        <f t="shared" si="54"/>
        <v>#VALUE!</v>
      </c>
      <c r="U137" s="100" t="e">
        <f t="shared" si="56"/>
        <v>#VALUE!</v>
      </c>
      <c r="V137" s="100" t="e">
        <f t="shared" si="48"/>
        <v>#VALUE!</v>
      </c>
      <c r="W137" s="100" t="e">
        <f t="shared" si="55"/>
        <v>#VALUE!</v>
      </c>
      <c r="X137" s="100" t="e">
        <f t="shared" si="57"/>
        <v>#VALUE!</v>
      </c>
      <c r="Y137" s="99">
        <f t="shared" si="45"/>
        <v>0</v>
      </c>
    </row>
    <row r="138" spans="1:25" x14ac:dyDescent="0.2">
      <c r="A138" s="68"/>
      <c r="B138" s="68"/>
      <c r="C138" s="68"/>
      <c r="D138" s="68"/>
      <c r="E138" s="1047"/>
      <c r="F138" s="1450"/>
      <c r="G138" s="91">
        <f t="shared" si="49"/>
        <v>137</v>
      </c>
      <c r="H138" s="105">
        <f t="shared" si="46"/>
        <v>4138</v>
      </c>
      <c r="I138" s="93">
        <f t="shared" si="39"/>
        <v>0</v>
      </c>
      <c r="J138" s="106">
        <f t="shared" si="50"/>
        <v>0</v>
      </c>
      <c r="K138" s="106">
        <f t="shared" si="51"/>
        <v>0</v>
      </c>
      <c r="L138" s="95">
        <f t="shared" si="52"/>
        <v>137</v>
      </c>
      <c r="M138" s="96" t="e">
        <f t="shared" si="40"/>
        <v>#VALUE!</v>
      </c>
      <c r="N138" s="96" t="e">
        <f t="shared" si="41"/>
        <v>#VALUE!</v>
      </c>
      <c r="O138" s="96" t="e">
        <f t="shared" si="42"/>
        <v>#VALUE!</v>
      </c>
      <c r="P138" s="96" t="e">
        <f t="shared" si="43"/>
        <v>#VALUE!</v>
      </c>
      <c r="Q138" s="98">
        <f t="shared" si="53"/>
        <v>136</v>
      </c>
      <c r="R138" s="99" t="e">
        <f t="shared" si="44"/>
        <v>#VALUE!</v>
      </c>
      <c r="S138" s="100" t="e">
        <f t="shared" si="47"/>
        <v>#VALUE!</v>
      </c>
      <c r="T138" s="100" t="e">
        <f t="shared" si="54"/>
        <v>#VALUE!</v>
      </c>
      <c r="U138" s="100" t="e">
        <f t="shared" si="56"/>
        <v>#VALUE!</v>
      </c>
      <c r="V138" s="100" t="e">
        <f t="shared" si="48"/>
        <v>#VALUE!</v>
      </c>
      <c r="W138" s="100" t="e">
        <f t="shared" si="55"/>
        <v>#VALUE!</v>
      </c>
      <c r="X138" s="100" t="e">
        <f t="shared" si="57"/>
        <v>#VALUE!</v>
      </c>
      <c r="Y138" s="99">
        <f t="shared" si="45"/>
        <v>0</v>
      </c>
    </row>
    <row r="139" spans="1:25" x14ac:dyDescent="0.2">
      <c r="A139" s="68"/>
      <c r="B139" s="68"/>
      <c r="C139" s="68"/>
      <c r="D139" s="68"/>
      <c r="E139" s="1047"/>
      <c r="F139" s="1450"/>
      <c r="G139" s="91">
        <f t="shared" si="49"/>
        <v>138</v>
      </c>
      <c r="H139" s="105">
        <f t="shared" si="46"/>
        <v>4169</v>
      </c>
      <c r="I139" s="93">
        <f t="shared" si="39"/>
        <v>0</v>
      </c>
      <c r="J139" s="106">
        <f t="shared" si="50"/>
        <v>0</v>
      </c>
      <c r="K139" s="106">
        <f t="shared" si="51"/>
        <v>0</v>
      </c>
      <c r="L139" s="95">
        <f t="shared" si="52"/>
        <v>138</v>
      </c>
      <c r="M139" s="96" t="e">
        <f t="shared" si="40"/>
        <v>#VALUE!</v>
      </c>
      <c r="N139" s="96" t="e">
        <f t="shared" si="41"/>
        <v>#VALUE!</v>
      </c>
      <c r="O139" s="96" t="e">
        <f t="shared" si="42"/>
        <v>#VALUE!</v>
      </c>
      <c r="P139" s="96" t="e">
        <f t="shared" si="43"/>
        <v>#VALUE!</v>
      </c>
      <c r="Q139" s="98">
        <f t="shared" si="53"/>
        <v>137</v>
      </c>
      <c r="R139" s="99" t="e">
        <f t="shared" si="44"/>
        <v>#VALUE!</v>
      </c>
      <c r="S139" s="100" t="e">
        <f t="shared" si="47"/>
        <v>#VALUE!</v>
      </c>
      <c r="T139" s="100" t="e">
        <f t="shared" si="54"/>
        <v>#VALUE!</v>
      </c>
      <c r="U139" s="100" t="e">
        <f t="shared" si="56"/>
        <v>#VALUE!</v>
      </c>
      <c r="V139" s="100" t="e">
        <f t="shared" si="48"/>
        <v>#VALUE!</v>
      </c>
      <c r="W139" s="100" t="e">
        <f t="shared" si="55"/>
        <v>#VALUE!</v>
      </c>
      <c r="X139" s="100" t="e">
        <f t="shared" si="57"/>
        <v>#VALUE!</v>
      </c>
      <c r="Y139" s="99">
        <f t="shared" si="45"/>
        <v>0</v>
      </c>
    </row>
    <row r="140" spans="1:25" x14ac:dyDescent="0.2">
      <c r="A140" s="68"/>
      <c r="B140" s="68"/>
      <c r="C140" s="68"/>
      <c r="D140" s="68"/>
      <c r="E140" s="1047"/>
      <c r="F140" s="1450"/>
      <c r="G140" s="91">
        <f t="shared" si="49"/>
        <v>139</v>
      </c>
      <c r="H140" s="105">
        <f t="shared" si="46"/>
        <v>4199</v>
      </c>
      <c r="I140" s="93">
        <f t="shared" si="39"/>
        <v>0</v>
      </c>
      <c r="J140" s="106">
        <f t="shared" si="50"/>
        <v>0</v>
      </c>
      <c r="K140" s="106">
        <f t="shared" si="51"/>
        <v>0</v>
      </c>
      <c r="L140" s="95">
        <f t="shared" si="52"/>
        <v>139</v>
      </c>
      <c r="M140" s="96" t="e">
        <f t="shared" si="40"/>
        <v>#VALUE!</v>
      </c>
      <c r="N140" s="96" t="e">
        <f t="shared" si="41"/>
        <v>#VALUE!</v>
      </c>
      <c r="O140" s="96" t="e">
        <f t="shared" si="42"/>
        <v>#VALUE!</v>
      </c>
      <c r="P140" s="96" t="e">
        <f t="shared" si="43"/>
        <v>#VALUE!</v>
      </c>
      <c r="Q140" s="98">
        <f t="shared" si="53"/>
        <v>138</v>
      </c>
      <c r="R140" s="99" t="e">
        <f t="shared" si="44"/>
        <v>#VALUE!</v>
      </c>
      <c r="S140" s="100" t="e">
        <f t="shared" si="47"/>
        <v>#VALUE!</v>
      </c>
      <c r="T140" s="100" t="e">
        <f t="shared" si="54"/>
        <v>#VALUE!</v>
      </c>
      <c r="U140" s="100" t="e">
        <f t="shared" si="56"/>
        <v>#VALUE!</v>
      </c>
      <c r="V140" s="100" t="e">
        <f t="shared" si="48"/>
        <v>#VALUE!</v>
      </c>
      <c r="W140" s="100" t="e">
        <f t="shared" si="55"/>
        <v>#VALUE!</v>
      </c>
      <c r="X140" s="100" t="e">
        <f t="shared" si="57"/>
        <v>#VALUE!</v>
      </c>
      <c r="Y140" s="99">
        <f t="shared" si="45"/>
        <v>0</v>
      </c>
    </row>
    <row r="141" spans="1:25" x14ac:dyDescent="0.2">
      <c r="A141" s="68"/>
      <c r="B141" s="68"/>
      <c r="C141" s="68"/>
      <c r="D141" s="68"/>
      <c r="E141" s="1047"/>
      <c r="F141" s="1450"/>
      <c r="G141" s="91">
        <f t="shared" si="49"/>
        <v>140</v>
      </c>
      <c r="H141" s="105">
        <f t="shared" si="46"/>
        <v>4230</v>
      </c>
      <c r="I141" s="93">
        <f t="shared" si="39"/>
        <v>0</v>
      </c>
      <c r="J141" s="106">
        <f t="shared" si="50"/>
        <v>0</v>
      </c>
      <c r="K141" s="106">
        <f t="shared" si="51"/>
        <v>0</v>
      </c>
      <c r="L141" s="95">
        <f t="shared" si="52"/>
        <v>140</v>
      </c>
      <c r="M141" s="96" t="e">
        <f t="shared" si="40"/>
        <v>#VALUE!</v>
      </c>
      <c r="N141" s="96" t="e">
        <f t="shared" si="41"/>
        <v>#VALUE!</v>
      </c>
      <c r="O141" s="96" t="e">
        <f t="shared" si="42"/>
        <v>#VALUE!</v>
      </c>
      <c r="P141" s="96" t="e">
        <f t="shared" si="43"/>
        <v>#VALUE!</v>
      </c>
      <c r="Q141" s="98">
        <f t="shared" si="53"/>
        <v>139</v>
      </c>
      <c r="R141" s="99" t="e">
        <f t="shared" si="44"/>
        <v>#VALUE!</v>
      </c>
      <c r="S141" s="100" t="e">
        <f t="shared" si="47"/>
        <v>#VALUE!</v>
      </c>
      <c r="T141" s="100" t="e">
        <f t="shared" si="54"/>
        <v>#VALUE!</v>
      </c>
      <c r="U141" s="100" t="e">
        <f t="shared" si="56"/>
        <v>#VALUE!</v>
      </c>
      <c r="V141" s="100" t="e">
        <f t="shared" si="48"/>
        <v>#VALUE!</v>
      </c>
      <c r="W141" s="100" t="e">
        <f t="shared" si="55"/>
        <v>#VALUE!</v>
      </c>
      <c r="X141" s="100" t="e">
        <f t="shared" si="57"/>
        <v>#VALUE!</v>
      </c>
      <c r="Y141" s="99">
        <f t="shared" si="45"/>
        <v>0</v>
      </c>
    </row>
    <row r="142" spans="1:25" x14ac:dyDescent="0.2">
      <c r="A142" s="68"/>
      <c r="B142" s="68"/>
      <c r="C142" s="68"/>
      <c r="D142" s="68"/>
      <c r="E142" s="1047"/>
      <c r="F142" s="1450"/>
      <c r="G142" s="91">
        <f t="shared" si="49"/>
        <v>141</v>
      </c>
      <c r="H142" s="105">
        <f t="shared" si="46"/>
        <v>4261</v>
      </c>
      <c r="I142" s="93">
        <f t="shared" si="39"/>
        <v>0</v>
      </c>
      <c r="J142" s="106">
        <f t="shared" si="50"/>
        <v>0</v>
      </c>
      <c r="K142" s="106">
        <f t="shared" si="51"/>
        <v>0</v>
      </c>
      <c r="L142" s="95">
        <f t="shared" si="52"/>
        <v>141</v>
      </c>
      <c r="M142" s="96" t="e">
        <f t="shared" si="40"/>
        <v>#VALUE!</v>
      </c>
      <c r="N142" s="96" t="e">
        <f t="shared" si="41"/>
        <v>#VALUE!</v>
      </c>
      <c r="O142" s="96" t="e">
        <f t="shared" si="42"/>
        <v>#VALUE!</v>
      </c>
      <c r="P142" s="96" t="e">
        <f t="shared" si="43"/>
        <v>#VALUE!</v>
      </c>
      <c r="Q142" s="98">
        <f t="shared" si="53"/>
        <v>140</v>
      </c>
      <c r="R142" s="99" t="e">
        <f t="shared" si="44"/>
        <v>#VALUE!</v>
      </c>
      <c r="S142" s="100" t="e">
        <f t="shared" si="47"/>
        <v>#VALUE!</v>
      </c>
      <c r="T142" s="100" t="e">
        <f t="shared" si="54"/>
        <v>#VALUE!</v>
      </c>
      <c r="U142" s="100" t="e">
        <f t="shared" si="56"/>
        <v>#VALUE!</v>
      </c>
      <c r="V142" s="100" t="e">
        <f t="shared" si="48"/>
        <v>#VALUE!</v>
      </c>
      <c r="W142" s="100" t="e">
        <f t="shared" si="55"/>
        <v>#VALUE!</v>
      </c>
      <c r="X142" s="100" t="e">
        <f t="shared" si="57"/>
        <v>#VALUE!</v>
      </c>
      <c r="Y142" s="99">
        <f t="shared" si="45"/>
        <v>0</v>
      </c>
    </row>
    <row r="143" spans="1:25" x14ac:dyDescent="0.2">
      <c r="A143" s="68"/>
      <c r="B143" s="68"/>
      <c r="C143" s="68"/>
      <c r="D143" s="68"/>
      <c r="E143" s="1047"/>
      <c r="F143" s="1450"/>
      <c r="G143" s="91">
        <f t="shared" si="49"/>
        <v>142</v>
      </c>
      <c r="H143" s="105">
        <f t="shared" si="46"/>
        <v>4291</v>
      </c>
      <c r="I143" s="93">
        <f t="shared" si="39"/>
        <v>0</v>
      </c>
      <c r="J143" s="106">
        <f t="shared" si="50"/>
        <v>0</v>
      </c>
      <c r="K143" s="106">
        <f t="shared" si="51"/>
        <v>0</v>
      </c>
      <c r="L143" s="95">
        <f t="shared" si="52"/>
        <v>142</v>
      </c>
      <c r="M143" s="96" t="e">
        <f t="shared" si="40"/>
        <v>#VALUE!</v>
      </c>
      <c r="N143" s="96" t="e">
        <f t="shared" si="41"/>
        <v>#VALUE!</v>
      </c>
      <c r="O143" s="96" t="e">
        <f t="shared" si="42"/>
        <v>#VALUE!</v>
      </c>
      <c r="P143" s="96" t="e">
        <f t="shared" si="43"/>
        <v>#VALUE!</v>
      </c>
      <c r="Q143" s="98">
        <f t="shared" si="53"/>
        <v>141</v>
      </c>
      <c r="R143" s="99" t="e">
        <f t="shared" si="44"/>
        <v>#VALUE!</v>
      </c>
      <c r="S143" s="100" t="e">
        <f t="shared" si="47"/>
        <v>#VALUE!</v>
      </c>
      <c r="T143" s="100" t="e">
        <f t="shared" si="54"/>
        <v>#VALUE!</v>
      </c>
      <c r="U143" s="100" t="e">
        <f t="shared" si="56"/>
        <v>#VALUE!</v>
      </c>
      <c r="V143" s="100" t="e">
        <f t="shared" si="48"/>
        <v>#VALUE!</v>
      </c>
      <c r="W143" s="100" t="e">
        <f t="shared" si="55"/>
        <v>#VALUE!</v>
      </c>
      <c r="X143" s="100" t="e">
        <f t="shared" si="57"/>
        <v>#VALUE!</v>
      </c>
      <c r="Y143" s="99">
        <f t="shared" si="45"/>
        <v>0</v>
      </c>
    </row>
    <row r="144" spans="1:25" x14ac:dyDescent="0.2">
      <c r="A144" s="68"/>
      <c r="B144" s="68"/>
      <c r="C144" s="68"/>
      <c r="D144" s="68"/>
      <c r="E144" s="1047"/>
      <c r="F144" s="1450"/>
      <c r="G144" s="91">
        <f t="shared" si="49"/>
        <v>143</v>
      </c>
      <c r="H144" s="105">
        <f t="shared" si="46"/>
        <v>4322</v>
      </c>
      <c r="I144" s="93">
        <f t="shared" si="39"/>
        <v>0</v>
      </c>
      <c r="J144" s="106">
        <f t="shared" si="50"/>
        <v>0</v>
      </c>
      <c r="K144" s="106">
        <f t="shared" si="51"/>
        <v>0</v>
      </c>
      <c r="L144" s="95">
        <f t="shared" si="52"/>
        <v>143</v>
      </c>
      <c r="M144" s="96" t="e">
        <f t="shared" si="40"/>
        <v>#VALUE!</v>
      </c>
      <c r="N144" s="96" t="e">
        <f t="shared" si="41"/>
        <v>#VALUE!</v>
      </c>
      <c r="O144" s="96" t="e">
        <f t="shared" si="42"/>
        <v>#VALUE!</v>
      </c>
      <c r="P144" s="96" t="e">
        <f t="shared" si="43"/>
        <v>#VALUE!</v>
      </c>
      <c r="Q144" s="98">
        <f t="shared" si="53"/>
        <v>142</v>
      </c>
      <c r="R144" s="99" t="e">
        <f t="shared" si="44"/>
        <v>#VALUE!</v>
      </c>
      <c r="S144" s="100" t="e">
        <f t="shared" si="47"/>
        <v>#VALUE!</v>
      </c>
      <c r="T144" s="100" t="e">
        <f t="shared" si="54"/>
        <v>#VALUE!</v>
      </c>
      <c r="U144" s="100" t="e">
        <f t="shared" si="56"/>
        <v>#VALUE!</v>
      </c>
      <c r="V144" s="100" t="e">
        <f t="shared" si="48"/>
        <v>#VALUE!</v>
      </c>
      <c r="W144" s="100" t="e">
        <f t="shared" si="55"/>
        <v>#VALUE!</v>
      </c>
      <c r="X144" s="100" t="e">
        <f t="shared" si="57"/>
        <v>#VALUE!</v>
      </c>
      <c r="Y144" s="99">
        <f t="shared" si="45"/>
        <v>0</v>
      </c>
    </row>
    <row r="145" spans="1:25" x14ac:dyDescent="0.2">
      <c r="A145" s="68"/>
      <c r="B145" s="68"/>
      <c r="C145" s="68"/>
      <c r="D145" s="68"/>
      <c r="E145" s="1047"/>
      <c r="F145" s="1450"/>
      <c r="G145" s="91">
        <f t="shared" si="49"/>
        <v>144</v>
      </c>
      <c r="H145" s="105">
        <f t="shared" si="46"/>
        <v>4352</v>
      </c>
      <c r="I145" s="93">
        <f t="shared" si="39"/>
        <v>0</v>
      </c>
      <c r="J145" s="106">
        <f t="shared" si="50"/>
        <v>0</v>
      </c>
      <c r="K145" s="106">
        <f t="shared" si="51"/>
        <v>0</v>
      </c>
      <c r="L145" s="95">
        <f t="shared" si="52"/>
        <v>144</v>
      </c>
      <c r="M145" s="96" t="e">
        <f t="shared" si="40"/>
        <v>#VALUE!</v>
      </c>
      <c r="N145" s="96" t="e">
        <f t="shared" si="41"/>
        <v>#VALUE!</v>
      </c>
      <c r="O145" s="96" t="e">
        <f t="shared" si="42"/>
        <v>#VALUE!</v>
      </c>
      <c r="P145" s="96" t="e">
        <f t="shared" si="43"/>
        <v>#VALUE!</v>
      </c>
      <c r="Q145" s="98">
        <f t="shared" si="53"/>
        <v>143</v>
      </c>
      <c r="R145" s="99" t="e">
        <f t="shared" si="44"/>
        <v>#VALUE!</v>
      </c>
      <c r="S145" s="100" t="e">
        <f t="shared" si="47"/>
        <v>#VALUE!</v>
      </c>
      <c r="T145" s="100" t="e">
        <f t="shared" si="54"/>
        <v>#VALUE!</v>
      </c>
      <c r="U145" s="100" t="e">
        <f t="shared" si="56"/>
        <v>#VALUE!</v>
      </c>
      <c r="V145" s="100" t="e">
        <f t="shared" si="48"/>
        <v>#VALUE!</v>
      </c>
      <c r="W145" s="100" t="e">
        <f t="shared" si="55"/>
        <v>#VALUE!</v>
      </c>
      <c r="X145" s="100" t="e">
        <f t="shared" si="57"/>
        <v>#VALUE!</v>
      </c>
      <c r="Y145" s="99">
        <f t="shared" si="45"/>
        <v>0</v>
      </c>
    </row>
    <row r="146" spans="1:25" x14ac:dyDescent="0.2">
      <c r="A146" s="68"/>
      <c r="B146" s="68"/>
      <c r="C146" s="68"/>
      <c r="D146" s="68"/>
      <c r="E146" s="1047"/>
      <c r="F146" s="1450">
        <v>13</v>
      </c>
      <c r="G146" s="91">
        <f t="shared" si="49"/>
        <v>145</v>
      </c>
      <c r="H146" s="105">
        <f t="shared" si="46"/>
        <v>4383</v>
      </c>
      <c r="I146" s="93">
        <f t="shared" si="39"/>
        <v>0</v>
      </c>
      <c r="J146" s="106">
        <f t="shared" si="50"/>
        <v>0</v>
      </c>
      <c r="K146" s="106">
        <f t="shared" si="51"/>
        <v>0</v>
      </c>
      <c r="L146" s="95">
        <f t="shared" si="52"/>
        <v>145</v>
      </c>
      <c r="M146" s="96" t="e">
        <f t="shared" si="40"/>
        <v>#VALUE!</v>
      </c>
      <c r="N146" s="96" t="e">
        <f t="shared" si="41"/>
        <v>#VALUE!</v>
      </c>
      <c r="O146" s="96" t="e">
        <f t="shared" si="42"/>
        <v>#VALUE!</v>
      </c>
      <c r="P146" s="96" t="e">
        <f t="shared" si="43"/>
        <v>#VALUE!</v>
      </c>
      <c r="Q146" s="98">
        <f t="shared" si="53"/>
        <v>144</v>
      </c>
      <c r="R146" s="99" t="e">
        <f t="shared" si="44"/>
        <v>#VALUE!</v>
      </c>
      <c r="S146" s="100" t="e">
        <f t="shared" si="47"/>
        <v>#VALUE!</v>
      </c>
      <c r="T146" s="100" t="e">
        <f t="shared" si="54"/>
        <v>#VALUE!</v>
      </c>
      <c r="U146" s="100" t="e">
        <f t="shared" si="56"/>
        <v>#VALUE!</v>
      </c>
      <c r="V146" s="100" t="e">
        <f t="shared" si="48"/>
        <v>#VALUE!</v>
      </c>
      <c r="W146" s="100" t="e">
        <f t="shared" si="55"/>
        <v>#VALUE!</v>
      </c>
      <c r="X146" s="100" t="e">
        <f t="shared" si="57"/>
        <v>#VALUE!</v>
      </c>
      <c r="Y146" s="99">
        <f t="shared" si="45"/>
        <v>0</v>
      </c>
    </row>
    <row r="147" spans="1:25" x14ac:dyDescent="0.2">
      <c r="A147" s="68"/>
      <c r="B147" s="68"/>
      <c r="C147" s="68"/>
      <c r="D147" s="68"/>
      <c r="E147" s="1047"/>
      <c r="F147" s="1450"/>
      <c r="G147" s="91">
        <f t="shared" si="49"/>
        <v>146</v>
      </c>
      <c r="H147" s="105">
        <f t="shared" si="46"/>
        <v>4414</v>
      </c>
      <c r="I147" s="93">
        <f t="shared" si="39"/>
        <v>0</v>
      </c>
      <c r="J147" s="106">
        <f t="shared" si="50"/>
        <v>0</v>
      </c>
      <c r="K147" s="106">
        <f t="shared" si="51"/>
        <v>0</v>
      </c>
      <c r="L147" s="95">
        <f t="shared" si="52"/>
        <v>146</v>
      </c>
      <c r="M147" s="96" t="e">
        <f t="shared" si="40"/>
        <v>#VALUE!</v>
      </c>
      <c r="N147" s="96" t="e">
        <f t="shared" si="41"/>
        <v>#VALUE!</v>
      </c>
      <c r="O147" s="96" t="e">
        <f t="shared" si="42"/>
        <v>#VALUE!</v>
      </c>
      <c r="P147" s="96" t="e">
        <f t="shared" si="43"/>
        <v>#VALUE!</v>
      </c>
      <c r="Q147" s="98">
        <f t="shared" si="53"/>
        <v>145</v>
      </c>
      <c r="R147" s="99" t="e">
        <f t="shared" si="44"/>
        <v>#VALUE!</v>
      </c>
      <c r="S147" s="100" t="e">
        <f t="shared" si="47"/>
        <v>#VALUE!</v>
      </c>
      <c r="T147" s="100" t="e">
        <f t="shared" si="54"/>
        <v>#VALUE!</v>
      </c>
      <c r="U147" s="100" t="e">
        <f t="shared" si="56"/>
        <v>#VALUE!</v>
      </c>
      <c r="V147" s="100" t="e">
        <f t="shared" si="48"/>
        <v>#VALUE!</v>
      </c>
      <c r="W147" s="100" t="e">
        <f t="shared" si="55"/>
        <v>#VALUE!</v>
      </c>
      <c r="X147" s="100" t="e">
        <f t="shared" si="57"/>
        <v>#VALUE!</v>
      </c>
      <c r="Y147" s="99">
        <f t="shared" si="45"/>
        <v>0</v>
      </c>
    </row>
    <row r="148" spans="1:25" x14ac:dyDescent="0.2">
      <c r="A148" s="68"/>
      <c r="B148" s="68"/>
      <c r="C148" s="68"/>
      <c r="D148" s="68"/>
      <c r="E148" s="1047"/>
      <c r="F148" s="1450"/>
      <c r="G148" s="91">
        <f t="shared" si="49"/>
        <v>147</v>
      </c>
      <c r="H148" s="105">
        <f t="shared" si="46"/>
        <v>4443</v>
      </c>
      <c r="I148" s="93">
        <f t="shared" si="39"/>
        <v>0</v>
      </c>
      <c r="J148" s="106">
        <f t="shared" si="50"/>
        <v>0</v>
      </c>
      <c r="K148" s="106">
        <f t="shared" si="51"/>
        <v>0</v>
      </c>
      <c r="L148" s="95">
        <f t="shared" si="52"/>
        <v>147</v>
      </c>
      <c r="M148" s="96" t="e">
        <f t="shared" si="40"/>
        <v>#VALUE!</v>
      </c>
      <c r="N148" s="96" t="e">
        <f t="shared" si="41"/>
        <v>#VALUE!</v>
      </c>
      <c r="O148" s="96" t="e">
        <f t="shared" si="42"/>
        <v>#VALUE!</v>
      </c>
      <c r="P148" s="96" t="e">
        <f t="shared" si="43"/>
        <v>#VALUE!</v>
      </c>
      <c r="Q148" s="98">
        <f t="shared" si="53"/>
        <v>146</v>
      </c>
      <c r="R148" s="99" t="e">
        <f t="shared" si="44"/>
        <v>#VALUE!</v>
      </c>
      <c r="S148" s="100" t="e">
        <f t="shared" si="47"/>
        <v>#VALUE!</v>
      </c>
      <c r="T148" s="100" t="e">
        <f t="shared" si="54"/>
        <v>#VALUE!</v>
      </c>
      <c r="U148" s="100" t="e">
        <f t="shared" si="56"/>
        <v>#VALUE!</v>
      </c>
      <c r="V148" s="100" t="e">
        <f t="shared" si="48"/>
        <v>#VALUE!</v>
      </c>
      <c r="W148" s="100" t="e">
        <f t="shared" si="55"/>
        <v>#VALUE!</v>
      </c>
      <c r="X148" s="100" t="e">
        <f t="shared" si="57"/>
        <v>#VALUE!</v>
      </c>
      <c r="Y148" s="99">
        <f t="shared" si="45"/>
        <v>0</v>
      </c>
    </row>
    <row r="149" spans="1:25" x14ac:dyDescent="0.2">
      <c r="A149" s="68"/>
      <c r="B149" s="68"/>
      <c r="C149" s="68"/>
      <c r="D149" s="68"/>
      <c r="E149" s="1047"/>
      <c r="F149" s="1450"/>
      <c r="G149" s="91">
        <f t="shared" si="49"/>
        <v>148</v>
      </c>
      <c r="H149" s="105">
        <f t="shared" si="46"/>
        <v>4474</v>
      </c>
      <c r="I149" s="93">
        <f t="shared" si="39"/>
        <v>0</v>
      </c>
      <c r="J149" s="106">
        <f t="shared" si="50"/>
        <v>0</v>
      </c>
      <c r="K149" s="106">
        <f t="shared" si="51"/>
        <v>0</v>
      </c>
      <c r="L149" s="95">
        <f t="shared" si="52"/>
        <v>148</v>
      </c>
      <c r="M149" s="96" t="e">
        <f t="shared" si="40"/>
        <v>#VALUE!</v>
      </c>
      <c r="N149" s="96" t="e">
        <f t="shared" si="41"/>
        <v>#VALUE!</v>
      </c>
      <c r="O149" s="96" t="e">
        <f t="shared" si="42"/>
        <v>#VALUE!</v>
      </c>
      <c r="P149" s="96" t="e">
        <f t="shared" si="43"/>
        <v>#VALUE!</v>
      </c>
      <c r="Q149" s="98">
        <f t="shared" si="53"/>
        <v>147</v>
      </c>
      <c r="R149" s="99" t="e">
        <f t="shared" si="44"/>
        <v>#VALUE!</v>
      </c>
      <c r="S149" s="100" t="e">
        <f t="shared" si="47"/>
        <v>#VALUE!</v>
      </c>
      <c r="T149" s="100" t="e">
        <f t="shared" si="54"/>
        <v>#VALUE!</v>
      </c>
      <c r="U149" s="100" t="e">
        <f t="shared" si="56"/>
        <v>#VALUE!</v>
      </c>
      <c r="V149" s="100" t="e">
        <f t="shared" si="48"/>
        <v>#VALUE!</v>
      </c>
      <c r="W149" s="100" t="e">
        <f t="shared" si="55"/>
        <v>#VALUE!</v>
      </c>
      <c r="X149" s="100" t="e">
        <f t="shared" si="57"/>
        <v>#VALUE!</v>
      </c>
      <c r="Y149" s="99">
        <f t="shared" si="45"/>
        <v>0</v>
      </c>
    </row>
    <row r="150" spans="1:25" x14ac:dyDescent="0.2">
      <c r="A150" s="68"/>
      <c r="B150" s="68"/>
      <c r="C150" s="68"/>
      <c r="D150" s="68"/>
      <c r="E150" s="1047"/>
      <c r="F150" s="1450"/>
      <c r="G150" s="91">
        <f t="shared" si="49"/>
        <v>149</v>
      </c>
      <c r="H150" s="105">
        <f t="shared" si="46"/>
        <v>4504</v>
      </c>
      <c r="I150" s="93">
        <f t="shared" si="39"/>
        <v>0</v>
      </c>
      <c r="J150" s="106">
        <f t="shared" si="50"/>
        <v>0</v>
      </c>
      <c r="K150" s="106">
        <f t="shared" si="51"/>
        <v>0</v>
      </c>
      <c r="L150" s="95">
        <f t="shared" si="52"/>
        <v>149</v>
      </c>
      <c r="M150" s="96" t="e">
        <f t="shared" si="40"/>
        <v>#VALUE!</v>
      </c>
      <c r="N150" s="96" t="e">
        <f t="shared" si="41"/>
        <v>#VALUE!</v>
      </c>
      <c r="O150" s="96" t="e">
        <f t="shared" si="42"/>
        <v>#VALUE!</v>
      </c>
      <c r="P150" s="96" t="e">
        <f t="shared" si="43"/>
        <v>#VALUE!</v>
      </c>
      <c r="Q150" s="98">
        <f t="shared" si="53"/>
        <v>148</v>
      </c>
      <c r="R150" s="99" t="e">
        <f t="shared" si="44"/>
        <v>#VALUE!</v>
      </c>
      <c r="S150" s="100" t="e">
        <f t="shared" si="47"/>
        <v>#VALUE!</v>
      </c>
      <c r="T150" s="100" t="e">
        <f t="shared" si="54"/>
        <v>#VALUE!</v>
      </c>
      <c r="U150" s="100" t="e">
        <f t="shared" si="56"/>
        <v>#VALUE!</v>
      </c>
      <c r="V150" s="100" t="e">
        <f t="shared" si="48"/>
        <v>#VALUE!</v>
      </c>
      <c r="W150" s="100" t="e">
        <f t="shared" si="55"/>
        <v>#VALUE!</v>
      </c>
      <c r="X150" s="100" t="e">
        <f t="shared" si="57"/>
        <v>#VALUE!</v>
      </c>
      <c r="Y150" s="99">
        <f t="shared" si="45"/>
        <v>0</v>
      </c>
    </row>
    <row r="151" spans="1:25" x14ac:dyDescent="0.2">
      <c r="A151" s="68"/>
      <c r="B151" s="68"/>
      <c r="C151" s="68"/>
      <c r="D151" s="68"/>
      <c r="E151" s="1047"/>
      <c r="F151" s="1450"/>
      <c r="G151" s="91">
        <f t="shared" si="49"/>
        <v>150</v>
      </c>
      <c r="H151" s="105">
        <f t="shared" si="46"/>
        <v>4535</v>
      </c>
      <c r="I151" s="93">
        <f t="shared" si="39"/>
        <v>0</v>
      </c>
      <c r="J151" s="106">
        <f t="shared" si="50"/>
        <v>0</v>
      </c>
      <c r="K151" s="106">
        <f t="shared" si="51"/>
        <v>0</v>
      </c>
      <c r="L151" s="95">
        <f t="shared" si="52"/>
        <v>150</v>
      </c>
      <c r="M151" s="96" t="e">
        <f t="shared" si="40"/>
        <v>#VALUE!</v>
      </c>
      <c r="N151" s="96" t="e">
        <f t="shared" si="41"/>
        <v>#VALUE!</v>
      </c>
      <c r="O151" s="96" t="e">
        <f t="shared" si="42"/>
        <v>#VALUE!</v>
      </c>
      <c r="P151" s="96" t="e">
        <f t="shared" si="43"/>
        <v>#VALUE!</v>
      </c>
      <c r="Q151" s="98">
        <f t="shared" si="53"/>
        <v>149</v>
      </c>
      <c r="R151" s="99" t="e">
        <f t="shared" si="44"/>
        <v>#VALUE!</v>
      </c>
      <c r="S151" s="100" t="e">
        <f t="shared" si="47"/>
        <v>#VALUE!</v>
      </c>
      <c r="T151" s="100" t="e">
        <f t="shared" si="54"/>
        <v>#VALUE!</v>
      </c>
      <c r="U151" s="100" t="e">
        <f t="shared" si="56"/>
        <v>#VALUE!</v>
      </c>
      <c r="V151" s="100" t="e">
        <f t="shared" si="48"/>
        <v>#VALUE!</v>
      </c>
      <c r="W151" s="100" t="e">
        <f t="shared" si="55"/>
        <v>#VALUE!</v>
      </c>
      <c r="X151" s="100" t="e">
        <f t="shared" si="57"/>
        <v>#VALUE!</v>
      </c>
      <c r="Y151" s="99">
        <f t="shared" si="45"/>
        <v>0</v>
      </c>
    </row>
    <row r="152" spans="1:25" x14ac:dyDescent="0.2">
      <c r="A152" s="68"/>
      <c r="B152" s="68"/>
      <c r="C152" s="68"/>
      <c r="D152" s="68"/>
      <c r="E152" s="1047"/>
      <c r="F152" s="1450"/>
      <c r="G152" s="91">
        <f t="shared" si="49"/>
        <v>151</v>
      </c>
      <c r="H152" s="105">
        <f t="shared" si="46"/>
        <v>4565</v>
      </c>
      <c r="I152" s="93">
        <f t="shared" si="39"/>
        <v>0</v>
      </c>
      <c r="J152" s="106">
        <f t="shared" si="50"/>
        <v>0</v>
      </c>
      <c r="K152" s="106">
        <f t="shared" si="51"/>
        <v>0</v>
      </c>
      <c r="L152" s="95">
        <f t="shared" si="52"/>
        <v>151</v>
      </c>
      <c r="M152" s="96" t="e">
        <f t="shared" si="40"/>
        <v>#VALUE!</v>
      </c>
      <c r="N152" s="96" t="e">
        <f t="shared" si="41"/>
        <v>#VALUE!</v>
      </c>
      <c r="O152" s="96" t="e">
        <f t="shared" si="42"/>
        <v>#VALUE!</v>
      </c>
      <c r="P152" s="96" t="e">
        <f t="shared" si="43"/>
        <v>#VALUE!</v>
      </c>
      <c r="Q152" s="98">
        <f t="shared" si="53"/>
        <v>150</v>
      </c>
      <c r="R152" s="99" t="e">
        <f t="shared" si="44"/>
        <v>#VALUE!</v>
      </c>
      <c r="S152" s="100" t="e">
        <f t="shared" si="47"/>
        <v>#VALUE!</v>
      </c>
      <c r="T152" s="100" t="e">
        <f t="shared" si="54"/>
        <v>#VALUE!</v>
      </c>
      <c r="U152" s="100" t="e">
        <f t="shared" si="56"/>
        <v>#VALUE!</v>
      </c>
      <c r="V152" s="100" t="e">
        <f t="shared" si="48"/>
        <v>#VALUE!</v>
      </c>
      <c r="W152" s="100" t="e">
        <f t="shared" si="55"/>
        <v>#VALUE!</v>
      </c>
      <c r="X152" s="100" t="e">
        <f t="shared" si="57"/>
        <v>#VALUE!</v>
      </c>
      <c r="Y152" s="99">
        <f t="shared" si="45"/>
        <v>0</v>
      </c>
    </row>
    <row r="153" spans="1:25" x14ac:dyDescent="0.2">
      <c r="A153" s="68"/>
      <c r="B153" s="68"/>
      <c r="C153" s="68"/>
      <c r="D153" s="68"/>
      <c r="E153" s="1047"/>
      <c r="F153" s="1450"/>
      <c r="G153" s="91">
        <f t="shared" si="49"/>
        <v>152</v>
      </c>
      <c r="H153" s="105">
        <f t="shared" si="46"/>
        <v>4596</v>
      </c>
      <c r="I153" s="93">
        <f t="shared" si="39"/>
        <v>0</v>
      </c>
      <c r="J153" s="106">
        <f t="shared" si="50"/>
        <v>0</v>
      </c>
      <c r="K153" s="106">
        <f t="shared" si="51"/>
        <v>0</v>
      </c>
      <c r="L153" s="95">
        <f t="shared" si="52"/>
        <v>152</v>
      </c>
      <c r="M153" s="96" t="e">
        <f t="shared" si="40"/>
        <v>#VALUE!</v>
      </c>
      <c r="N153" s="96" t="e">
        <f t="shared" si="41"/>
        <v>#VALUE!</v>
      </c>
      <c r="O153" s="96" t="e">
        <f t="shared" si="42"/>
        <v>#VALUE!</v>
      </c>
      <c r="P153" s="96" t="e">
        <f t="shared" si="43"/>
        <v>#VALUE!</v>
      </c>
      <c r="Q153" s="98">
        <f t="shared" si="53"/>
        <v>151</v>
      </c>
      <c r="R153" s="99" t="e">
        <f t="shared" si="44"/>
        <v>#VALUE!</v>
      </c>
      <c r="S153" s="100" t="e">
        <f t="shared" si="47"/>
        <v>#VALUE!</v>
      </c>
      <c r="T153" s="100" t="e">
        <f t="shared" si="54"/>
        <v>#VALUE!</v>
      </c>
      <c r="U153" s="100" t="e">
        <f t="shared" si="56"/>
        <v>#VALUE!</v>
      </c>
      <c r="V153" s="100" t="e">
        <f t="shared" si="48"/>
        <v>#VALUE!</v>
      </c>
      <c r="W153" s="100" t="e">
        <f t="shared" si="55"/>
        <v>#VALUE!</v>
      </c>
      <c r="X153" s="100" t="e">
        <f t="shared" si="57"/>
        <v>#VALUE!</v>
      </c>
      <c r="Y153" s="99">
        <f t="shared" si="45"/>
        <v>0</v>
      </c>
    </row>
    <row r="154" spans="1:25" x14ac:dyDescent="0.2">
      <c r="A154" s="68"/>
      <c r="B154" s="68"/>
      <c r="C154" s="68"/>
      <c r="D154" s="68"/>
      <c r="E154" s="1047"/>
      <c r="F154" s="1450"/>
      <c r="G154" s="91">
        <f t="shared" si="49"/>
        <v>153</v>
      </c>
      <c r="H154" s="105">
        <f t="shared" si="46"/>
        <v>4627</v>
      </c>
      <c r="I154" s="93">
        <f t="shared" si="39"/>
        <v>0</v>
      </c>
      <c r="J154" s="106">
        <f t="shared" si="50"/>
        <v>0</v>
      </c>
      <c r="K154" s="106">
        <f t="shared" si="51"/>
        <v>0</v>
      </c>
      <c r="L154" s="95">
        <f t="shared" si="52"/>
        <v>153</v>
      </c>
      <c r="M154" s="96" t="e">
        <f t="shared" si="40"/>
        <v>#VALUE!</v>
      </c>
      <c r="N154" s="96" t="e">
        <f t="shared" si="41"/>
        <v>#VALUE!</v>
      </c>
      <c r="O154" s="96" t="e">
        <f t="shared" si="42"/>
        <v>#VALUE!</v>
      </c>
      <c r="P154" s="96" t="e">
        <f t="shared" si="43"/>
        <v>#VALUE!</v>
      </c>
      <c r="Q154" s="98">
        <f t="shared" si="53"/>
        <v>152</v>
      </c>
      <c r="R154" s="99" t="e">
        <f t="shared" si="44"/>
        <v>#VALUE!</v>
      </c>
      <c r="S154" s="100" t="e">
        <f t="shared" si="47"/>
        <v>#VALUE!</v>
      </c>
      <c r="T154" s="100" t="e">
        <f t="shared" si="54"/>
        <v>#VALUE!</v>
      </c>
      <c r="U154" s="100" t="e">
        <f t="shared" si="56"/>
        <v>#VALUE!</v>
      </c>
      <c r="V154" s="100" t="e">
        <f t="shared" si="48"/>
        <v>#VALUE!</v>
      </c>
      <c r="W154" s="100" t="e">
        <f t="shared" si="55"/>
        <v>#VALUE!</v>
      </c>
      <c r="X154" s="100" t="e">
        <f t="shared" si="57"/>
        <v>#VALUE!</v>
      </c>
      <c r="Y154" s="99">
        <f t="shared" si="45"/>
        <v>0</v>
      </c>
    </row>
    <row r="155" spans="1:25" x14ac:dyDescent="0.2">
      <c r="A155" s="68"/>
      <c r="B155" s="68"/>
      <c r="C155" s="68"/>
      <c r="D155" s="68"/>
      <c r="E155" s="1047"/>
      <c r="F155" s="1450"/>
      <c r="G155" s="91">
        <f t="shared" si="49"/>
        <v>154</v>
      </c>
      <c r="H155" s="105">
        <f t="shared" si="46"/>
        <v>4657</v>
      </c>
      <c r="I155" s="93">
        <f t="shared" si="39"/>
        <v>0</v>
      </c>
      <c r="J155" s="106">
        <f t="shared" si="50"/>
        <v>0</v>
      </c>
      <c r="K155" s="106">
        <f t="shared" si="51"/>
        <v>0</v>
      </c>
      <c r="L155" s="95">
        <f t="shared" si="52"/>
        <v>154</v>
      </c>
      <c r="M155" s="96" t="e">
        <f t="shared" si="40"/>
        <v>#VALUE!</v>
      </c>
      <c r="N155" s="96" t="e">
        <f t="shared" si="41"/>
        <v>#VALUE!</v>
      </c>
      <c r="O155" s="96" t="e">
        <f t="shared" si="42"/>
        <v>#VALUE!</v>
      </c>
      <c r="P155" s="96" t="e">
        <f t="shared" si="43"/>
        <v>#VALUE!</v>
      </c>
      <c r="Q155" s="98">
        <f t="shared" si="53"/>
        <v>153</v>
      </c>
      <c r="R155" s="99" t="e">
        <f t="shared" si="44"/>
        <v>#VALUE!</v>
      </c>
      <c r="S155" s="100" t="e">
        <f t="shared" si="47"/>
        <v>#VALUE!</v>
      </c>
      <c r="T155" s="100" t="e">
        <f t="shared" si="54"/>
        <v>#VALUE!</v>
      </c>
      <c r="U155" s="100" t="e">
        <f t="shared" si="56"/>
        <v>#VALUE!</v>
      </c>
      <c r="V155" s="100" t="e">
        <f t="shared" si="48"/>
        <v>#VALUE!</v>
      </c>
      <c r="W155" s="100" t="e">
        <f t="shared" si="55"/>
        <v>#VALUE!</v>
      </c>
      <c r="X155" s="100" t="e">
        <f t="shared" si="57"/>
        <v>#VALUE!</v>
      </c>
      <c r="Y155" s="99">
        <f t="shared" si="45"/>
        <v>0</v>
      </c>
    </row>
    <row r="156" spans="1:25" x14ac:dyDescent="0.2">
      <c r="A156" s="68"/>
      <c r="B156" s="68"/>
      <c r="C156" s="68"/>
      <c r="D156" s="68"/>
      <c r="E156" s="1047"/>
      <c r="F156" s="1450"/>
      <c r="G156" s="91">
        <f t="shared" si="49"/>
        <v>155</v>
      </c>
      <c r="H156" s="105">
        <f t="shared" si="46"/>
        <v>4688</v>
      </c>
      <c r="I156" s="93">
        <f t="shared" si="39"/>
        <v>0</v>
      </c>
      <c r="J156" s="106">
        <f t="shared" si="50"/>
        <v>0</v>
      </c>
      <c r="K156" s="106">
        <f t="shared" si="51"/>
        <v>0</v>
      </c>
      <c r="L156" s="95">
        <f t="shared" si="52"/>
        <v>155</v>
      </c>
      <c r="M156" s="96" t="e">
        <f t="shared" si="40"/>
        <v>#VALUE!</v>
      </c>
      <c r="N156" s="96" t="e">
        <f t="shared" si="41"/>
        <v>#VALUE!</v>
      </c>
      <c r="O156" s="96" t="e">
        <f t="shared" si="42"/>
        <v>#VALUE!</v>
      </c>
      <c r="P156" s="96" t="e">
        <f t="shared" si="43"/>
        <v>#VALUE!</v>
      </c>
      <c r="Q156" s="98">
        <f t="shared" si="53"/>
        <v>154</v>
      </c>
      <c r="R156" s="99" t="e">
        <f t="shared" si="44"/>
        <v>#VALUE!</v>
      </c>
      <c r="S156" s="100" t="e">
        <f t="shared" si="47"/>
        <v>#VALUE!</v>
      </c>
      <c r="T156" s="100" t="e">
        <f t="shared" si="54"/>
        <v>#VALUE!</v>
      </c>
      <c r="U156" s="100" t="e">
        <f t="shared" si="56"/>
        <v>#VALUE!</v>
      </c>
      <c r="V156" s="100" t="e">
        <f t="shared" si="48"/>
        <v>#VALUE!</v>
      </c>
      <c r="W156" s="100" t="e">
        <f t="shared" si="55"/>
        <v>#VALUE!</v>
      </c>
      <c r="X156" s="100" t="e">
        <f t="shared" si="57"/>
        <v>#VALUE!</v>
      </c>
      <c r="Y156" s="99">
        <f t="shared" si="45"/>
        <v>0</v>
      </c>
    </row>
    <row r="157" spans="1:25" x14ac:dyDescent="0.2">
      <c r="A157" s="68"/>
      <c r="B157" s="68"/>
      <c r="C157" s="68"/>
      <c r="D157" s="68"/>
      <c r="E157" s="1047"/>
      <c r="F157" s="1450"/>
      <c r="G157" s="91">
        <f t="shared" si="49"/>
        <v>156</v>
      </c>
      <c r="H157" s="105">
        <f t="shared" si="46"/>
        <v>4718</v>
      </c>
      <c r="I157" s="93">
        <f t="shared" si="39"/>
        <v>0</v>
      </c>
      <c r="J157" s="106">
        <f t="shared" si="50"/>
        <v>0</v>
      </c>
      <c r="K157" s="106">
        <f t="shared" si="51"/>
        <v>0</v>
      </c>
      <c r="L157" s="95">
        <f t="shared" si="52"/>
        <v>156</v>
      </c>
      <c r="M157" s="96" t="e">
        <f t="shared" si="40"/>
        <v>#VALUE!</v>
      </c>
      <c r="N157" s="96" t="e">
        <f t="shared" si="41"/>
        <v>#VALUE!</v>
      </c>
      <c r="O157" s="96" t="e">
        <f t="shared" si="42"/>
        <v>#VALUE!</v>
      </c>
      <c r="P157" s="96" t="e">
        <f t="shared" si="43"/>
        <v>#VALUE!</v>
      </c>
      <c r="Q157" s="98">
        <f t="shared" si="53"/>
        <v>155</v>
      </c>
      <c r="R157" s="99" t="e">
        <f t="shared" si="44"/>
        <v>#VALUE!</v>
      </c>
      <c r="S157" s="100" t="e">
        <f t="shared" si="47"/>
        <v>#VALUE!</v>
      </c>
      <c r="T157" s="100" t="e">
        <f t="shared" si="54"/>
        <v>#VALUE!</v>
      </c>
      <c r="U157" s="100" t="e">
        <f t="shared" si="56"/>
        <v>#VALUE!</v>
      </c>
      <c r="V157" s="100" t="e">
        <f t="shared" si="48"/>
        <v>#VALUE!</v>
      </c>
      <c r="W157" s="100" t="e">
        <f t="shared" si="55"/>
        <v>#VALUE!</v>
      </c>
      <c r="X157" s="100" t="e">
        <f t="shared" si="57"/>
        <v>#VALUE!</v>
      </c>
      <c r="Y157" s="99">
        <f t="shared" si="45"/>
        <v>0</v>
      </c>
    </row>
    <row r="158" spans="1:25" x14ac:dyDescent="0.2">
      <c r="A158" s="68"/>
      <c r="B158" s="68"/>
      <c r="C158" s="68"/>
      <c r="D158" s="68"/>
      <c r="E158" s="1047"/>
      <c r="F158" s="1450">
        <v>14</v>
      </c>
      <c r="G158" s="91">
        <f t="shared" si="49"/>
        <v>157</v>
      </c>
      <c r="H158" s="105">
        <f t="shared" si="46"/>
        <v>4749</v>
      </c>
      <c r="I158" s="93">
        <f t="shared" si="39"/>
        <v>0</v>
      </c>
      <c r="J158" s="106">
        <f t="shared" si="50"/>
        <v>0</v>
      </c>
      <c r="K158" s="106">
        <f t="shared" si="51"/>
        <v>0</v>
      </c>
      <c r="L158" s="95">
        <f t="shared" si="52"/>
        <v>157</v>
      </c>
      <c r="M158" s="96" t="e">
        <f t="shared" si="40"/>
        <v>#VALUE!</v>
      </c>
      <c r="N158" s="96" t="e">
        <f t="shared" si="41"/>
        <v>#VALUE!</v>
      </c>
      <c r="O158" s="96" t="e">
        <f t="shared" si="42"/>
        <v>#VALUE!</v>
      </c>
      <c r="P158" s="96" t="e">
        <f t="shared" si="43"/>
        <v>#VALUE!</v>
      </c>
      <c r="Q158" s="98">
        <f t="shared" si="53"/>
        <v>156</v>
      </c>
      <c r="R158" s="99" t="e">
        <f t="shared" si="44"/>
        <v>#VALUE!</v>
      </c>
      <c r="S158" s="100" t="e">
        <f t="shared" si="47"/>
        <v>#VALUE!</v>
      </c>
      <c r="T158" s="100" t="e">
        <f t="shared" si="54"/>
        <v>#VALUE!</v>
      </c>
      <c r="U158" s="100" t="e">
        <f t="shared" si="56"/>
        <v>#VALUE!</v>
      </c>
      <c r="V158" s="100" t="e">
        <f t="shared" si="48"/>
        <v>#VALUE!</v>
      </c>
      <c r="W158" s="100" t="e">
        <f t="shared" si="55"/>
        <v>#VALUE!</v>
      </c>
      <c r="X158" s="100" t="e">
        <f t="shared" si="57"/>
        <v>#VALUE!</v>
      </c>
      <c r="Y158" s="99">
        <f t="shared" si="45"/>
        <v>0</v>
      </c>
    </row>
    <row r="159" spans="1:25" x14ac:dyDescent="0.2">
      <c r="A159" s="68"/>
      <c r="B159" s="68"/>
      <c r="C159" s="68"/>
      <c r="D159" s="68"/>
      <c r="E159" s="1047"/>
      <c r="F159" s="1450"/>
      <c r="G159" s="91">
        <f t="shared" si="49"/>
        <v>158</v>
      </c>
      <c r="H159" s="105">
        <f t="shared" si="46"/>
        <v>4780</v>
      </c>
      <c r="I159" s="93">
        <f t="shared" si="39"/>
        <v>0</v>
      </c>
      <c r="J159" s="106">
        <f t="shared" si="50"/>
        <v>0</v>
      </c>
      <c r="K159" s="106">
        <f t="shared" si="51"/>
        <v>0</v>
      </c>
      <c r="L159" s="95">
        <f t="shared" si="52"/>
        <v>158</v>
      </c>
      <c r="M159" s="96" t="e">
        <f t="shared" si="40"/>
        <v>#VALUE!</v>
      </c>
      <c r="N159" s="96" t="e">
        <f t="shared" si="41"/>
        <v>#VALUE!</v>
      </c>
      <c r="O159" s="96" t="e">
        <f t="shared" si="42"/>
        <v>#VALUE!</v>
      </c>
      <c r="P159" s="96" t="e">
        <f t="shared" si="43"/>
        <v>#VALUE!</v>
      </c>
      <c r="Q159" s="98">
        <f t="shared" si="53"/>
        <v>157</v>
      </c>
      <c r="R159" s="99" t="e">
        <f t="shared" si="44"/>
        <v>#VALUE!</v>
      </c>
      <c r="S159" s="100" t="e">
        <f t="shared" si="47"/>
        <v>#VALUE!</v>
      </c>
      <c r="T159" s="100" t="e">
        <f t="shared" si="54"/>
        <v>#VALUE!</v>
      </c>
      <c r="U159" s="100" t="e">
        <f t="shared" si="56"/>
        <v>#VALUE!</v>
      </c>
      <c r="V159" s="100" t="e">
        <f t="shared" si="48"/>
        <v>#VALUE!</v>
      </c>
      <c r="W159" s="100" t="e">
        <f t="shared" si="55"/>
        <v>#VALUE!</v>
      </c>
      <c r="X159" s="100" t="e">
        <f t="shared" si="57"/>
        <v>#VALUE!</v>
      </c>
      <c r="Y159" s="99">
        <f t="shared" si="45"/>
        <v>0</v>
      </c>
    </row>
    <row r="160" spans="1:25" x14ac:dyDescent="0.2">
      <c r="A160" s="68"/>
      <c r="B160" s="68"/>
      <c r="C160" s="68"/>
      <c r="D160" s="68"/>
      <c r="E160" s="1047"/>
      <c r="F160" s="1450"/>
      <c r="G160" s="91">
        <f t="shared" si="49"/>
        <v>159</v>
      </c>
      <c r="H160" s="105">
        <f t="shared" si="46"/>
        <v>4808</v>
      </c>
      <c r="I160" s="93">
        <f t="shared" si="39"/>
        <v>0</v>
      </c>
      <c r="J160" s="106">
        <f t="shared" si="50"/>
        <v>0</v>
      </c>
      <c r="K160" s="106">
        <f t="shared" si="51"/>
        <v>0</v>
      </c>
      <c r="L160" s="95">
        <f t="shared" si="52"/>
        <v>159</v>
      </c>
      <c r="M160" s="96" t="e">
        <f t="shared" si="40"/>
        <v>#VALUE!</v>
      </c>
      <c r="N160" s="96" t="e">
        <f t="shared" si="41"/>
        <v>#VALUE!</v>
      </c>
      <c r="O160" s="96" t="e">
        <f t="shared" si="42"/>
        <v>#VALUE!</v>
      </c>
      <c r="P160" s="96" t="e">
        <f t="shared" si="43"/>
        <v>#VALUE!</v>
      </c>
      <c r="Q160" s="98">
        <f t="shared" si="53"/>
        <v>158</v>
      </c>
      <c r="R160" s="99" t="e">
        <f t="shared" si="44"/>
        <v>#VALUE!</v>
      </c>
      <c r="S160" s="100" t="e">
        <f t="shared" si="47"/>
        <v>#VALUE!</v>
      </c>
      <c r="T160" s="100" t="e">
        <f t="shared" si="54"/>
        <v>#VALUE!</v>
      </c>
      <c r="U160" s="100" t="e">
        <f t="shared" si="56"/>
        <v>#VALUE!</v>
      </c>
      <c r="V160" s="100" t="e">
        <f t="shared" si="48"/>
        <v>#VALUE!</v>
      </c>
      <c r="W160" s="100" t="e">
        <f t="shared" si="55"/>
        <v>#VALUE!</v>
      </c>
      <c r="X160" s="100" t="e">
        <f t="shared" si="57"/>
        <v>#VALUE!</v>
      </c>
      <c r="Y160" s="99">
        <f t="shared" si="45"/>
        <v>0</v>
      </c>
    </row>
    <row r="161" spans="1:25" x14ac:dyDescent="0.2">
      <c r="A161" s="68"/>
      <c r="B161" s="68"/>
      <c r="C161" s="68"/>
      <c r="D161" s="68"/>
      <c r="E161" s="1047"/>
      <c r="F161" s="1450"/>
      <c r="G161" s="91">
        <f t="shared" si="49"/>
        <v>160</v>
      </c>
      <c r="H161" s="105">
        <f t="shared" si="46"/>
        <v>4839</v>
      </c>
      <c r="I161" s="93">
        <f t="shared" si="39"/>
        <v>0</v>
      </c>
      <c r="J161" s="106">
        <f t="shared" si="50"/>
        <v>0</v>
      </c>
      <c r="K161" s="106">
        <f t="shared" si="51"/>
        <v>0</v>
      </c>
      <c r="L161" s="95">
        <f t="shared" si="52"/>
        <v>160</v>
      </c>
      <c r="M161" s="96" t="e">
        <f t="shared" si="40"/>
        <v>#VALUE!</v>
      </c>
      <c r="N161" s="96" t="e">
        <f t="shared" si="41"/>
        <v>#VALUE!</v>
      </c>
      <c r="O161" s="96" t="e">
        <f t="shared" si="42"/>
        <v>#VALUE!</v>
      </c>
      <c r="P161" s="96" t="e">
        <f t="shared" si="43"/>
        <v>#VALUE!</v>
      </c>
      <c r="Q161" s="98">
        <f t="shared" si="53"/>
        <v>159</v>
      </c>
      <c r="R161" s="99" t="e">
        <f t="shared" si="44"/>
        <v>#VALUE!</v>
      </c>
      <c r="S161" s="100" t="e">
        <f t="shared" si="47"/>
        <v>#VALUE!</v>
      </c>
      <c r="T161" s="100" t="e">
        <f t="shared" si="54"/>
        <v>#VALUE!</v>
      </c>
      <c r="U161" s="100" t="e">
        <f t="shared" si="56"/>
        <v>#VALUE!</v>
      </c>
      <c r="V161" s="100" t="e">
        <f t="shared" si="48"/>
        <v>#VALUE!</v>
      </c>
      <c r="W161" s="100" t="e">
        <f t="shared" si="55"/>
        <v>#VALUE!</v>
      </c>
      <c r="X161" s="100" t="e">
        <f t="shared" si="57"/>
        <v>#VALUE!</v>
      </c>
      <c r="Y161" s="99">
        <f t="shared" si="45"/>
        <v>0</v>
      </c>
    </row>
    <row r="162" spans="1:25" x14ac:dyDescent="0.2">
      <c r="A162" s="68"/>
      <c r="B162" s="68"/>
      <c r="C162" s="68"/>
      <c r="D162" s="68"/>
      <c r="E162" s="1047"/>
      <c r="F162" s="1450"/>
      <c r="G162" s="91">
        <f t="shared" si="49"/>
        <v>161</v>
      </c>
      <c r="H162" s="105">
        <f t="shared" si="46"/>
        <v>4869</v>
      </c>
      <c r="I162" s="93">
        <f t="shared" si="39"/>
        <v>0</v>
      </c>
      <c r="J162" s="106">
        <f t="shared" si="50"/>
        <v>0</v>
      </c>
      <c r="K162" s="106">
        <f t="shared" si="51"/>
        <v>0</v>
      </c>
      <c r="L162" s="95">
        <f t="shared" si="52"/>
        <v>161</v>
      </c>
      <c r="M162" s="96" t="e">
        <f t="shared" si="40"/>
        <v>#VALUE!</v>
      </c>
      <c r="N162" s="96" t="e">
        <f t="shared" si="41"/>
        <v>#VALUE!</v>
      </c>
      <c r="O162" s="96" t="e">
        <f t="shared" si="42"/>
        <v>#VALUE!</v>
      </c>
      <c r="P162" s="96" t="e">
        <f t="shared" si="43"/>
        <v>#VALUE!</v>
      </c>
      <c r="Q162" s="98">
        <f t="shared" si="53"/>
        <v>160</v>
      </c>
      <c r="R162" s="99" t="e">
        <f t="shared" si="44"/>
        <v>#VALUE!</v>
      </c>
      <c r="S162" s="100" t="e">
        <f t="shared" si="47"/>
        <v>#VALUE!</v>
      </c>
      <c r="T162" s="100" t="e">
        <f t="shared" si="54"/>
        <v>#VALUE!</v>
      </c>
      <c r="U162" s="100" t="e">
        <f t="shared" si="56"/>
        <v>#VALUE!</v>
      </c>
      <c r="V162" s="100" t="e">
        <f t="shared" si="48"/>
        <v>#VALUE!</v>
      </c>
      <c r="W162" s="100" t="e">
        <f t="shared" si="55"/>
        <v>#VALUE!</v>
      </c>
      <c r="X162" s="100" t="e">
        <f t="shared" si="57"/>
        <v>#VALUE!</v>
      </c>
      <c r="Y162" s="99">
        <f t="shared" si="45"/>
        <v>0</v>
      </c>
    </row>
    <row r="163" spans="1:25" x14ac:dyDescent="0.2">
      <c r="A163" s="68"/>
      <c r="B163" s="68"/>
      <c r="C163" s="68"/>
      <c r="D163" s="68"/>
      <c r="E163" s="1047"/>
      <c r="F163" s="1450"/>
      <c r="G163" s="91">
        <f t="shared" si="49"/>
        <v>162</v>
      </c>
      <c r="H163" s="105">
        <f t="shared" si="46"/>
        <v>4900</v>
      </c>
      <c r="I163" s="93">
        <f t="shared" si="39"/>
        <v>0</v>
      </c>
      <c r="J163" s="106">
        <f t="shared" si="50"/>
        <v>0</v>
      </c>
      <c r="K163" s="106">
        <f t="shared" si="51"/>
        <v>0</v>
      </c>
      <c r="L163" s="95">
        <f t="shared" si="52"/>
        <v>162</v>
      </c>
      <c r="M163" s="96" t="e">
        <f t="shared" si="40"/>
        <v>#VALUE!</v>
      </c>
      <c r="N163" s="96" t="e">
        <f t="shared" si="41"/>
        <v>#VALUE!</v>
      </c>
      <c r="O163" s="96" t="e">
        <f t="shared" si="42"/>
        <v>#VALUE!</v>
      </c>
      <c r="P163" s="96" t="e">
        <f t="shared" si="43"/>
        <v>#VALUE!</v>
      </c>
      <c r="Q163" s="98">
        <f t="shared" si="53"/>
        <v>161</v>
      </c>
      <c r="R163" s="99" t="e">
        <f t="shared" si="44"/>
        <v>#VALUE!</v>
      </c>
      <c r="S163" s="100" t="e">
        <f t="shared" si="47"/>
        <v>#VALUE!</v>
      </c>
      <c r="T163" s="100" t="e">
        <f t="shared" si="54"/>
        <v>#VALUE!</v>
      </c>
      <c r="U163" s="100" t="e">
        <f t="shared" si="56"/>
        <v>#VALUE!</v>
      </c>
      <c r="V163" s="100" t="e">
        <f t="shared" si="48"/>
        <v>#VALUE!</v>
      </c>
      <c r="W163" s="100" t="e">
        <f t="shared" si="55"/>
        <v>#VALUE!</v>
      </c>
      <c r="X163" s="100" t="e">
        <f t="shared" si="57"/>
        <v>#VALUE!</v>
      </c>
      <c r="Y163" s="99">
        <f t="shared" si="45"/>
        <v>0</v>
      </c>
    </row>
    <row r="164" spans="1:25" x14ac:dyDescent="0.2">
      <c r="A164" s="68"/>
      <c r="B164" s="68"/>
      <c r="C164" s="68"/>
      <c r="D164" s="68"/>
      <c r="E164" s="1047"/>
      <c r="F164" s="1450"/>
      <c r="G164" s="91">
        <f t="shared" si="49"/>
        <v>163</v>
      </c>
      <c r="H164" s="105">
        <f t="shared" si="46"/>
        <v>4930</v>
      </c>
      <c r="I164" s="93">
        <f t="shared" si="39"/>
        <v>0</v>
      </c>
      <c r="J164" s="106">
        <f t="shared" si="50"/>
        <v>0</v>
      </c>
      <c r="K164" s="106">
        <f t="shared" si="51"/>
        <v>0</v>
      </c>
      <c r="L164" s="95">
        <f t="shared" si="52"/>
        <v>163</v>
      </c>
      <c r="M164" s="96" t="e">
        <f t="shared" si="40"/>
        <v>#VALUE!</v>
      </c>
      <c r="N164" s="96" t="e">
        <f t="shared" si="41"/>
        <v>#VALUE!</v>
      </c>
      <c r="O164" s="96" t="e">
        <f t="shared" si="42"/>
        <v>#VALUE!</v>
      </c>
      <c r="P164" s="96" t="e">
        <f t="shared" si="43"/>
        <v>#VALUE!</v>
      </c>
      <c r="Q164" s="98">
        <f t="shared" si="53"/>
        <v>162</v>
      </c>
      <c r="R164" s="99" t="e">
        <f t="shared" si="44"/>
        <v>#VALUE!</v>
      </c>
      <c r="S164" s="100" t="e">
        <f t="shared" si="47"/>
        <v>#VALUE!</v>
      </c>
      <c r="T164" s="100" t="e">
        <f t="shared" si="54"/>
        <v>#VALUE!</v>
      </c>
      <c r="U164" s="100" t="e">
        <f t="shared" si="56"/>
        <v>#VALUE!</v>
      </c>
      <c r="V164" s="100" t="e">
        <f t="shared" si="48"/>
        <v>#VALUE!</v>
      </c>
      <c r="W164" s="100" t="e">
        <f t="shared" si="55"/>
        <v>#VALUE!</v>
      </c>
      <c r="X164" s="100" t="e">
        <f t="shared" si="57"/>
        <v>#VALUE!</v>
      </c>
      <c r="Y164" s="99">
        <f t="shared" si="45"/>
        <v>0</v>
      </c>
    </row>
    <row r="165" spans="1:25" x14ac:dyDescent="0.2">
      <c r="A165" s="68"/>
      <c r="B165" s="68"/>
      <c r="C165" s="68"/>
      <c r="D165" s="68"/>
      <c r="E165" s="1047"/>
      <c r="F165" s="1450"/>
      <c r="G165" s="91">
        <f t="shared" si="49"/>
        <v>164</v>
      </c>
      <c r="H165" s="105">
        <f t="shared" si="46"/>
        <v>4961</v>
      </c>
      <c r="I165" s="93">
        <f t="shared" si="39"/>
        <v>0</v>
      </c>
      <c r="J165" s="106">
        <f t="shared" si="50"/>
        <v>0</v>
      </c>
      <c r="K165" s="106">
        <f t="shared" si="51"/>
        <v>0</v>
      </c>
      <c r="L165" s="95">
        <f t="shared" si="52"/>
        <v>164</v>
      </c>
      <c r="M165" s="96" t="e">
        <f t="shared" si="40"/>
        <v>#VALUE!</v>
      </c>
      <c r="N165" s="96" t="e">
        <f t="shared" si="41"/>
        <v>#VALUE!</v>
      </c>
      <c r="O165" s="96" t="e">
        <f t="shared" si="42"/>
        <v>#VALUE!</v>
      </c>
      <c r="P165" s="96" t="e">
        <f t="shared" si="43"/>
        <v>#VALUE!</v>
      </c>
      <c r="Q165" s="98">
        <f t="shared" si="53"/>
        <v>163</v>
      </c>
      <c r="R165" s="99" t="e">
        <f t="shared" si="44"/>
        <v>#VALUE!</v>
      </c>
      <c r="S165" s="100" t="e">
        <f t="shared" si="47"/>
        <v>#VALUE!</v>
      </c>
      <c r="T165" s="100" t="e">
        <f t="shared" si="54"/>
        <v>#VALUE!</v>
      </c>
      <c r="U165" s="100" t="e">
        <f t="shared" si="56"/>
        <v>#VALUE!</v>
      </c>
      <c r="V165" s="100" t="e">
        <f t="shared" si="48"/>
        <v>#VALUE!</v>
      </c>
      <c r="W165" s="100" t="e">
        <f t="shared" si="55"/>
        <v>#VALUE!</v>
      </c>
      <c r="X165" s="100" t="e">
        <f t="shared" si="57"/>
        <v>#VALUE!</v>
      </c>
      <c r="Y165" s="99">
        <f t="shared" si="45"/>
        <v>0</v>
      </c>
    </row>
    <row r="166" spans="1:25" x14ac:dyDescent="0.2">
      <c r="A166" s="68"/>
      <c r="B166" s="68"/>
      <c r="C166" s="68"/>
      <c r="D166" s="68"/>
      <c r="E166" s="1047"/>
      <c r="F166" s="1450"/>
      <c r="G166" s="91">
        <f t="shared" si="49"/>
        <v>165</v>
      </c>
      <c r="H166" s="105">
        <f t="shared" si="46"/>
        <v>4992</v>
      </c>
      <c r="I166" s="93">
        <f t="shared" si="39"/>
        <v>0</v>
      </c>
      <c r="J166" s="106">
        <f t="shared" si="50"/>
        <v>0</v>
      </c>
      <c r="K166" s="106">
        <f t="shared" si="51"/>
        <v>0</v>
      </c>
      <c r="L166" s="95">
        <f t="shared" si="52"/>
        <v>165</v>
      </c>
      <c r="M166" s="96" t="e">
        <f t="shared" si="40"/>
        <v>#VALUE!</v>
      </c>
      <c r="N166" s="96" t="e">
        <f t="shared" si="41"/>
        <v>#VALUE!</v>
      </c>
      <c r="O166" s="96" t="e">
        <f t="shared" si="42"/>
        <v>#VALUE!</v>
      </c>
      <c r="P166" s="96" t="e">
        <f t="shared" si="43"/>
        <v>#VALUE!</v>
      </c>
      <c r="Q166" s="98">
        <f t="shared" si="53"/>
        <v>164</v>
      </c>
      <c r="R166" s="99" t="e">
        <f t="shared" si="44"/>
        <v>#VALUE!</v>
      </c>
      <c r="S166" s="100" t="e">
        <f t="shared" si="47"/>
        <v>#VALUE!</v>
      </c>
      <c r="T166" s="100" t="e">
        <f t="shared" si="54"/>
        <v>#VALUE!</v>
      </c>
      <c r="U166" s="100" t="e">
        <f t="shared" si="56"/>
        <v>#VALUE!</v>
      </c>
      <c r="V166" s="100" t="e">
        <f t="shared" si="48"/>
        <v>#VALUE!</v>
      </c>
      <c r="W166" s="100" t="e">
        <f t="shared" si="55"/>
        <v>#VALUE!</v>
      </c>
      <c r="X166" s="100" t="e">
        <f t="shared" si="57"/>
        <v>#VALUE!</v>
      </c>
      <c r="Y166" s="99">
        <f t="shared" si="45"/>
        <v>0</v>
      </c>
    </row>
    <row r="167" spans="1:25" x14ac:dyDescent="0.2">
      <c r="A167" s="68"/>
      <c r="B167" s="68"/>
      <c r="C167" s="68"/>
      <c r="D167" s="68"/>
      <c r="E167" s="1047"/>
      <c r="F167" s="1450"/>
      <c r="G167" s="91">
        <f t="shared" si="49"/>
        <v>166</v>
      </c>
      <c r="H167" s="105">
        <f t="shared" si="46"/>
        <v>5022</v>
      </c>
      <c r="I167" s="93">
        <f t="shared" si="39"/>
        <v>0</v>
      </c>
      <c r="J167" s="106">
        <f t="shared" si="50"/>
        <v>0</v>
      </c>
      <c r="K167" s="106">
        <f t="shared" si="51"/>
        <v>0</v>
      </c>
      <c r="L167" s="95">
        <f t="shared" si="52"/>
        <v>166</v>
      </c>
      <c r="M167" s="96" t="e">
        <f t="shared" si="40"/>
        <v>#VALUE!</v>
      </c>
      <c r="N167" s="96" t="e">
        <f t="shared" si="41"/>
        <v>#VALUE!</v>
      </c>
      <c r="O167" s="96" t="e">
        <f t="shared" si="42"/>
        <v>#VALUE!</v>
      </c>
      <c r="P167" s="96" t="e">
        <f t="shared" si="43"/>
        <v>#VALUE!</v>
      </c>
      <c r="Q167" s="98">
        <f t="shared" si="53"/>
        <v>165</v>
      </c>
      <c r="R167" s="99" t="e">
        <f t="shared" si="44"/>
        <v>#VALUE!</v>
      </c>
      <c r="S167" s="100" t="e">
        <f t="shared" si="47"/>
        <v>#VALUE!</v>
      </c>
      <c r="T167" s="100" t="e">
        <f t="shared" si="54"/>
        <v>#VALUE!</v>
      </c>
      <c r="U167" s="100" t="e">
        <f t="shared" si="56"/>
        <v>#VALUE!</v>
      </c>
      <c r="V167" s="100" t="e">
        <f t="shared" si="48"/>
        <v>#VALUE!</v>
      </c>
      <c r="W167" s="100" t="e">
        <f t="shared" si="55"/>
        <v>#VALUE!</v>
      </c>
      <c r="X167" s="100" t="e">
        <f t="shared" si="57"/>
        <v>#VALUE!</v>
      </c>
      <c r="Y167" s="99">
        <f t="shared" si="45"/>
        <v>0</v>
      </c>
    </row>
    <row r="168" spans="1:25" x14ac:dyDescent="0.2">
      <c r="A168" s="68"/>
      <c r="B168" s="68"/>
      <c r="C168" s="68"/>
      <c r="D168" s="68"/>
      <c r="E168" s="1047"/>
      <c r="F168" s="1450"/>
      <c r="G168" s="91">
        <f t="shared" si="49"/>
        <v>167</v>
      </c>
      <c r="H168" s="105">
        <f t="shared" si="46"/>
        <v>5053</v>
      </c>
      <c r="I168" s="93">
        <f t="shared" si="39"/>
        <v>0</v>
      </c>
      <c r="J168" s="106">
        <f t="shared" si="50"/>
        <v>0</v>
      </c>
      <c r="K168" s="106">
        <f t="shared" si="51"/>
        <v>0</v>
      </c>
      <c r="L168" s="95">
        <f t="shared" si="52"/>
        <v>167</v>
      </c>
      <c r="M168" s="96" t="e">
        <f t="shared" si="40"/>
        <v>#VALUE!</v>
      </c>
      <c r="N168" s="96" t="e">
        <f t="shared" si="41"/>
        <v>#VALUE!</v>
      </c>
      <c r="O168" s="96" t="e">
        <f t="shared" si="42"/>
        <v>#VALUE!</v>
      </c>
      <c r="P168" s="96" t="e">
        <f t="shared" si="43"/>
        <v>#VALUE!</v>
      </c>
      <c r="Q168" s="98">
        <f t="shared" si="53"/>
        <v>166</v>
      </c>
      <c r="R168" s="99" t="e">
        <f t="shared" si="44"/>
        <v>#VALUE!</v>
      </c>
      <c r="S168" s="100" t="e">
        <f t="shared" si="47"/>
        <v>#VALUE!</v>
      </c>
      <c r="T168" s="100" t="e">
        <f t="shared" si="54"/>
        <v>#VALUE!</v>
      </c>
      <c r="U168" s="100" t="e">
        <f t="shared" si="56"/>
        <v>#VALUE!</v>
      </c>
      <c r="V168" s="100" t="e">
        <f t="shared" si="48"/>
        <v>#VALUE!</v>
      </c>
      <c r="W168" s="100" t="e">
        <f t="shared" si="55"/>
        <v>#VALUE!</v>
      </c>
      <c r="X168" s="100" t="e">
        <f t="shared" si="57"/>
        <v>#VALUE!</v>
      </c>
      <c r="Y168" s="99">
        <f t="shared" si="45"/>
        <v>0</v>
      </c>
    </row>
    <row r="169" spans="1:25" x14ac:dyDescent="0.2">
      <c r="A169" s="68"/>
      <c r="B169" s="68"/>
      <c r="C169" s="68"/>
      <c r="D169" s="68"/>
      <c r="E169" s="1047"/>
      <c r="F169" s="1450"/>
      <c r="G169" s="91">
        <f t="shared" si="49"/>
        <v>168</v>
      </c>
      <c r="H169" s="105">
        <f t="shared" si="46"/>
        <v>5083</v>
      </c>
      <c r="I169" s="93">
        <f t="shared" si="39"/>
        <v>0</v>
      </c>
      <c r="J169" s="106">
        <f t="shared" si="50"/>
        <v>0</v>
      </c>
      <c r="K169" s="106">
        <f t="shared" si="51"/>
        <v>0</v>
      </c>
      <c r="L169" s="95">
        <f t="shared" si="52"/>
        <v>168</v>
      </c>
      <c r="M169" s="96" t="e">
        <f t="shared" si="40"/>
        <v>#VALUE!</v>
      </c>
      <c r="N169" s="96" t="e">
        <f t="shared" si="41"/>
        <v>#VALUE!</v>
      </c>
      <c r="O169" s="96" t="e">
        <f t="shared" si="42"/>
        <v>#VALUE!</v>
      </c>
      <c r="P169" s="96" t="e">
        <f t="shared" si="43"/>
        <v>#VALUE!</v>
      </c>
      <c r="Q169" s="98">
        <f t="shared" si="53"/>
        <v>167</v>
      </c>
      <c r="R169" s="99" t="e">
        <f t="shared" si="44"/>
        <v>#VALUE!</v>
      </c>
      <c r="S169" s="100" t="e">
        <f t="shared" si="47"/>
        <v>#VALUE!</v>
      </c>
      <c r="T169" s="100" t="e">
        <f t="shared" si="54"/>
        <v>#VALUE!</v>
      </c>
      <c r="U169" s="100" t="e">
        <f t="shared" si="56"/>
        <v>#VALUE!</v>
      </c>
      <c r="V169" s="100" t="e">
        <f t="shared" si="48"/>
        <v>#VALUE!</v>
      </c>
      <c r="W169" s="100" t="e">
        <f t="shared" si="55"/>
        <v>#VALUE!</v>
      </c>
      <c r="X169" s="100" t="e">
        <f t="shared" si="57"/>
        <v>#VALUE!</v>
      </c>
      <c r="Y169" s="99">
        <f t="shared" si="45"/>
        <v>0</v>
      </c>
    </row>
    <row r="170" spans="1:25" x14ac:dyDescent="0.2">
      <c r="A170" s="68"/>
      <c r="B170" s="68"/>
      <c r="C170" s="68"/>
      <c r="D170" s="68"/>
      <c r="E170" s="1047"/>
      <c r="F170" s="1450">
        <v>15</v>
      </c>
      <c r="G170" s="91">
        <f t="shared" si="49"/>
        <v>169</v>
      </c>
      <c r="H170" s="105">
        <f t="shared" si="46"/>
        <v>5114</v>
      </c>
      <c r="I170" s="93">
        <f t="shared" si="39"/>
        <v>0</v>
      </c>
      <c r="J170" s="106">
        <f t="shared" si="50"/>
        <v>0</v>
      </c>
      <c r="K170" s="106">
        <f t="shared" si="51"/>
        <v>0</v>
      </c>
      <c r="L170" s="95">
        <f t="shared" si="52"/>
        <v>169</v>
      </c>
      <c r="M170" s="96" t="e">
        <f t="shared" si="40"/>
        <v>#VALUE!</v>
      </c>
      <c r="N170" s="96" t="e">
        <f t="shared" si="41"/>
        <v>#VALUE!</v>
      </c>
      <c r="O170" s="96" t="e">
        <f t="shared" si="42"/>
        <v>#VALUE!</v>
      </c>
      <c r="P170" s="96" t="e">
        <f t="shared" si="43"/>
        <v>#VALUE!</v>
      </c>
      <c r="Q170" s="98">
        <f t="shared" si="53"/>
        <v>168</v>
      </c>
      <c r="R170" s="99" t="e">
        <f t="shared" si="44"/>
        <v>#VALUE!</v>
      </c>
      <c r="S170" s="100" t="e">
        <f t="shared" si="47"/>
        <v>#VALUE!</v>
      </c>
      <c r="T170" s="100" t="e">
        <f t="shared" si="54"/>
        <v>#VALUE!</v>
      </c>
      <c r="U170" s="100" t="e">
        <f t="shared" si="56"/>
        <v>#VALUE!</v>
      </c>
      <c r="V170" s="100" t="e">
        <f t="shared" si="48"/>
        <v>#VALUE!</v>
      </c>
      <c r="W170" s="100" t="e">
        <f t="shared" si="55"/>
        <v>#VALUE!</v>
      </c>
      <c r="X170" s="100" t="e">
        <f t="shared" si="57"/>
        <v>#VALUE!</v>
      </c>
      <c r="Y170" s="99">
        <f t="shared" si="45"/>
        <v>0</v>
      </c>
    </row>
    <row r="171" spans="1:25" x14ac:dyDescent="0.2">
      <c r="A171" s="68"/>
      <c r="B171" s="68"/>
      <c r="C171" s="68"/>
      <c r="D171" s="68"/>
      <c r="E171" s="1047"/>
      <c r="F171" s="1450"/>
      <c r="G171" s="91">
        <f t="shared" si="49"/>
        <v>170</v>
      </c>
      <c r="H171" s="105">
        <f t="shared" si="46"/>
        <v>5145</v>
      </c>
      <c r="I171" s="93">
        <f t="shared" si="39"/>
        <v>0</v>
      </c>
      <c r="J171" s="106">
        <f t="shared" si="50"/>
        <v>0</v>
      </c>
      <c r="K171" s="106">
        <f t="shared" si="51"/>
        <v>0</v>
      </c>
      <c r="L171" s="95">
        <f t="shared" si="52"/>
        <v>170</v>
      </c>
      <c r="M171" s="96" t="e">
        <f t="shared" si="40"/>
        <v>#VALUE!</v>
      </c>
      <c r="N171" s="96" t="e">
        <f t="shared" si="41"/>
        <v>#VALUE!</v>
      </c>
      <c r="O171" s="96" t="e">
        <f t="shared" si="42"/>
        <v>#VALUE!</v>
      </c>
      <c r="P171" s="96" t="e">
        <f t="shared" si="43"/>
        <v>#VALUE!</v>
      </c>
      <c r="Q171" s="98">
        <f t="shared" si="53"/>
        <v>169</v>
      </c>
      <c r="R171" s="99" t="e">
        <f t="shared" si="44"/>
        <v>#VALUE!</v>
      </c>
      <c r="S171" s="100" t="e">
        <f t="shared" si="47"/>
        <v>#VALUE!</v>
      </c>
      <c r="T171" s="100" t="e">
        <f t="shared" si="54"/>
        <v>#VALUE!</v>
      </c>
      <c r="U171" s="100" t="e">
        <f t="shared" si="56"/>
        <v>#VALUE!</v>
      </c>
      <c r="V171" s="100" t="e">
        <f t="shared" si="48"/>
        <v>#VALUE!</v>
      </c>
      <c r="W171" s="100" t="e">
        <f t="shared" si="55"/>
        <v>#VALUE!</v>
      </c>
      <c r="X171" s="100" t="e">
        <f t="shared" si="57"/>
        <v>#VALUE!</v>
      </c>
      <c r="Y171" s="99">
        <f t="shared" si="45"/>
        <v>0</v>
      </c>
    </row>
    <row r="172" spans="1:25" x14ac:dyDescent="0.2">
      <c r="A172" s="68"/>
      <c r="B172" s="68"/>
      <c r="C172" s="68"/>
      <c r="D172" s="68"/>
      <c r="E172" s="1047"/>
      <c r="F172" s="1450"/>
      <c r="G172" s="91">
        <f t="shared" si="49"/>
        <v>171</v>
      </c>
      <c r="H172" s="105">
        <f t="shared" si="46"/>
        <v>5173</v>
      </c>
      <c r="I172" s="93">
        <f t="shared" si="39"/>
        <v>0</v>
      </c>
      <c r="J172" s="106">
        <f t="shared" si="50"/>
        <v>0</v>
      </c>
      <c r="K172" s="106">
        <f t="shared" si="51"/>
        <v>0</v>
      </c>
      <c r="L172" s="95">
        <f t="shared" si="52"/>
        <v>171</v>
      </c>
      <c r="M172" s="96" t="e">
        <f t="shared" si="40"/>
        <v>#VALUE!</v>
      </c>
      <c r="N172" s="96" t="e">
        <f t="shared" si="41"/>
        <v>#VALUE!</v>
      </c>
      <c r="O172" s="96" t="e">
        <f t="shared" si="42"/>
        <v>#VALUE!</v>
      </c>
      <c r="P172" s="96" t="e">
        <f t="shared" si="43"/>
        <v>#VALUE!</v>
      </c>
      <c r="Q172" s="98">
        <f t="shared" si="53"/>
        <v>170</v>
      </c>
      <c r="R172" s="99" t="e">
        <f t="shared" si="44"/>
        <v>#VALUE!</v>
      </c>
      <c r="S172" s="100" t="e">
        <f t="shared" si="47"/>
        <v>#VALUE!</v>
      </c>
      <c r="T172" s="100" t="e">
        <f t="shared" si="54"/>
        <v>#VALUE!</v>
      </c>
      <c r="U172" s="100" t="e">
        <f t="shared" si="56"/>
        <v>#VALUE!</v>
      </c>
      <c r="V172" s="100" t="e">
        <f t="shared" si="48"/>
        <v>#VALUE!</v>
      </c>
      <c r="W172" s="100" t="e">
        <f t="shared" si="55"/>
        <v>#VALUE!</v>
      </c>
      <c r="X172" s="100" t="e">
        <f t="shared" si="57"/>
        <v>#VALUE!</v>
      </c>
      <c r="Y172" s="99">
        <f t="shared" si="45"/>
        <v>0</v>
      </c>
    </row>
    <row r="173" spans="1:25" x14ac:dyDescent="0.2">
      <c r="A173" s="68"/>
      <c r="B173" s="68"/>
      <c r="C173" s="68"/>
      <c r="D173" s="68"/>
      <c r="E173" s="1047"/>
      <c r="F173" s="1450"/>
      <c r="G173" s="91">
        <f t="shared" si="49"/>
        <v>172</v>
      </c>
      <c r="H173" s="105">
        <f t="shared" si="46"/>
        <v>5204</v>
      </c>
      <c r="I173" s="93">
        <f t="shared" si="39"/>
        <v>0</v>
      </c>
      <c r="J173" s="106">
        <f t="shared" si="50"/>
        <v>0</v>
      </c>
      <c r="K173" s="106">
        <f t="shared" si="51"/>
        <v>0</v>
      </c>
      <c r="L173" s="95">
        <f t="shared" si="52"/>
        <v>172</v>
      </c>
      <c r="M173" s="96" t="e">
        <f t="shared" si="40"/>
        <v>#VALUE!</v>
      </c>
      <c r="N173" s="96" t="e">
        <f t="shared" si="41"/>
        <v>#VALUE!</v>
      </c>
      <c r="O173" s="96" t="e">
        <f t="shared" si="42"/>
        <v>#VALUE!</v>
      </c>
      <c r="P173" s="96" t="e">
        <f t="shared" si="43"/>
        <v>#VALUE!</v>
      </c>
      <c r="Q173" s="98">
        <f t="shared" si="53"/>
        <v>171</v>
      </c>
      <c r="R173" s="99" t="e">
        <f t="shared" si="44"/>
        <v>#VALUE!</v>
      </c>
      <c r="S173" s="100" t="e">
        <f t="shared" si="47"/>
        <v>#VALUE!</v>
      </c>
      <c r="T173" s="100" t="e">
        <f t="shared" si="54"/>
        <v>#VALUE!</v>
      </c>
      <c r="U173" s="100" t="e">
        <f t="shared" si="56"/>
        <v>#VALUE!</v>
      </c>
      <c r="V173" s="100" t="e">
        <f t="shared" si="48"/>
        <v>#VALUE!</v>
      </c>
      <c r="W173" s="100" t="e">
        <f t="shared" si="55"/>
        <v>#VALUE!</v>
      </c>
      <c r="X173" s="100" t="e">
        <f t="shared" si="57"/>
        <v>#VALUE!</v>
      </c>
      <c r="Y173" s="99">
        <f t="shared" si="45"/>
        <v>0</v>
      </c>
    </row>
    <row r="174" spans="1:25" x14ac:dyDescent="0.2">
      <c r="A174" s="68"/>
      <c r="B174" s="68"/>
      <c r="C174" s="68"/>
      <c r="D174" s="68"/>
      <c r="E174" s="1047"/>
      <c r="F174" s="1450"/>
      <c r="G174" s="91">
        <f t="shared" si="49"/>
        <v>173</v>
      </c>
      <c r="H174" s="105">
        <f t="shared" si="46"/>
        <v>5234</v>
      </c>
      <c r="I174" s="93">
        <f t="shared" si="39"/>
        <v>0</v>
      </c>
      <c r="J174" s="106">
        <f t="shared" si="50"/>
        <v>0</v>
      </c>
      <c r="K174" s="106">
        <f t="shared" si="51"/>
        <v>0</v>
      </c>
      <c r="L174" s="95">
        <f t="shared" si="52"/>
        <v>173</v>
      </c>
      <c r="M174" s="96" t="e">
        <f t="shared" si="40"/>
        <v>#VALUE!</v>
      </c>
      <c r="N174" s="96" t="e">
        <f t="shared" si="41"/>
        <v>#VALUE!</v>
      </c>
      <c r="O174" s="96" t="e">
        <f t="shared" si="42"/>
        <v>#VALUE!</v>
      </c>
      <c r="P174" s="96" t="e">
        <f t="shared" si="43"/>
        <v>#VALUE!</v>
      </c>
      <c r="Q174" s="98">
        <f t="shared" si="53"/>
        <v>172</v>
      </c>
      <c r="R174" s="99" t="e">
        <f t="shared" si="44"/>
        <v>#VALUE!</v>
      </c>
      <c r="S174" s="100" t="e">
        <f t="shared" si="47"/>
        <v>#VALUE!</v>
      </c>
      <c r="T174" s="100" t="e">
        <f t="shared" si="54"/>
        <v>#VALUE!</v>
      </c>
      <c r="U174" s="100" t="e">
        <f t="shared" si="56"/>
        <v>#VALUE!</v>
      </c>
      <c r="V174" s="100" t="e">
        <f t="shared" si="48"/>
        <v>#VALUE!</v>
      </c>
      <c r="W174" s="100" t="e">
        <f t="shared" si="55"/>
        <v>#VALUE!</v>
      </c>
      <c r="X174" s="100" t="e">
        <f t="shared" si="57"/>
        <v>#VALUE!</v>
      </c>
      <c r="Y174" s="99">
        <f t="shared" si="45"/>
        <v>0</v>
      </c>
    </row>
    <row r="175" spans="1:25" x14ac:dyDescent="0.2">
      <c r="A175" s="68"/>
      <c r="B175" s="68"/>
      <c r="C175" s="68"/>
      <c r="D175" s="68"/>
      <c r="E175" s="1047"/>
      <c r="F175" s="1450"/>
      <c r="G175" s="91">
        <f t="shared" si="49"/>
        <v>174</v>
      </c>
      <c r="H175" s="105">
        <f t="shared" si="46"/>
        <v>5265</v>
      </c>
      <c r="I175" s="93">
        <f t="shared" si="39"/>
        <v>0</v>
      </c>
      <c r="J175" s="106">
        <f t="shared" si="50"/>
        <v>0</v>
      </c>
      <c r="K175" s="106">
        <f t="shared" si="51"/>
        <v>0</v>
      </c>
      <c r="L175" s="95">
        <f t="shared" si="52"/>
        <v>174</v>
      </c>
      <c r="M175" s="96" t="e">
        <f t="shared" si="40"/>
        <v>#VALUE!</v>
      </c>
      <c r="N175" s="96" t="e">
        <f t="shared" si="41"/>
        <v>#VALUE!</v>
      </c>
      <c r="O175" s="96" t="e">
        <f t="shared" si="42"/>
        <v>#VALUE!</v>
      </c>
      <c r="P175" s="96" t="e">
        <f t="shared" si="43"/>
        <v>#VALUE!</v>
      </c>
      <c r="Q175" s="98">
        <f t="shared" si="53"/>
        <v>173</v>
      </c>
      <c r="R175" s="99" t="e">
        <f t="shared" si="44"/>
        <v>#VALUE!</v>
      </c>
      <c r="S175" s="100" t="e">
        <f t="shared" si="47"/>
        <v>#VALUE!</v>
      </c>
      <c r="T175" s="100" t="e">
        <f t="shared" si="54"/>
        <v>#VALUE!</v>
      </c>
      <c r="U175" s="100" t="e">
        <f t="shared" si="56"/>
        <v>#VALUE!</v>
      </c>
      <c r="V175" s="100" t="e">
        <f t="shared" si="48"/>
        <v>#VALUE!</v>
      </c>
      <c r="W175" s="100" t="e">
        <f t="shared" si="55"/>
        <v>#VALUE!</v>
      </c>
      <c r="X175" s="100" t="e">
        <f t="shared" si="57"/>
        <v>#VALUE!</v>
      </c>
      <c r="Y175" s="99">
        <f t="shared" si="45"/>
        <v>0</v>
      </c>
    </row>
    <row r="176" spans="1:25" x14ac:dyDescent="0.2">
      <c r="A176" s="68"/>
      <c r="B176" s="68"/>
      <c r="C176" s="68"/>
      <c r="D176" s="68"/>
      <c r="E176" s="1047"/>
      <c r="F176" s="1450"/>
      <c r="G176" s="91">
        <f t="shared" si="49"/>
        <v>175</v>
      </c>
      <c r="H176" s="105">
        <f t="shared" si="46"/>
        <v>5295</v>
      </c>
      <c r="I176" s="93">
        <f t="shared" si="39"/>
        <v>0</v>
      </c>
      <c r="J176" s="106">
        <f t="shared" si="50"/>
        <v>0</v>
      </c>
      <c r="K176" s="106">
        <f t="shared" si="51"/>
        <v>0</v>
      </c>
      <c r="L176" s="95">
        <f t="shared" si="52"/>
        <v>175</v>
      </c>
      <c r="M176" s="96" t="e">
        <f t="shared" si="40"/>
        <v>#VALUE!</v>
      </c>
      <c r="N176" s="96" t="e">
        <f t="shared" si="41"/>
        <v>#VALUE!</v>
      </c>
      <c r="O176" s="96" t="e">
        <f t="shared" si="42"/>
        <v>#VALUE!</v>
      </c>
      <c r="P176" s="96" t="e">
        <f t="shared" si="43"/>
        <v>#VALUE!</v>
      </c>
      <c r="Q176" s="98">
        <f t="shared" si="53"/>
        <v>174</v>
      </c>
      <c r="R176" s="99" t="e">
        <f t="shared" si="44"/>
        <v>#VALUE!</v>
      </c>
      <c r="S176" s="100" t="e">
        <f t="shared" si="47"/>
        <v>#VALUE!</v>
      </c>
      <c r="T176" s="100" t="e">
        <f t="shared" si="54"/>
        <v>#VALUE!</v>
      </c>
      <c r="U176" s="100" t="e">
        <f t="shared" si="56"/>
        <v>#VALUE!</v>
      </c>
      <c r="V176" s="100" t="e">
        <f t="shared" si="48"/>
        <v>#VALUE!</v>
      </c>
      <c r="W176" s="100" t="e">
        <f t="shared" si="55"/>
        <v>#VALUE!</v>
      </c>
      <c r="X176" s="100" t="e">
        <f t="shared" si="57"/>
        <v>#VALUE!</v>
      </c>
      <c r="Y176" s="99">
        <f t="shared" si="45"/>
        <v>0</v>
      </c>
    </row>
    <row r="177" spans="1:25" x14ac:dyDescent="0.2">
      <c r="A177" s="68"/>
      <c r="B177" s="68"/>
      <c r="C177" s="68"/>
      <c r="D177" s="68"/>
      <c r="E177" s="1047"/>
      <c r="F177" s="1450"/>
      <c r="G177" s="91">
        <f t="shared" si="49"/>
        <v>176</v>
      </c>
      <c r="H177" s="105">
        <f t="shared" si="46"/>
        <v>5326</v>
      </c>
      <c r="I177" s="93">
        <f t="shared" si="39"/>
        <v>0</v>
      </c>
      <c r="J177" s="106">
        <f t="shared" si="50"/>
        <v>0</v>
      </c>
      <c r="K177" s="106">
        <f t="shared" si="51"/>
        <v>0</v>
      </c>
      <c r="L177" s="95">
        <f t="shared" si="52"/>
        <v>176</v>
      </c>
      <c r="M177" s="96" t="e">
        <f t="shared" si="40"/>
        <v>#VALUE!</v>
      </c>
      <c r="N177" s="96" t="e">
        <f t="shared" si="41"/>
        <v>#VALUE!</v>
      </c>
      <c r="O177" s="96" t="e">
        <f t="shared" si="42"/>
        <v>#VALUE!</v>
      </c>
      <c r="P177" s="96" t="e">
        <f t="shared" si="43"/>
        <v>#VALUE!</v>
      </c>
      <c r="Q177" s="98">
        <f t="shared" si="53"/>
        <v>175</v>
      </c>
      <c r="R177" s="99" t="e">
        <f t="shared" si="44"/>
        <v>#VALUE!</v>
      </c>
      <c r="S177" s="100" t="e">
        <f t="shared" si="47"/>
        <v>#VALUE!</v>
      </c>
      <c r="T177" s="100" t="e">
        <f t="shared" si="54"/>
        <v>#VALUE!</v>
      </c>
      <c r="U177" s="100" t="e">
        <f t="shared" si="56"/>
        <v>#VALUE!</v>
      </c>
      <c r="V177" s="100" t="e">
        <f t="shared" si="48"/>
        <v>#VALUE!</v>
      </c>
      <c r="W177" s="100" t="e">
        <f t="shared" si="55"/>
        <v>#VALUE!</v>
      </c>
      <c r="X177" s="100" t="e">
        <f t="shared" si="57"/>
        <v>#VALUE!</v>
      </c>
      <c r="Y177" s="99">
        <f t="shared" si="45"/>
        <v>0</v>
      </c>
    </row>
    <row r="178" spans="1:25" x14ac:dyDescent="0.2">
      <c r="A178" s="68"/>
      <c r="B178" s="68"/>
      <c r="C178" s="68"/>
      <c r="D178" s="68"/>
      <c r="E178" s="1047"/>
      <c r="F178" s="1450"/>
      <c r="G178" s="91">
        <f t="shared" si="49"/>
        <v>177</v>
      </c>
      <c r="H178" s="105">
        <f t="shared" si="46"/>
        <v>5357</v>
      </c>
      <c r="I178" s="93">
        <f t="shared" si="39"/>
        <v>0</v>
      </c>
      <c r="J178" s="106">
        <f t="shared" si="50"/>
        <v>0</v>
      </c>
      <c r="K178" s="106">
        <f t="shared" si="51"/>
        <v>0</v>
      </c>
      <c r="L178" s="95">
        <f t="shared" si="52"/>
        <v>177</v>
      </c>
      <c r="M178" s="96" t="e">
        <f t="shared" si="40"/>
        <v>#VALUE!</v>
      </c>
      <c r="N178" s="96" t="e">
        <f t="shared" si="41"/>
        <v>#VALUE!</v>
      </c>
      <c r="O178" s="96" t="e">
        <f t="shared" si="42"/>
        <v>#VALUE!</v>
      </c>
      <c r="P178" s="96" t="e">
        <f t="shared" si="43"/>
        <v>#VALUE!</v>
      </c>
      <c r="Q178" s="98">
        <f t="shared" si="53"/>
        <v>176</v>
      </c>
      <c r="R178" s="99" t="e">
        <f t="shared" si="44"/>
        <v>#VALUE!</v>
      </c>
      <c r="S178" s="100" t="e">
        <f t="shared" si="47"/>
        <v>#VALUE!</v>
      </c>
      <c r="T178" s="100" t="e">
        <f t="shared" si="54"/>
        <v>#VALUE!</v>
      </c>
      <c r="U178" s="100" t="e">
        <f t="shared" si="56"/>
        <v>#VALUE!</v>
      </c>
      <c r="V178" s="100" t="e">
        <f t="shared" si="48"/>
        <v>#VALUE!</v>
      </c>
      <c r="W178" s="100" t="e">
        <f t="shared" si="55"/>
        <v>#VALUE!</v>
      </c>
      <c r="X178" s="100" t="e">
        <f t="shared" si="57"/>
        <v>#VALUE!</v>
      </c>
      <c r="Y178" s="99">
        <f t="shared" si="45"/>
        <v>0</v>
      </c>
    </row>
    <row r="179" spans="1:25" x14ac:dyDescent="0.2">
      <c r="A179" s="68"/>
      <c r="B179" s="68"/>
      <c r="C179" s="68"/>
      <c r="D179" s="68"/>
      <c r="E179" s="1047"/>
      <c r="F179" s="1450"/>
      <c r="G179" s="91">
        <f t="shared" si="49"/>
        <v>178</v>
      </c>
      <c r="H179" s="105">
        <f t="shared" si="46"/>
        <v>5387</v>
      </c>
      <c r="I179" s="93">
        <f t="shared" si="39"/>
        <v>0</v>
      </c>
      <c r="J179" s="106">
        <f t="shared" si="50"/>
        <v>0</v>
      </c>
      <c r="K179" s="106">
        <f t="shared" si="51"/>
        <v>0</v>
      </c>
      <c r="L179" s="95">
        <f t="shared" si="52"/>
        <v>178</v>
      </c>
      <c r="M179" s="96" t="e">
        <f t="shared" si="40"/>
        <v>#VALUE!</v>
      </c>
      <c r="N179" s="96" t="e">
        <f t="shared" si="41"/>
        <v>#VALUE!</v>
      </c>
      <c r="O179" s="96" t="e">
        <f t="shared" si="42"/>
        <v>#VALUE!</v>
      </c>
      <c r="P179" s="96" t="e">
        <f t="shared" si="43"/>
        <v>#VALUE!</v>
      </c>
      <c r="Q179" s="98">
        <f t="shared" si="53"/>
        <v>177</v>
      </c>
      <c r="R179" s="99" t="e">
        <f t="shared" si="44"/>
        <v>#VALUE!</v>
      </c>
      <c r="S179" s="100" t="e">
        <f t="shared" si="47"/>
        <v>#VALUE!</v>
      </c>
      <c r="T179" s="100" t="e">
        <f t="shared" si="54"/>
        <v>#VALUE!</v>
      </c>
      <c r="U179" s="100" t="e">
        <f t="shared" si="56"/>
        <v>#VALUE!</v>
      </c>
      <c r="V179" s="100" t="e">
        <f t="shared" si="48"/>
        <v>#VALUE!</v>
      </c>
      <c r="W179" s="100" t="e">
        <f t="shared" si="55"/>
        <v>#VALUE!</v>
      </c>
      <c r="X179" s="100" t="e">
        <f t="shared" si="57"/>
        <v>#VALUE!</v>
      </c>
      <c r="Y179" s="99">
        <f t="shared" si="45"/>
        <v>0</v>
      </c>
    </row>
    <row r="180" spans="1:25" x14ac:dyDescent="0.2">
      <c r="A180" s="68"/>
      <c r="B180" s="68"/>
      <c r="C180" s="68"/>
      <c r="D180" s="68"/>
      <c r="E180" s="1047"/>
      <c r="F180" s="1450"/>
      <c r="G180" s="91">
        <f t="shared" si="49"/>
        <v>179</v>
      </c>
      <c r="H180" s="105">
        <f t="shared" si="46"/>
        <v>5418</v>
      </c>
      <c r="I180" s="93">
        <f t="shared" si="39"/>
        <v>0</v>
      </c>
      <c r="J180" s="106">
        <f t="shared" si="50"/>
        <v>0</v>
      </c>
      <c r="K180" s="106">
        <f t="shared" si="51"/>
        <v>0</v>
      </c>
      <c r="L180" s="95">
        <f t="shared" si="52"/>
        <v>179</v>
      </c>
      <c r="M180" s="96" t="e">
        <f t="shared" si="40"/>
        <v>#VALUE!</v>
      </c>
      <c r="N180" s="96" t="e">
        <f t="shared" si="41"/>
        <v>#VALUE!</v>
      </c>
      <c r="O180" s="96" t="e">
        <f t="shared" si="42"/>
        <v>#VALUE!</v>
      </c>
      <c r="P180" s="96" t="e">
        <f t="shared" si="43"/>
        <v>#VALUE!</v>
      </c>
      <c r="Q180" s="98">
        <f t="shared" si="53"/>
        <v>178</v>
      </c>
      <c r="R180" s="99" t="e">
        <f t="shared" si="44"/>
        <v>#VALUE!</v>
      </c>
      <c r="S180" s="100" t="e">
        <f t="shared" si="47"/>
        <v>#VALUE!</v>
      </c>
      <c r="T180" s="100" t="e">
        <f t="shared" si="54"/>
        <v>#VALUE!</v>
      </c>
      <c r="U180" s="100" t="e">
        <f t="shared" si="56"/>
        <v>#VALUE!</v>
      </c>
      <c r="V180" s="100" t="e">
        <f t="shared" si="48"/>
        <v>#VALUE!</v>
      </c>
      <c r="W180" s="100" t="e">
        <f t="shared" si="55"/>
        <v>#VALUE!</v>
      </c>
      <c r="X180" s="100" t="e">
        <f t="shared" si="57"/>
        <v>#VALUE!</v>
      </c>
      <c r="Y180" s="99">
        <f t="shared" si="45"/>
        <v>0</v>
      </c>
    </row>
    <row r="181" spans="1:25" x14ac:dyDescent="0.2">
      <c r="A181" s="68"/>
      <c r="B181" s="68"/>
      <c r="C181" s="68"/>
      <c r="D181" s="68"/>
      <c r="E181" s="1047"/>
      <c r="F181" s="1450"/>
      <c r="G181" s="91">
        <f t="shared" si="49"/>
        <v>180</v>
      </c>
      <c r="H181" s="105">
        <f t="shared" si="46"/>
        <v>5448</v>
      </c>
      <c r="I181" s="93">
        <f t="shared" si="39"/>
        <v>0</v>
      </c>
      <c r="J181" s="106">
        <f t="shared" si="50"/>
        <v>0</v>
      </c>
      <c r="K181" s="106">
        <f t="shared" si="51"/>
        <v>0</v>
      </c>
      <c r="L181" s="95">
        <f t="shared" si="52"/>
        <v>180</v>
      </c>
      <c r="M181" s="96" t="e">
        <f t="shared" si="40"/>
        <v>#VALUE!</v>
      </c>
      <c r="N181" s="96" t="e">
        <f t="shared" si="41"/>
        <v>#VALUE!</v>
      </c>
      <c r="O181" s="96" t="e">
        <f t="shared" si="42"/>
        <v>#VALUE!</v>
      </c>
      <c r="P181" s="96" t="e">
        <f t="shared" si="43"/>
        <v>#VALUE!</v>
      </c>
      <c r="Q181" s="98">
        <f t="shared" si="53"/>
        <v>179</v>
      </c>
      <c r="R181" s="99" t="e">
        <f t="shared" si="44"/>
        <v>#VALUE!</v>
      </c>
      <c r="S181" s="100" t="e">
        <f t="shared" si="47"/>
        <v>#VALUE!</v>
      </c>
      <c r="T181" s="100" t="e">
        <f t="shared" si="54"/>
        <v>#VALUE!</v>
      </c>
      <c r="U181" s="100" t="e">
        <f t="shared" si="56"/>
        <v>#VALUE!</v>
      </c>
      <c r="V181" s="100" t="e">
        <f t="shared" si="48"/>
        <v>#VALUE!</v>
      </c>
      <c r="W181" s="100" t="e">
        <f t="shared" si="55"/>
        <v>#VALUE!</v>
      </c>
      <c r="X181" s="100" t="e">
        <f t="shared" si="57"/>
        <v>#VALUE!</v>
      </c>
      <c r="Y181" s="99">
        <f t="shared" si="45"/>
        <v>0</v>
      </c>
    </row>
    <row r="182" spans="1:25" x14ac:dyDescent="0.2">
      <c r="A182" s="68"/>
      <c r="B182" s="68"/>
      <c r="C182" s="68"/>
      <c r="D182" s="68"/>
      <c r="E182" s="1047"/>
      <c r="F182" s="1450">
        <v>16</v>
      </c>
      <c r="G182" s="91">
        <f t="shared" si="49"/>
        <v>181</v>
      </c>
      <c r="H182" s="105">
        <f t="shared" si="46"/>
        <v>5479</v>
      </c>
      <c r="I182" s="93">
        <f t="shared" si="39"/>
        <v>0</v>
      </c>
      <c r="J182" s="106">
        <f t="shared" si="50"/>
        <v>0</v>
      </c>
      <c r="K182" s="106">
        <f t="shared" si="51"/>
        <v>0</v>
      </c>
      <c r="L182" s="95">
        <f t="shared" si="52"/>
        <v>181</v>
      </c>
      <c r="M182" s="96" t="e">
        <f t="shared" si="40"/>
        <v>#VALUE!</v>
      </c>
      <c r="N182" s="96" t="e">
        <f t="shared" si="41"/>
        <v>#VALUE!</v>
      </c>
      <c r="O182" s="96" t="e">
        <f t="shared" si="42"/>
        <v>#VALUE!</v>
      </c>
      <c r="P182" s="96" t="e">
        <f t="shared" si="43"/>
        <v>#VALUE!</v>
      </c>
      <c r="Q182" s="98">
        <f t="shared" si="53"/>
        <v>180</v>
      </c>
      <c r="R182" s="99" t="e">
        <f t="shared" si="44"/>
        <v>#VALUE!</v>
      </c>
      <c r="S182" s="100" t="e">
        <f t="shared" si="47"/>
        <v>#VALUE!</v>
      </c>
      <c r="T182" s="100" t="e">
        <f t="shared" si="54"/>
        <v>#VALUE!</v>
      </c>
      <c r="U182" s="100" t="e">
        <f t="shared" si="56"/>
        <v>#VALUE!</v>
      </c>
      <c r="V182" s="100" t="e">
        <f t="shared" si="48"/>
        <v>#VALUE!</v>
      </c>
      <c r="W182" s="100" t="e">
        <f t="shared" si="55"/>
        <v>#VALUE!</v>
      </c>
      <c r="X182" s="100" t="e">
        <f t="shared" si="57"/>
        <v>#VALUE!</v>
      </c>
      <c r="Y182" s="99">
        <f t="shared" si="45"/>
        <v>0</v>
      </c>
    </row>
    <row r="183" spans="1:25" x14ac:dyDescent="0.2">
      <c r="A183" s="68"/>
      <c r="B183" s="68"/>
      <c r="C183" s="68"/>
      <c r="D183" s="68"/>
      <c r="E183" s="1047"/>
      <c r="F183" s="1450"/>
      <c r="G183" s="91">
        <f t="shared" si="49"/>
        <v>182</v>
      </c>
      <c r="H183" s="105">
        <f t="shared" si="46"/>
        <v>5510</v>
      </c>
      <c r="I183" s="93">
        <f t="shared" si="39"/>
        <v>0</v>
      </c>
      <c r="J183" s="106">
        <f t="shared" si="50"/>
        <v>0</v>
      </c>
      <c r="K183" s="106">
        <f t="shared" si="51"/>
        <v>0</v>
      </c>
      <c r="L183" s="95">
        <f t="shared" si="52"/>
        <v>182</v>
      </c>
      <c r="M183" s="96" t="e">
        <f t="shared" si="40"/>
        <v>#VALUE!</v>
      </c>
      <c r="N183" s="96" t="e">
        <f t="shared" si="41"/>
        <v>#VALUE!</v>
      </c>
      <c r="O183" s="96" t="e">
        <f t="shared" si="42"/>
        <v>#VALUE!</v>
      </c>
      <c r="P183" s="96" t="e">
        <f t="shared" si="43"/>
        <v>#VALUE!</v>
      </c>
      <c r="Q183" s="98">
        <f t="shared" si="53"/>
        <v>181</v>
      </c>
      <c r="R183" s="99" t="e">
        <f t="shared" si="44"/>
        <v>#VALUE!</v>
      </c>
      <c r="S183" s="100" t="e">
        <f t="shared" si="47"/>
        <v>#VALUE!</v>
      </c>
      <c r="T183" s="100" t="e">
        <f t="shared" si="54"/>
        <v>#VALUE!</v>
      </c>
      <c r="U183" s="100" t="e">
        <f t="shared" si="56"/>
        <v>#VALUE!</v>
      </c>
      <c r="V183" s="100" t="e">
        <f t="shared" si="48"/>
        <v>#VALUE!</v>
      </c>
      <c r="W183" s="100" t="e">
        <f t="shared" si="55"/>
        <v>#VALUE!</v>
      </c>
      <c r="X183" s="100" t="e">
        <f t="shared" si="57"/>
        <v>#VALUE!</v>
      </c>
      <c r="Y183" s="99">
        <f t="shared" si="45"/>
        <v>0</v>
      </c>
    </row>
    <row r="184" spans="1:25" x14ac:dyDescent="0.2">
      <c r="A184" s="68"/>
      <c r="B184" s="68"/>
      <c r="C184" s="68"/>
      <c r="D184" s="68"/>
      <c r="E184" s="1047"/>
      <c r="F184" s="1450"/>
      <c r="G184" s="91">
        <f t="shared" si="49"/>
        <v>183</v>
      </c>
      <c r="H184" s="105">
        <f t="shared" si="46"/>
        <v>5538</v>
      </c>
      <c r="I184" s="93">
        <f t="shared" si="39"/>
        <v>0</v>
      </c>
      <c r="J184" s="106">
        <f t="shared" si="50"/>
        <v>0</v>
      </c>
      <c r="K184" s="106">
        <f t="shared" si="51"/>
        <v>0</v>
      </c>
      <c r="L184" s="95">
        <f t="shared" si="52"/>
        <v>183</v>
      </c>
      <c r="M184" s="96" t="e">
        <f t="shared" si="40"/>
        <v>#VALUE!</v>
      </c>
      <c r="N184" s="96" t="e">
        <f t="shared" si="41"/>
        <v>#VALUE!</v>
      </c>
      <c r="O184" s="96" t="e">
        <f t="shared" si="42"/>
        <v>#VALUE!</v>
      </c>
      <c r="P184" s="96" t="e">
        <f t="shared" si="43"/>
        <v>#VALUE!</v>
      </c>
      <c r="Q184" s="98">
        <f t="shared" si="53"/>
        <v>182</v>
      </c>
      <c r="R184" s="99" t="e">
        <f t="shared" si="44"/>
        <v>#VALUE!</v>
      </c>
      <c r="S184" s="100" t="e">
        <f t="shared" si="47"/>
        <v>#VALUE!</v>
      </c>
      <c r="T184" s="100" t="e">
        <f t="shared" si="54"/>
        <v>#VALUE!</v>
      </c>
      <c r="U184" s="100" t="e">
        <f t="shared" si="56"/>
        <v>#VALUE!</v>
      </c>
      <c r="V184" s="100" t="e">
        <f t="shared" si="48"/>
        <v>#VALUE!</v>
      </c>
      <c r="W184" s="100" t="e">
        <f t="shared" si="55"/>
        <v>#VALUE!</v>
      </c>
      <c r="X184" s="100" t="e">
        <f t="shared" si="57"/>
        <v>#VALUE!</v>
      </c>
      <c r="Y184" s="99">
        <f t="shared" si="45"/>
        <v>0</v>
      </c>
    </row>
    <row r="185" spans="1:25" x14ac:dyDescent="0.2">
      <c r="A185" s="68"/>
      <c r="B185" s="68"/>
      <c r="C185" s="68"/>
      <c r="D185" s="68"/>
      <c r="E185" s="1047"/>
      <c r="F185" s="1450"/>
      <c r="G185" s="91">
        <f t="shared" si="49"/>
        <v>184</v>
      </c>
      <c r="H185" s="105">
        <f t="shared" si="46"/>
        <v>5569</v>
      </c>
      <c r="I185" s="93">
        <f t="shared" si="39"/>
        <v>0</v>
      </c>
      <c r="J185" s="106">
        <f t="shared" si="50"/>
        <v>0</v>
      </c>
      <c r="K185" s="106">
        <f t="shared" si="51"/>
        <v>0</v>
      </c>
      <c r="L185" s="95">
        <f t="shared" si="52"/>
        <v>184</v>
      </c>
      <c r="M185" s="96" t="e">
        <f t="shared" si="40"/>
        <v>#VALUE!</v>
      </c>
      <c r="N185" s="96" t="e">
        <f t="shared" si="41"/>
        <v>#VALUE!</v>
      </c>
      <c r="O185" s="96" t="e">
        <f t="shared" si="42"/>
        <v>#VALUE!</v>
      </c>
      <c r="P185" s="96" t="e">
        <f t="shared" si="43"/>
        <v>#VALUE!</v>
      </c>
      <c r="Q185" s="98">
        <f t="shared" si="53"/>
        <v>183</v>
      </c>
      <c r="R185" s="99" t="e">
        <f t="shared" si="44"/>
        <v>#VALUE!</v>
      </c>
      <c r="S185" s="100" t="e">
        <f t="shared" si="47"/>
        <v>#VALUE!</v>
      </c>
      <c r="T185" s="100" t="e">
        <f t="shared" si="54"/>
        <v>#VALUE!</v>
      </c>
      <c r="U185" s="100" t="e">
        <f t="shared" si="56"/>
        <v>#VALUE!</v>
      </c>
      <c r="V185" s="100" t="e">
        <f t="shared" si="48"/>
        <v>#VALUE!</v>
      </c>
      <c r="W185" s="100" t="e">
        <f t="shared" si="55"/>
        <v>#VALUE!</v>
      </c>
      <c r="X185" s="100" t="e">
        <f t="shared" si="57"/>
        <v>#VALUE!</v>
      </c>
      <c r="Y185" s="99">
        <f t="shared" si="45"/>
        <v>0</v>
      </c>
    </row>
    <row r="186" spans="1:25" x14ac:dyDescent="0.2">
      <c r="A186" s="68"/>
      <c r="B186" s="68"/>
      <c r="C186" s="68"/>
      <c r="D186" s="68"/>
      <c r="E186" s="1047"/>
      <c r="F186" s="1450"/>
      <c r="G186" s="91">
        <f t="shared" si="49"/>
        <v>185</v>
      </c>
      <c r="H186" s="105">
        <f t="shared" si="46"/>
        <v>5599</v>
      </c>
      <c r="I186" s="93">
        <f t="shared" si="39"/>
        <v>0</v>
      </c>
      <c r="J186" s="106">
        <f t="shared" si="50"/>
        <v>0</v>
      </c>
      <c r="K186" s="106">
        <f t="shared" si="51"/>
        <v>0</v>
      </c>
      <c r="L186" s="95">
        <f t="shared" si="52"/>
        <v>185</v>
      </c>
      <c r="M186" s="96" t="e">
        <f t="shared" si="40"/>
        <v>#VALUE!</v>
      </c>
      <c r="N186" s="96" t="e">
        <f t="shared" si="41"/>
        <v>#VALUE!</v>
      </c>
      <c r="O186" s="96" t="e">
        <f t="shared" si="42"/>
        <v>#VALUE!</v>
      </c>
      <c r="P186" s="96" t="e">
        <f t="shared" si="43"/>
        <v>#VALUE!</v>
      </c>
      <c r="Q186" s="98">
        <f t="shared" si="53"/>
        <v>184</v>
      </c>
      <c r="R186" s="99" t="e">
        <f t="shared" si="44"/>
        <v>#VALUE!</v>
      </c>
      <c r="S186" s="100" t="e">
        <f t="shared" si="47"/>
        <v>#VALUE!</v>
      </c>
      <c r="T186" s="100" t="e">
        <f t="shared" si="54"/>
        <v>#VALUE!</v>
      </c>
      <c r="U186" s="100" t="e">
        <f t="shared" si="56"/>
        <v>#VALUE!</v>
      </c>
      <c r="V186" s="100" t="e">
        <f t="shared" si="48"/>
        <v>#VALUE!</v>
      </c>
      <c r="W186" s="100" t="e">
        <f t="shared" si="55"/>
        <v>#VALUE!</v>
      </c>
      <c r="X186" s="100" t="e">
        <f t="shared" si="57"/>
        <v>#VALUE!</v>
      </c>
      <c r="Y186" s="99">
        <f t="shared" si="45"/>
        <v>0</v>
      </c>
    </row>
    <row r="187" spans="1:25" x14ac:dyDescent="0.2">
      <c r="A187" s="68"/>
      <c r="B187" s="68"/>
      <c r="C187" s="68"/>
      <c r="D187" s="68"/>
      <c r="E187" s="1047"/>
      <c r="F187" s="1450"/>
      <c r="G187" s="91">
        <f t="shared" si="49"/>
        <v>186</v>
      </c>
      <c r="H187" s="105">
        <f t="shared" si="46"/>
        <v>5630</v>
      </c>
      <c r="I187" s="93">
        <f t="shared" si="39"/>
        <v>0</v>
      </c>
      <c r="J187" s="106">
        <f t="shared" si="50"/>
        <v>0</v>
      </c>
      <c r="K187" s="106">
        <f t="shared" si="51"/>
        <v>0</v>
      </c>
      <c r="L187" s="95">
        <f t="shared" si="52"/>
        <v>186</v>
      </c>
      <c r="M187" s="96" t="e">
        <f t="shared" si="40"/>
        <v>#VALUE!</v>
      </c>
      <c r="N187" s="96" t="e">
        <f t="shared" si="41"/>
        <v>#VALUE!</v>
      </c>
      <c r="O187" s="96" t="e">
        <f t="shared" si="42"/>
        <v>#VALUE!</v>
      </c>
      <c r="P187" s="96" t="e">
        <f t="shared" si="43"/>
        <v>#VALUE!</v>
      </c>
      <c r="Q187" s="98">
        <f t="shared" si="53"/>
        <v>185</v>
      </c>
      <c r="R187" s="99" t="e">
        <f t="shared" si="44"/>
        <v>#VALUE!</v>
      </c>
      <c r="S187" s="100" t="e">
        <f t="shared" si="47"/>
        <v>#VALUE!</v>
      </c>
      <c r="T187" s="100" t="e">
        <f t="shared" si="54"/>
        <v>#VALUE!</v>
      </c>
      <c r="U187" s="100" t="e">
        <f t="shared" si="56"/>
        <v>#VALUE!</v>
      </c>
      <c r="V187" s="100" t="e">
        <f t="shared" si="48"/>
        <v>#VALUE!</v>
      </c>
      <c r="W187" s="100" t="e">
        <f t="shared" si="55"/>
        <v>#VALUE!</v>
      </c>
      <c r="X187" s="100" t="e">
        <f t="shared" si="57"/>
        <v>#VALUE!</v>
      </c>
      <c r="Y187" s="99">
        <f t="shared" si="45"/>
        <v>0</v>
      </c>
    </row>
    <row r="188" spans="1:25" x14ac:dyDescent="0.2">
      <c r="A188" s="68"/>
      <c r="B188" s="68"/>
      <c r="C188" s="68"/>
      <c r="D188" s="68"/>
      <c r="E188" s="1047"/>
      <c r="F188" s="1450"/>
      <c r="G188" s="91">
        <f t="shared" si="49"/>
        <v>187</v>
      </c>
      <c r="H188" s="105">
        <f t="shared" si="46"/>
        <v>5660</v>
      </c>
      <c r="I188" s="93">
        <f t="shared" si="39"/>
        <v>0</v>
      </c>
      <c r="J188" s="106">
        <f t="shared" si="50"/>
        <v>0</v>
      </c>
      <c r="K188" s="106">
        <f t="shared" si="51"/>
        <v>0</v>
      </c>
      <c r="L188" s="95">
        <f t="shared" si="52"/>
        <v>187</v>
      </c>
      <c r="M188" s="96" t="e">
        <f t="shared" si="40"/>
        <v>#VALUE!</v>
      </c>
      <c r="N188" s="96" t="e">
        <f t="shared" si="41"/>
        <v>#VALUE!</v>
      </c>
      <c r="O188" s="96" t="e">
        <f t="shared" si="42"/>
        <v>#VALUE!</v>
      </c>
      <c r="P188" s="96" t="e">
        <f t="shared" si="43"/>
        <v>#VALUE!</v>
      </c>
      <c r="Q188" s="98">
        <f t="shared" si="53"/>
        <v>186</v>
      </c>
      <c r="R188" s="99" t="e">
        <f t="shared" si="44"/>
        <v>#VALUE!</v>
      </c>
      <c r="S188" s="100" t="e">
        <f t="shared" si="47"/>
        <v>#VALUE!</v>
      </c>
      <c r="T188" s="100" t="e">
        <f t="shared" si="54"/>
        <v>#VALUE!</v>
      </c>
      <c r="U188" s="100" t="e">
        <f t="shared" si="56"/>
        <v>#VALUE!</v>
      </c>
      <c r="V188" s="100" t="e">
        <f t="shared" si="48"/>
        <v>#VALUE!</v>
      </c>
      <c r="W188" s="100" t="e">
        <f t="shared" si="55"/>
        <v>#VALUE!</v>
      </c>
      <c r="X188" s="100" t="e">
        <f t="shared" si="57"/>
        <v>#VALUE!</v>
      </c>
      <c r="Y188" s="99">
        <f t="shared" si="45"/>
        <v>0</v>
      </c>
    </row>
    <row r="189" spans="1:25" x14ac:dyDescent="0.2">
      <c r="A189" s="68"/>
      <c r="B189" s="68"/>
      <c r="C189" s="68"/>
      <c r="D189" s="68"/>
      <c r="E189" s="1047"/>
      <c r="F189" s="1450"/>
      <c r="G189" s="91">
        <f t="shared" si="49"/>
        <v>188</v>
      </c>
      <c r="H189" s="105">
        <f t="shared" si="46"/>
        <v>5691</v>
      </c>
      <c r="I189" s="93">
        <f t="shared" si="39"/>
        <v>0</v>
      </c>
      <c r="J189" s="106">
        <f t="shared" si="50"/>
        <v>0</v>
      </c>
      <c r="K189" s="106">
        <f t="shared" si="51"/>
        <v>0</v>
      </c>
      <c r="L189" s="95">
        <f t="shared" si="52"/>
        <v>188</v>
      </c>
      <c r="M189" s="96" t="e">
        <f t="shared" si="40"/>
        <v>#VALUE!</v>
      </c>
      <c r="N189" s="96" t="e">
        <f t="shared" si="41"/>
        <v>#VALUE!</v>
      </c>
      <c r="O189" s="96" t="e">
        <f t="shared" si="42"/>
        <v>#VALUE!</v>
      </c>
      <c r="P189" s="96" t="e">
        <f t="shared" si="43"/>
        <v>#VALUE!</v>
      </c>
      <c r="Q189" s="98">
        <f t="shared" si="53"/>
        <v>187</v>
      </c>
      <c r="R189" s="99" t="e">
        <f t="shared" si="44"/>
        <v>#VALUE!</v>
      </c>
      <c r="S189" s="100" t="e">
        <f t="shared" si="47"/>
        <v>#VALUE!</v>
      </c>
      <c r="T189" s="100" t="e">
        <f t="shared" si="54"/>
        <v>#VALUE!</v>
      </c>
      <c r="U189" s="100" t="e">
        <f t="shared" si="56"/>
        <v>#VALUE!</v>
      </c>
      <c r="V189" s="100" t="e">
        <f t="shared" si="48"/>
        <v>#VALUE!</v>
      </c>
      <c r="W189" s="100" t="e">
        <f t="shared" si="55"/>
        <v>#VALUE!</v>
      </c>
      <c r="X189" s="100" t="e">
        <f t="shared" si="57"/>
        <v>#VALUE!</v>
      </c>
      <c r="Y189" s="99">
        <f t="shared" si="45"/>
        <v>0</v>
      </c>
    </row>
    <row r="190" spans="1:25" x14ac:dyDescent="0.2">
      <c r="A190" s="68"/>
      <c r="B190" s="68"/>
      <c r="C190" s="68"/>
      <c r="D190" s="68"/>
      <c r="E190" s="1047"/>
      <c r="F190" s="1450"/>
      <c r="G190" s="91">
        <f t="shared" si="49"/>
        <v>189</v>
      </c>
      <c r="H190" s="105">
        <f t="shared" si="46"/>
        <v>5722</v>
      </c>
      <c r="I190" s="93">
        <f t="shared" si="39"/>
        <v>0</v>
      </c>
      <c r="J190" s="106">
        <f t="shared" si="50"/>
        <v>0</v>
      </c>
      <c r="K190" s="106">
        <f t="shared" si="51"/>
        <v>0</v>
      </c>
      <c r="L190" s="95">
        <f t="shared" si="52"/>
        <v>189</v>
      </c>
      <c r="M190" s="96" t="e">
        <f t="shared" si="40"/>
        <v>#VALUE!</v>
      </c>
      <c r="N190" s="96" t="e">
        <f t="shared" si="41"/>
        <v>#VALUE!</v>
      </c>
      <c r="O190" s="96" t="e">
        <f t="shared" si="42"/>
        <v>#VALUE!</v>
      </c>
      <c r="P190" s="96" t="e">
        <f t="shared" si="43"/>
        <v>#VALUE!</v>
      </c>
      <c r="Q190" s="98">
        <f t="shared" si="53"/>
        <v>188</v>
      </c>
      <c r="R190" s="99" t="e">
        <f t="shared" si="44"/>
        <v>#VALUE!</v>
      </c>
      <c r="S190" s="100" t="e">
        <f t="shared" si="47"/>
        <v>#VALUE!</v>
      </c>
      <c r="T190" s="100" t="e">
        <f t="shared" si="54"/>
        <v>#VALUE!</v>
      </c>
      <c r="U190" s="100" t="e">
        <f t="shared" si="56"/>
        <v>#VALUE!</v>
      </c>
      <c r="V190" s="100" t="e">
        <f t="shared" si="48"/>
        <v>#VALUE!</v>
      </c>
      <c r="W190" s="100" t="e">
        <f t="shared" si="55"/>
        <v>#VALUE!</v>
      </c>
      <c r="X190" s="100" t="e">
        <f t="shared" si="57"/>
        <v>#VALUE!</v>
      </c>
      <c r="Y190" s="99">
        <f t="shared" si="45"/>
        <v>0</v>
      </c>
    </row>
    <row r="191" spans="1:25" x14ac:dyDescent="0.2">
      <c r="A191" s="68"/>
      <c r="B191" s="68"/>
      <c r="C191" s="68"/>
      <c r="D191" s="68"/>
      <c r="E191" s="1047"/>
      <c r="F191" s="1450"/>
      <c r="G191" s="91">
        <f t="shared" si="49"/>
        <v>190</v>
      </c>
      <c r="H191" s="105">
        <f t="shared" si="46"/>
        <v>5752</v>
      </c>
      <c r="I191" s="93">
        <f t="shared" si="39"/>
        <v>0</v>
      </c>
      <c r="J191" s="106">
        <f t="shared" si="50"/>
        <v>0</v>
      </c>
      <c r="K191" s="106">
        <f t="shared" si="51"/>
        <v>0</v>
      </c>
      <c r="L191" s="95">
        <f t="shared" si="52"/>
        <v>190</v>
      </c>
      <c r="M191" s="96" t="e">
        <f t="shared" si="40"/>
        <v>#VALUE!</v>
      </c>
      <c r="N191" s="96" t="e">
        <f t="shared" si="41"/>
        <v>#VALUE!</v>
      </c>
      <c r="O191" s="96" t="e">
        <f t="shared" si="42"/>
        <v>#VALUE!</v>
      </c>
      <c r="P191" s="96" t="e">
        <f t="shared" si="43"/>
        <v>#VALUE!</v>
      </c>
      <c r="Q191" s="98">
        <f t="shared" si="53"/>
        <v>189</v>
      </c>
      <c r="R191" s="99" t="e">
        <f t="shared" si="44"/>
        <v>#VALUE!</v>
      </c>
      <c r="S191" s="100" t="e">
        <f t="shared" si="47"/>
        <v>#VALUE!</v>
      </c>
      <c r="T191" s="100" t="e">
        <f t="shared" si="54"/>
        <v>#VALUE!</v>
      </c>
      <c r="U191" s="100" t="e">
        <f t="shared" si="56"/>
        <v>#VALUE!</v>
      </c>
      <c r="V191" s="100" t="e">
        <f t="shared" si="48"/>
        <v>#VALUE!</v>
      </c>
      <c r="W191" s="100" t="e">
        <f t="shared" si="55"/>
        <v>#VALUE!</v>
      </c>
      <c r="X191" s="100" t="e">
        <f t="shared" si="57"/>
        <v>#VALUE!</v>
      </c>
      <c r="Y191" s="99">
        <f t="shared" si="45"/>
        <v>0</v>
      </c>
    </row>
    <row r="192" spans="1:25" x14ac:dyDescent="0.2">
      <c r="A192" s="68"/>
      <c r="B192" s="68"/>
      <c r="C192" s="68"/>
      <c r="D192" s="68"/>
      <c r="E192" s="1047"/>
      <c r="F192" s="1450"/>
      <c r="G192" s="91">
        <f t="shared" si="49"/>
        <v>191</v>
      </c>
      <c r="H192" s="105">
        <f t="shared" si="46"/>
        <v>5783</v>
      </c>
      <c r="I192" s="93">
        <f t="shared" si="39"/>
        <v>0</v>
      </c>
      <c r="J192" s="106">
        <f t="shared" si="50"/>
        <v>0</v>
      </c>
      <c r="K192" s="106">
        <f t="shared" si="51"/>
        <v>0</v>
      </c>
      <c r="L192" s="95">
        <f t="shared" si="52"/>
        <v>191</v>
      </c>
      <c r="M192" s="96" t="e">
        <f t="shared" si="40"/>
        <v>#VALUE!</v>
      </c>
      <c r="N192" s="96" t="e">
        <f t="shared" si="41"/>
        <v>#VALUE!</v>
      </c>
      <c r="O192" s="96" t="e">
        <f t="shared" si="42"/>
        <v>#VALUE!</v>
      </c>
      <c r="P192" s="96" t="e">
        <f t="shared" si="43"/>
        <v>#VALUE!</v>
      </c>
      <c r="Q192" s="98">
        <f t="shared" si="53"/>
        <v>190</v>
      </c>
      <c r="R192" s="99" t="e">
        <f t="shared" si="44"/>
        <v>#VALUE!</v>
      </c>
      <c r="S192" s="100" t="e">
        <f t="shared" si="47"/>
        <v>#VALUE!</v>
      </c>
      <c r="T192" s="100" t="e">
        <f t="shared" si="54"/>
        <v>#VALUE!</v>
      </c>
      <c r="U192" s="100" t="e">
        <f t="shared" si="56"/>
        <v>#VALUE!</v>
      </c>
      <c r="V192" s="100" t="e">
        <f t="shared" si="48"/>
        <v>#VALUE!</v>
      </c>
      <c r="W192" s="100" t="e">
        <f t="shared" si="55"/>
        <v>#VALUE!</v>
      </c>
      <c r="X192" s="100" t="e">
        <f t="shared" si="57"/>
        <v>#VALUE!</v>
      </c>
      <c r="Y192" s="99">
        <f t="shared" si="45"/>
        <v>0</v>
      </c>
    </row>
    <row r="193" spans="1:25" x14ac:dyDescent="0.2">
      <c r="A193" s="68"/>
      <c r="B193" s="68"/>
      <c r="C193" s="68"/>
      <c r="D193" s="68"/>
      <c r="E193" s="1047"/>
      <c r="F193" s="1450"/>
      <c r="G193" s="91">
        <f t="shared" si="49"/>
        <v>192</v>
      </c>
      <c r="H193" s="105">
        <f t="shared" si="46"/>
        <v>5813</v>
      </c>
      <c r="I193" s="93">
        <f t="shared" si="39"/>
        <v>0</v>
      </c>
      <c r="J193" s="106">
        <f t="shared" si="50"/>
        <v>0</v>
      </c>
      <c r="K193" s="106">
        <f t="shared" si="51"/>
        <v>0</v>
      </c>
      <c r="L193" s="95">
        <f t="shared" si="52"/>
        <v>192</v>
      </c>
      <c r="M193" s="96" t="e">
        <f t="shared" si="40"/>
        <v>#VALUE!</v>
      </c>
      <c r="N193" s="96" t="e">
        <f t="shared" si="41"/>
        <v>#VALUE!</v>
      </c>
      <c r="O193" s="96" t="e">
        <f t="shared" si="42"/>
        <v>#VALUE!</v>
      </c>
      <c r="P193" s="96" t="e">
        <f t="shared" si="43"/>
        <v>#VALUE!</v>
      </c>
      <c r="Q193" s="98">
        <f t="shared" si="53"/>
        <v>191</v>
      </c>
      <c r="R193" s="99" t="e">
        <f t="shared" si="44"/>
        <v>#VALUE!</v>
      </c>
      <c r="S193" s="100" t="e">
        <f t="shared" si="47"/>
        <v>#VALUE!</v>
      </c>
      <c r="T193" s="100" t="e">
        <f t="shared" si="54"/>
        <v>#VALUE!</v>
      </c>
      <c r="U193" s="100" t="e">
        <f t="shared" si="56"/>
        <v>#VALUE!</v>
      </c>
      <c r="V193" s="100" t="e">
        <f t="shared" si="48"/>
        <v>#VALUE!</v>
      </c>
      <c r="W193" s="100" t="e">
        <f t="shared" si="55"/>
        <v>#VALUE!</v>
      </c>
      <c r="X193" s="100" t="e">
        <f t="shared" si="57"/>
        <v>#VALUE!</v>
      </c>
      <c r="Y193" s="99">
        <f t="shared" si="45"/>
        <v>0</v>
      </c>
    </row>
    <row r="194" spans="1:25" x14ac:dyDescent="0.2">
      <c r="A194" s="68"/>
      <c r="B194" s="68"/>
      <c r="C194" s="68"/>
      <c r="D194" s="68"/>
      <c r="E194" s="1047"/>
      <c r="F194" s="1450">
        <v>17</v>
      </c>
      <c r="G194" s="91">
        <f t="shared" si="49"/>
        <v>193</v>
      </c>
      <c r="H194" s="105">
        <f t="shared" si="46"/>
        <v>5844</v>
      </c>
      <c r="I194" s="93">
        <f t="shared" ref="I194:I217" si="58">IFERROR(VLOOKUP(H194,torlesztesek,2,FALSE),0)</f>
        <v>0</v>
      </c>
      <c r="J194" s="106">
        <f t="shared" si="50"/>
        <v>0</v>
      </c>
      <c r="K194" s="106">
        <f t="shared" si="51"/>
        <v>0</v>
      </c>
      <c r="L194" s="95">
        <f t="shared" si="52"/>
        <v>193</v>
      </c>
      <c r="M194" s="96" t="e">
        <f t="shared" ref="M194:M217" si="59">IF(honap_periodus_kamat=1,S194,IF(honap_periodus_kamat=3,T194,U194))*IF(R194=0,1,)</f>
        <v>#VALUE!</v>
      </c>
      <c r="N194" s="96" t="e">
        <f t="shared" ref="N194:N217" si="60">IF(honap_periodus_kamat=1,V194,IF(honap_periodus_kamat=3,W194,X194))*IF(R194=0,1,)</f>
        <v>#VALUE!</v>
      </c>
      <c r="O194" s="96" t="e">
        <f t="shared" ref="O194:O217" si="61">M194-N194</f>
        <v>#VALUE!</v>
      </c>
      <c r="P194" s="96" t="e">
        <f t="shared" ref="P194:P217" si="62">O194/((1+i_eu/12)^(G194-1))</f>
        <v>#VALUE!</v>
      </c>
      <c r="Q194" s="98">
        <f t="shared" si="53"/>
        <v>192</v>
      </c>
      <c r="R194" s="99" t="e">
        <f t="shared" ref="R194:R217" si="63">MOD(Utolso_torl_honap-G194,honap_periodus_kamat)</f>
        <v>#VALUE!</v>
      </c>
      <c r="S194" s="100" t="e">
        <f t="shared" si="47"/>
        <v>#VALUE!</v>
      </c>
      <c r="T194" s="100" t="e">
        <f t="shared" si="54"/>
        <v>#VALUE!</v>
      </c>
      <c r="U194" s="100" t="e">
        <f t="shared" si="56"/>
        <v>#VALUE!</v>
      </c>
      <c r="V194" s="100" t="e">
        <f t="shared" si="48"/>
        <v>#VALUE!</v>
      </c>
      <c r="W194" s="100" t="e">
        <f t="shared" si="55"/>
        <v>#VALUE!</v>
      </c>
      <c r="X194" s="100" t="e">
        <f t="shared" si="57"/>
        <v>#VALUE!</v>
      </c>
      <c r="Y194" s="99">
        <f t="shared" ref="Y194:Y217" si="64">ROUND(I194,0)</f>
        <v>0</v>
      </c>
    </row>
    <row r="195" spans="1:25" x14ac:dyDescent="0.2">
      <c r="A195" s="68"/>
      <c r="B195" s="68"/>
      <c r="C195" s="68"/>
      <c r="D195" s="68"/>
      <c r="E195" s="1047"/>
      <c r="F195" s="1450"/>
      <c r="G195" s="91">
        <f t="shared" si="49"/>
        <v>194</v>
      </c>
      <c r="H195" s="105">
        <f t="shared" ref="H195:H217" si="65">IF(hovege,EOMONTH(ElsoHonapVege,G194),EDATE(ElsoHonapVege,G194))</f>
        <v>5875</v>
      </c>
      <c r="I195" s="93">
        <f t="shared" si="58"/>
        <v>0</v>
      </c>
      <c r="J195" s="106">
        <f t="shared" si="50"/>
        <v>0</v>
      </c>
      <c r="K195" s="106">
        <f t="shared" si="51"/>
        <v>0</v>
      </c>
      <c r="L195" s="95">
        <f t="shared" si="52"/>
        <v>194</v>
      </c>
      <c r="M195" s="96" t="e">
        <f t="shared" si="59"/>
        <v>#VALUE!</v>
      </c>
      <c r="N195" s="96" t="e">
        <f t="shared" si="60"/>
        <v>#VALUE!</v>
      </c>
      <c r="O195" s="96" t="e">
        <f t="shared" si="61"/>
        <v>#VALUE!</v>
      </c>
      <c r="P195" s="96" t="e">
        <f t="shared" si="62"/>
        <v>#VALUE!</v>
      </c>
      <c r="Q195" s="98">
        <f t="shared" si="53"/>
        <v>193</v>
      </c>
      <c r="R195" s="99" t="e">
        <f t="shared" si="63"/>
        <v>#VALUE!</v>
      </c>
      <c r="S195" s="100" t="e">
        <f t="shared" ref="S195:S217" si="66">(J195*r_ref)/12</f>
        <v>#VALUE!</v>
      </c>
      <c r="T195" s="100" t="e">
        <f t="shared" si="54"/>
        <v>#VALUE!</v>
      </c>
      <c r="U195" s="100" t="e">
        <f t="shared" si="56"/>
        <v>#VALUE!</v>
      </c>
      <c r="V195" s="100" t="e">
        <f t="shared" ref="V195:V217" si="67">(J195*r_k)/12</f>
        <v>#VALUE!</v>
      </c>
      <c r="W195" s="100" t="e">
        <f t="shared" si="55"/>
        <v>#VALUE!</v>
      </c>
      <c r="X195" s="100" t="e">
        <f t="shared" si="57"/>
        <v>#VALUE!</v>
      </c>
      <c r="Y195" s="99">
        <f t="shared" si="64"/>
        <v>0</v>
      </c>
    </row>
    <row r="196" spans="1:25" x14ac:dyDescent="0.2">
      <c r="A196" s="68"/>
      <c r="B196" s="68"/>
      <c r="C196" s="68"/>
      <c r="D196" s="68"/>
      <c r="E196" s="1047"/>
      <c r="F196" s="1450"/>
      <c r="G196" s="91">
        <f t="shared" ref="G196:G217" si="68">G195+1</f>
        <v>195</v>
      </c>
      <c r="H196" s="105">
        <f t="shared" si="65"/>
        <v>5904</v>
      </c>
      <c r="I196" s="93">
        <f t="shared" si="58"/>
        <v>0</v>
      </c>
      <c r="J196" s="106">
        <f t="shared" ref="J196:J259" si="69">+ROUND(J195-I195,100)</f>
        <v>0</v>
      </c>
      <c r="K196" s="106">
        <f t="shared" ref="K196:K259" si="70">+SIGN(ROUND(J196,0))</f>
        <v>0</v>
      </c>
      <c r="L196" s="95">
        <f t="shared" ref="L196:L217" si="71">L195+1</f>
        <v>195</v>
      </c>
      <c r="M196" s="96" t="e">
        <f t="shared" si="59"/>
        <v>#VALUE!</v>
      </c>
      <c r="N196" s="96" t="e">
        <f t="shared" si="60"/>
        <v>#VALUE!</v>
      </c>
      <c r="O196" s="96" t="e">
        <f t="shared" si="61"/>
        <v>#VALUE!</v>
      </c>
      <c r="P196" s="96" t="e">
        <f t="shared" si="62"/>
        <v>#VALUE!</v>
      </c>
      <c r="Q196" s="98">
        <f t="shared" ref="Q196:Q217" si="72">Q195+1</f>
        <v>194</v>
      </c>
      <c r="R196" s="99" t="e">
        <f t="shared" si="63"/>
        <v>#VALUE!</v>
      </c>
      <c r="S196" s="100" t="e">
        <f t="shared" si="66"/>
        <v>#VALUE!</v>
      </c>
      <c r="T196" s="100" t="e">
        <f t="shared" si="54"/>
        <v>#VALUE!</v>
      </c>
      <c r="U196" s="100" t="e">
        <f t="shared" si="56"/>
        <v>#VALUE!</v>
      </c>
      <c r="V196" s="100" t="e">
        <f t="shared" si="67"/>
        <v>#VALUE!</v>
      </c>
      <c r="W196" s="100" t="e">
        <f t="shared" si="55"/>
        <v>#VALUE!</v>
      </c>
      <c r="X196" s="100" t="e">
        <f t="shared" si="57"/>
        <v>#VALUE!</v>
      </c>
      <c r="Y196" s="99">
        <f t="shared" si="64"/>
        <v>0</v>
      </c>
    </row>
    <row r="197" spans="1:25" x14ac:dyDescent="0.2">
      <c r="A197" s="68"/>
      <c r="B197" s="68"/>
      <c r="C197" s="68"/>
      <c r="D197" s="68"/>
      <c r="E197" s="1047"/>
      <c r="F197" s="1450"/>
      <c r="G197" s="91">
        <f t="shared" si="68"/>
        <v>196</v>
      </c>
      <c r="H197" s="105">
        <f t="shared" si="65"/>
        <v>5935</v>
      </c>
      <c r="I197" s="93">
        <f t="shared" si="58"/>
        <v>0</v>
      </c>
      <c r="J197" s="106">
        <f t="shared" si="69"/>
        <v>0</v>
      </c>
      <c r="K197" s="106">
        <f t="shared" si="70"/>
        <v>0</v>
      </c>
      <c r="L197" s="95">
        <f t="shared" si="71"/>
        <v>196</v>
      </c>
      <c r="M197" s="96" t="e">
        <f t="shared" si="59"/>
        <v>#VALUE!</v>
      </c>
      <c r="N197" s="96" t="e">
        <f t="shared" si="60"/>
        <v>#VALUE!</v>
      </c>
      <c r="O197" s="96" t="e">
        <f t="shared" si="61"/>
        <v>#VALUE!</v>
      </c>
      <c r="P197" s="96" t="e">
        <f t="shared" si="62"/>
        <v>#VALUE!</v>
      </c>
      <c r="Q197" s="98">
        <f t="shared" si="72"/>
        <v>195</v>
      </c>
      <c r="R197" s="99" t="e">
        <f t="shared" si="63"/>
        <v>#VALUE!</v>
      </c>
      <c r="S197" s="100" t="e">
        <f t="shared" si="66"/>
        <v>#VALUE!</v>
      </c>
      <c r="T197" s="100" t="e">
        <f t="shared" ref="T197:T217" si="73">SUM(S195:S197)</f>
        <v>#VALUE!</v>
      </c>
      <c r="U197" s="100" t="e">
        <f t="shared" si="56"/>
        <v>#VALUE!</v>
      </c>
      <c r="V197" s="100" t="e">
        <f t="shared" si="67"/>
        <v>#VALUE!</v>
      </c>
      <c r="W197" s="100" t="e">
        <f t="shared" ref="W197:W217" si="74">SUM(V195:V197)</f>
        <v>#VALUE!</v>
      </c>
      <c r="X197" s="100" t="e">
        <f t="shared" si="57"/>
        <v>#VALUE!</v>
      </c>
      <c r="Y197" s="99">
        <f t="shared" si="64"/>
        <v>0</v>
      </c>
    </row>
    <row r="198" spans="1:25" x14ac:dyDescent="0.2">
      <c r="A198" s="68"/>
      <c r="B198" s="68"/>
      <c r="C198" s="68"/>
      <c r="D198" s="68"/>
      <c r="E198" s="1047"/>
      <c r="F198" s="1450"/>
      <c r="G198" s="91">
        <f t="shared" si="68"/>
        <v>197</v>
      </c>
      <c r="H198" s="105">
        <f t="shared" si="65"/>
        <v>5965</v>
      </c>
      <c r="I198" s="93">
        <f t="shared" si="58"/>
        <v>0</v>
      </c>
      <c r="J198" s="106">
        <f t="shared" si="69"/>
        <v>0</v>
      </c>
      <c r="K198" s="106">
        <f t="shared" si="70"/>
        <v>0</v>
      </c>
      <c r="L198" s="95">
        <f t="shared" si="71"/>
        <v>197</v>
      </c>
      <c r="M198" s="96" t="e">
        <f t="shared" si="59"/>
        <v>#VALUE!</v>
      </c>
      <c r="N198" s="96" t="e">
        <f t="shared" si="60"/>
        <v>#VALUE!</v>
      </c>
      <c r="O198" s="96" t="e">
        <f t="shared" si="61"/>
        <v>#VALUE!</v>
      </c>
      <c r="P198" s="96" t="e">
        <f t="shared" si="62"/>
        <v>#VALUE!</v>
      </c>
      <c r="Q198" s="98">
        <f t="shared" si="72"/>
        <v>196</v>
      </c>
      <c r="R198" s="99" t="e">
        <f t="shared" si="63"/>
        <v>#VALUE!</v>
      </c>
      <c r="S198" s="100" t="e">
        <f t="shared" si="66"/>
        <v>#VALUE!</v>
      </c>
      <c r="T198" s="100" t="e">
        <f t="shared" si="73"/>
        <v>#VALUE!</v>
      </c>
      <c r="U198" s="100" t="e">
        <f t="shared" si="56"/>
        <v>#VALUE!</v>
      </c>
      <c r="V198" s="100" t="e">
        <f t="shared" si="67"/>
        <v>#VALUE!</v>
      </c>
      <c r="W198" s="100" t="e">
        <f t="shared" si="74"/>
        <v>#VALUE!</v>
      </c>
      <c r="X198" s="100" t="e">
        <f t="shared" si="57"/>
        <v>#VALUE!</v>
      </c>
      <c r="Y198" s="99">
        <f t="shared" si="64"/>
        <v>0</v>
      </c>
    </row>
    <row r="199" spans="1:25" x14ac:dyDescent="0.2">
      <c r="A199" s="68"/>
      <c r="B199" s="68"/>
      <c r="C199" s="68"/>
      <c r="D199" s="68"/>
      <c r="E199" s="1047"/>
      <c r="F199" s="1450"/>
      <c r="G199" s="91">
        <f t="shared" si="68"/>
        <v>198</v>
      </c>
      <c r="H199" s="105">
        <f t="shared" si="65"/>
        <v>5996</v>
      </c>
      <c r="I199" s="93">
        <f t="shared" si="58"/>
        <v>0</v>
      </c>
      <c r="J199" s="106">
        <f t="shared" si="69"/>
        <v>0</v>
      </c>
      <c r="K199" s="106">
        <f t="shared" si="70"/>
        <v>0</v>
      </c>
      <c r="L199" s="95">
        <f t="shared" si="71"/>
        <v>198</v>
      </c>
      <c r="M199" s="96" t="e">
        <f t="shared" si="59"/>
        <v>#VALUE!</v>
      </c>
      <c r="N199" s="96" t="e">
        <f t="shared" si="60"/>
        <v>#VALUE!</v>
      </c>
      <c r="O199" s="96" t="e">
        <f t="shared" si="61"/>
        <v>#VALUE!</v>
      </c>
      <c r="P199" s="96" t="e">
        <f t="shared" si="62"/>
        <v>#VALUE!</v>
      </c>
      <c r="Q199" s="98">
        <f t="shared" si="72"/>
        <v>197</v>
      </c>
      <c r="R199" s="99" t="e">
        <f t="shared" si="63"/>
        <v>#VALUE!</v>
      </c>
      <c r="S199" s="100" t="e">
        <f t="shared" si="66"/>
        <v>#VALUE!</v>
      </c>
      <c r="T199" s="100" t="e">
        <f t="shared" si="73"/>
        <v>#VALUE!</v>
      </c>
      <c r="U199" s="100" t="e">
        <f t="shared" si="56"/>
        <v>#VALUE!</v>
      </c>
      <c r="V199" s="100" t="e">
        <f t="shared" si="67"/>
        <v>#VALUE!</v>
      </c>
      <c r="W199" s="100" t="e">
        <f t="shared" si="74"/>
        <v>#VALUE!</v>
      </c>
      <c r="X199" s="100" t="e">
        <f t="shared" si="57"/>
        <v>#VALUE!</v>
      </c>
      <c r="Y199" s="99">
        <f t="shared" si="64"/>
        <v>0</v>
      </c>
    </row>
    <row r="200" spans="1:25" x14ac:dyDescent="0.2">
      <c r="A200" s="68"/>
      <c r="B200" s="68"/>
      <c r="C200" s="68"/>
      <c r="D200" s="68"/>
      <c r="E200" s="1047"/>
      <c r="F200" s="1450"/>
      <c r="G200" s="91">
        <f t="shared" si="68"/>
        <v>199</v>
      </c>
      <c r="H200" s="105">
        <f t="shared" si="65"/>
        <v>6026</v>
      </c>
      <c r="I200" s="93">
        <f t="shared" si="58"/>
        <v>0</v>
      </c>
      <c r="J200" s="106">
        <f t="shared" si="69"/>
        <v>0</v>
      </c>
      <c r="K200" s="106">
        <f t="shared" si="70"/>
        <v>0</v>
      </c>
      <c r="L200" s="95">
        <f t="shared" si="71"/>
        <v>199</v>
      </c>
      <c r="M200" s="96" t="e">
        <f t="shared" si="59"/>
        <v>#VALUE!</v>
      </c>
      <c r="N200" s="96" t="e">
        <f t="shared" si="60"/>
        <v>#VALUE!</v>
      </c>
      <c r="O200" s="96" t="e">
        <f t="shared" si="61"/>
        <v>#VALUE!</v>
      </c>
      <c r="P200" s="96" t="e">
        <f t="shared" si="62"/>
        <v>#VALUE!</v>
      </c>
      <c r="Q200" s="98">
        <f t="shared" si="72"/>
        <v>198</v>
      </c>
      <c r="R200" s="99" t="e">
        <f t="shared" si="63"/>
        <v>#VALUE!</v>
      </c>
      <c r="S200" s="100" t="e">
        <f t="shared" si="66"/>
        <v>#VALUE!</v>
      </c>
      <c r="T200" s="100" t="e">
        <f t="shared" si="73"/>
        <v>#VALUE!</v>
      </c>
      <c r="U200" s="100" t="e">
        <f t="shared" ref="U200:U217" si="75">SUM(S195:S200)</f>
        <v>#VALUE!</v>
      </c>
      <c r="V200" s="100" t="e">
        <f t="shared" si="67"/>
        <v>#VALUE!</v>
      </c>
      <c r="W200" s="100" t="e">
        <f t="shared" si="74"/>
        <v>#VALUE!</v>
      </c>
      <c r="X200" s="100" t="e">
        <f t="shared" ref="X200:X217" si="76">SUM(V195:V200)</f>
        <v>#VALUE!</v>
      </c>
      <c r="Y200" s="99">
        <f t="shared" si="64"/>
        <v>0</v>
      </c>
    </row>
    <row r="201" spans="1:25" x14ac:dyDescent="0.2">
      <c r="A201" s="68"/>
      <c r="B201" s="68"/>
      <c r="C201" s="68"/>
      <c r="D201" s="68"/>
      <c r="E201" s="1047"/>
      <c r="F201" s="1450"/>
      <c r="G201" s="91">
        <f t="shared" si="68"/>
        <v>200</v>
      </c>
      <c r="H201" s="105">
        <f t="shared" si="65"/>
        <v>6057</v>
      </c>
      <c r="I201" s="93">
        <f t="shared" si="58"/>
        <v>0</v>
      </c>
      <c r="J201" s="106">
        <f t="shared" si="69"/>
        <v>0</v>
      </c>
      <c r="K201" s="106">
        <f t="shared" si="70"/>
        <v>0</v>
      </c>
      <c r="L201" s="95">
        <f t="shared" si="71"/>
        <v>200</v>
      </c>
      <c r="M201" s="96" t="e">
        <f t="shared" si="59"/>
        <v>#VALUE!</v>
      </c>
      <c r="N201" s="96" t="e">
        <f t="shared" si="60"/>
        <v>#VALUE!</v>
      </c>
      <c r="O201" s="96" t="e">
        <f t="shared" si="61"/>
        <v>#VALUE!</v>
      </c>
      <c r="P201" s="96" t="e">
        <f t="shared" si="62"/>
        <v>#VALUE!</v>
      </c>
      <c r="Q201" s="98">
        <f t="shared" si="72"/>
        <v>199</v>
      </c>
      <c r="R201" s="99" t="e">
        <f t="shared" si="63"/>
        <v>#VALUE!</v>
      </c>
      <c r="S201" s="100" t="e">
        <f t="shared" si="66"/>
        <v>#VALUE!</v>
      </c>
      <c r="T201" s="100" t="e">
        <f t="shared" si="73"/>
        <v>#VALUE!</v>
      </c>
      <c r="U201" s="100" t="e">
        <f t="shared" si="75"/>
        <v>#VALUE!</v>
      </c>
      <c r="V201" s="100" t="e">
        <f t="shared" si="67"/>
        <v>#VALUE!</v>
      </c>
      <c r="W201" s="100" t="e">
        <f t="shared" si="74"/>
        <v>#VALUE!</v>
      </c>
      <c r="X201" s="100" t="e">
        <f t="shared" si="76"/>
        <v>#VALUE!</v>
      </c>
      <c r="Y201" s="99">
        <f t="shared" si="64"/>
        <v>0</v>
      </c>
    </row>
    <row r="202" spans="1:25" x14ac:dyDescent="0.2">
      <c r="A202" s="68"/>
      <c r="B202" s="68"/>
      <c r="C202" s="68"/>
      <c r="D202" s="68"/>
      <c r="E202" s="1047"/>
      <c r="F202" s="1450"/>
      <c r="G202" s="91">
        <f t="shared" si="68"/>
        <v>201</v>
      </c>
      <c r="H202" s="105">
        <f t="shared" si="65"/>
        <v>6088</v>
      </c>
      <c r="I202" s="93">
        <f t="shared" si="58"/>
        <v>0</v>
      </c>
      <c r="J202" s="106">
        <f t="shared" si="69"/>
        <v>0</v>
      </c>
      <c r="K202" s="106">
        <f t="shared" si="70"/>
        <v>0</v>
      </c>
      <c r="L202" s="95">
        <f t="shared" si="71"/>
        <v>201</v>
      </c>
      <c r="M202" s="96" t="e">
        <f t="shared" si="59"/>
        <v>#VALUE!</v>
      </c>
      <c r="N202" s="96" t="e">
        <f t="shared" si="60"/>
        <v>#VALUE!</v>
      </c>
      <c r="O202" s="96" t="e">
        <f t="shared" si="61"/>
        <v>#VALUE!</v>
      </c>
      <c r="P202" s="96" t="e">
        <f t="shared" si="62"/>
        <v>#VALUE!</v>
      </c>
      <c r="Q202" s="98">
        <f t="shared" si="72"/>
        <v>200</v>
      </c>
      <c r="R202" s="99" t="e">
        <f t="shared" si="63"/>
        <v>#VALUE!</v>
      </c>
      <c r="S202" s="100" t="e">
        <f t="shared" si="66"/>
        <v>#VALUE!</v>
      </c>
      <c r="T202" s="100" t="e">
        <f t="shared" si="73"/>
        <v>#VALUE!</v>
      </c>
      <c r="U202" s="100" t="e">
        <f t="shared" si="75"/>
        <v>#VALUE!</v>
      </c>
      <c r="V202" s="100" t="e">
        <f t="shared" si="67"/>
        <v>#VALUE!</v>
      </c>
      <c r="W202" s="100" t="e">
        <f t="shared" si="74"/>
        <v>#VALUE!</v>
      </c>
      <c r="X202" s="100" t="e">
        <f t="shared" si="76"/>
        <v>#VALUE!</v>
      </c>
      <c r="Y202" s="99">
        <f t="shared" si="64"/>
        <v>0</v>
      </c>
    </row>
    <row r="203" spans="1:25" x14ac:dyDescent="0.2">
      <c r="A203" s="68"/>
      <c r="B203" s="68"/>
      <c r="C203" s="68"/>
      <c r="D203" s="68"/>
      <c r="E203" s="1047"/>
      <c r="F203" s="1450"/>
      <c r="G203" s="91">
        <f t="shared" si="68"/>
        <v>202</v>
      </c>
      <c r="H203" s="105">
        <f t="shared" si="65"/>
        <v>6118</v>
      </c>
      <c r="I203" s="93">
        <f t="shared" si="58"/>
        <v>0</v>
      </c>
      <c r="J203" s="106">
        <f t="shared" si="69"/>
        <v>0</v>
      </c>
      <c r="K203" s="106">
        <f t="shared" si="70"/>
        <v>0</v>
      </c>
      <c r="L203" s="95">
        <f t="shared" si="71"/>
        <v>202</v>
      </c>
      <c r="M203" s="96" t="e">
        <f t="shared" si="59"/>
        <v>#VALUE!</v>
      </c>
      <c r="N203" s="96" t="e">
        <f t="shared" si="60"/>
        <v>#VALUE!</v>
      </c>
      <c r="O203" s="96" t="e">
        <f t="shared" si="61"/>
        <v>#VALUE!</v>
      </c>
      <c r="P203" s="96" t="e">
        <f t="shared" si="62"/>
        <v>#VALUE!</v>
      </c>
      <c r="Q203" s="98">
        <f t="shared" si="72"/>
        <v>201</v>
      </c>
      <c r="R203" s="99" t="e">
        <f t="shared" si="63"/>
        <v>#VALUE!</v>
      </c>
      <c r="S203" s="100" t="e">
        <f t="shared" si="66"/>
        <v>#VALUE!</v>
      </c>
      <c r="T203" s="100" t="e">
        <f t="shared" si="73"/>
        <v>#VALUE!</v>
      </c>
      <c r="U203" s="100" t="e">
        <f t="shared" si="75"/>
        <v>#VALUE!</v>
      </c>
      <c r="V203" s="100" t="e">
        <f t="shared" si="67"/>
        <v>#VALUE!</v>
      </c>
      <c r="W203" s="100" t="e">
        <f t="shared" si="74"/>
        <v>#VALUE!</v>
      </c>
      <c r="X203" s="100" t="e">
        <f t="shared" si="76"/>
        <v>#VALUE!</v>
      </c>
      <c r="Y203" s="99">
        <f t="shared" si="64"/>
        <v>0</v>
      </c>
    </row>
    <row r="204" spans="1:25" x14ac:dyDescent="0.2">
      <c r="A204" s="68"/>
      <c r="B204" s="68"/>
      <c r="C204" s="68"/>
      <c r="D204" s="68"/>
      <c r="E204" s="1047"/>
      <c r="F204" s="1450"/>
      <c r="G204" s="91">
        <f t="shared" si="68"/>
        <v>203</v>
      </c>
      <c r="H204" s="105">
        <f t="shared" si="65"/>
        <v>6149</v>
      </c>
      <c r="I204" s="93">
        <f t="shared" si="58"/>
        <v>0</v>
      </c>
      <c r="J204" s="106">
        <f t="shared" si="69"/>
        <v>0</v>
      </c>
      <c r="K204" s="106">
        <f t="shared" si="70"/>
        <v>0</v>
      </c>
      <c r="L204" s="95">
        <f t="shared" si="71"/>
        <v>203</v>
      </c>
      <c r="M204" s="96" t="e">
        <f t="shared" si="59"/>
        <v>#VALUE!</v>
      </c>
      <c r="N204" s="96" t="e">
        <f t="shared" si="60"/>
        <v>#VALUE!</v>
      </c>
      <c r="O204" s="96" t="e">
        <f t="shared" si="61"/>
        <v>#VALUE!</v>
      </c>
      <c r="P204" s="96" t="e">
        <f t="shared" si="62"/>
        <v>#VALUE!</v>
      </c>
      <c r="Q204" s="98">
        <f t="shared" si="72"/>
        <v>202</v>
      </c>
      <c r="R204" s="99" t="e">
        <f t="shared" si="63"/>
        <v>#VALUE!</v>
      </c>
      <c r="S204" s="100" t="e">
        <f t="shared" si="66"/>
        <v>#VALUE!</v>
      </c>
      <c r="T204" s="100" t="e">
        <f t="shared" si="73"/>
        <v>#VALUE!</v>
      </c>
      <c r="U204" s="100" t="e">
        <f t="shared" si="75"/>
        <v>#VALUE!</v>
      </c>
      <c r="V204" s="100" t="e">
        <f t="shared" si="67"/>
        <v>#VALUE!</v>
      </c>
      <c r="W204" s="100" t="e">
        <f t="shared" si="74"/>
        <v>#VALUE!</v>
      </c>
      <c r="X204" s="100" t="e">
        <f t="shared" si="76"/>
        <v>#VALUE!</v>
      </c>
      <c r="Y204" s="99">
        <f t="shared" si="64"/>
        <v>0</v>
      </c>
    </row>
    <row r="205" spans="1:25" x14ac:dyDescent="0.2">
      <c r="A205" s="68"/>
      <c r="B205" s="68"/>
      <c r="C205" s="68"/>
      <c r="D205" s="68"/>
      <c r="E205" s="1047"/>
      <c r="F205" s="1450"/>
      <c r="G205" s="91">
        <f t="shared" si="68"/>
        <v>204</v>
      </c>
      <c r="H205" s="105">
        <f t="shared" si="65"/>
        <v>6179</v>
      </c>
      <c r="I205" s="93">
        <f t="shared" si="58"/>
        <v>0</v>
      </c>
      <c r="J205" s="106">
        <f t="shared" si="69"/>
        <v>0</v>
      </c>
      <c r="K205" s="106">
        <f t="shared" si="70"/>
        <v>0</v>
      </c>
      <c r="L205" s="95">
        <f t="shared" si="71"/>
        <v>204</v>
      </c>
      <c r="M205" s="96" t="e">
        <f t="shared" si="59"/>
        <v>#VALUE!</v>
      </c>
      <c r="N205" s="96" t="e">
        <f t="shared" si="60"/>
        <v>#VALUE!</v>
      </c>
      <c r="O205" s="96" t="e">
        <f t="shared" si="61"/>
        <v>#VALUE!</v>
      </c>
      <c r="P205" s="96" t="e">
        <f t="shared" si="62"/>
        <v>#VALUE!</v>
      </c>
      <c r="Q205" s="98">
        <f t="shared" si="72"/>
        <v>203</v>
      </c>
      <c r="R205" s="99" t="e">
        <f t="shared" si="63"/>
        <v>#VALUE!</v>
      </c>
      <c r="S205" s="100" t="e">
        <f t="shared" si="66"/>
        <v>#VALUE!</v>
      </c>
      <c r="T205" s="100" t="e">
        <f t="shared" si="73"/>
        <v>#VALUE!</v>
      </c>
      <c r="U205" s="100" t="e">
        <f t="shared" si="75"/>
        <v>#VALUE!</v>
      </c>
      <c r="V205" s="100" t="e">
        <f t="shared" si="67"/>
        <v>#VALUE!</v>
      </c>
      <c r="W205" s="100" t="e">
        <f t="shared" si="74"/>
        <v>#VALUE!</v>
      </c>
      <c r="X205" s="100" t="e">
        <f t="shared" si="76"/>
        <v>#VALUE!</v>
      </c>
      <c r="Y205" s="99">
        <f t="shared" si="64"/>
        <v>0</v>
      </c>
    </row>
    <row r="206" spans="1:25" x14ac:dyDescent="0.2">
      <c r="A206" s="68"/>
      <c r="B206" s="68"/>
      <c r="C206" s="68"/>
      <c r="D206" s="68"/>
      <c r="E206" s="1047"/>
      <c r="F206" s="1450">
        <v>18</v>
      </c>
      <c r="G206" s="91">
        <f t="shared" si="68"/>
        <v>205</v>
      </c>
      <c r="H206" s="105">
        <f t="shared" si="65"/>
        <v>6210</v>
      </c>
      <c r="I206" s="93">
        <f t="shared" si="58"/>
        <v>0</v>
      </c>
      <c r="J206" s="106">
        <f t="shared" si="69"/>
        <v>0</v>
      </c>
      <c r="K206" s="106">
        <f t="shared" si="70"/>
        <v>0</v>
      </c>
      <c r="L206" s="95">
        <f t="shared" si="71"/>
        <v>205</v>
      </c>
      <c r="M206" s="96" t="e">
        <f t="shared" si="59"/>
        <v>#VALUE!</v>
      </c>
      <c r="N206" s="96" t="e">
        <f t="shared" si="60"/>
        <v>#VALUE!</v>
      </c>
      <c r="O206" s="96" t="e">
        <f t="shared" si="61"/>
        <v>#VALUE!</v>
      </c>
      <c r="P206" s="96" t="e">
        <f t="shared" si="62"/>
        <v>#VALUE!</v>
      </c>
      <c r="Q206" s="98">
        <f t="shared" si="72"/>
        <v>204</v>
      </c>
      <c r="R206" s="99" t="e">
        <f t="shared" si="63"/>
        <v>#VALUE!</v>
      </c>
      <c r="S206" s="100" t="e">
        <f t="shared" si="66"/>
        <v>#VALUE!</v>
      </c>
      <c r="T206" s="100" t="e">
        <f t="shared" si="73"/>
        <v>#VALUE!</v>
      </c>
      <c r="U206" s="100" t="e">
        <f t="shared" si="75"/>
        <v>#VALUE!</v>
      </c>
      <c r="V206" s="100" t="e">
        <f t="shared" si="67"/>
        <v>#VALUE!</v>
      </c>
      <c r="W206" s="100" t="e">
        <f t="shared" si="74"/>
        <v>#VALUE!</v>
      </c>
      <c r="X206" s="100" t="e">
        <f t="shared" si="76"/>
        <v>#VALUE!</v>
      </c>
      <c r="Y206" s="99">
        <f t="shared" si="64"/>
        <v>0</v>
      </c>
    </row>
    <row r="207" spans="1:25" x14ac:dyDescent="0.2">
      <c r="A207" s="68"/>
      <c r="B207" s="68"/>
      <c r="C207" s="68"/>
      <c r="D207" s="68"/>
      <c r="E207" s="1047"/>
      <c r="F207" s="1450"/>
      <c r="G207" s="91">
        <f t="shared" si="68"/>
        <v>206</v>
      </c>
      <c r="H207" s="105">
        <f t="shared" si="65"/>
        <v>6241</v>
      </c>
      <c r="I207" s="93">
        <f t="shared" si="58"/>
        <v>0</v>
      </c>
      <c r="J207" s="106">
        <f t="shared" si="69"/>
        <v>0</v>
      </c>
      <c r="K207" s="106">
        <f t="shared" si="70"/>
        <v>0</v>
      </c>
      <c r="L207" s="95">
        <f t="shared" si="71"/>
        <v>206</v>
      </c>
      <c r="M207" s="96" t="e">
        <f t="shared" si="59"/>
        <v>#VALUE!</v>
      </c>
      <c r="N207" s="96" t="e">
        <f t="shared" si="60"/>
        <v>#VALUE!</v>
      </c>
      <c r="O207" s="96" t="e">
        <f t="shared" si="61"/>
        <v>#VALUE!</v>
      </c>
      <c r="P207" s="96" t="e">
        <f t="shared" si="62"/>
        <v>#VALUE!</v>
      </c>
      <c r="Q207" s="98">
        <f t="shared" si="72"/>
        <v>205</v>
      </c>
      <c r="R207" s="99" t="e">
        <f t="shared" si="63"/>
        <v>#VALUE!</v>
      </c>
      <c r="S207" s="100" t="e">
        <f t="shared" si="66"/>
        <v>#VALUE!</v>
      </c>
      <c r="T207" s="100" t="e">
        <f t="shared" si="73"/>
        <v>#VALUE!</v>
      </c>
      <c r="U207" s="100" t="e">
        <f t="shared" si="75"/>
        <v>#VALUE!</v>
      </c>
      <c r="V207" s="100" t="e">
        <f t="shared" si="67"/>
        <v>#VALUE!</v>
      </c>
      <c r="W207" s="100" t="e">
        <f t="shared" si="74"/>
        <v>#VALUE!</v>
      </c>
      <c r="X207" s="100" t="e">
        <f t="shared" si="76"/>
        <v>#VALUE!</v>
      </c>
      <c r="Y207" s="99">
        <f t="shared" si="64"/>
        <v>0</v>
      </c>
    </row>
    <row r="208" spans="1:25" x14ac:dyDescent="0.2">
      <c r="A208" s="68"/>
      <c r="B208" s="68"/>
      <c r="C208" s="68"/>
      <c r="D208" s="68"/>
      <c r="E208" s="1047"/>
      <c r="F208" s="1450"/>
      <c r="G208" s="91">
        <f t="shared" si="68"/>
        <v>207</v>
      </c>
      <c r="H208" s="105">
        <f t="shared" si="65"/>
        <v>6269</v>
      </c>
      <c r="I208" s="93">
        <f t="shared" si="58"/>
        <v>0</v>
      </c>
      <c r="J208" s="106">
        <f t="shared" si="69"/>
        <v>0</v>
      </c>
      <c r="K208" s="106">
        <f t="shared" si="70"/>
        <v>0</v>
      </c>
      <c r="L208" s="95">
        <f t="shared" si="71"/>
        <v>207</v>
      </c>
      <c r="M208" s="96" t="e">
        <f t="shared" si="59"/>
        <v>#VALUE!</v>
      </c>
      <c r="N208" s="96" t="e">
        <f t="shared" si="60"/>
        <v>#VALUE!</v>
      </c>
      <c r="O208" s="96" t="e">
        <f t="shared" si="61"/>
        <v>#VALUE!</v>
      </c>
      <c r="P208" s="96" t="e">
        <f t="shared" si="62"/>
        <v>#VALUE!</v>
      </c>
      <c r="Q208" s="98">
        <f t="shared" si="72"/>
        <v>206</v>
      </c>
      <c r="R208" s="99" t="e">
        <f t="shared" si="63"/>
        <v>#VALUE!</v>
      </c>
      <c r="S208" s="100" t="e">
        <f t="shared" si="66"/>
        <v>#VALUE!</v>
      </c>
      <c r="T208" s="100" t="e">
        <f t="shared" si="73"/>
        <v>#VALUE!</v>
      </c>
      <c r="U208" s="100" t="e">
        <f t="shared" si="75"/>
        <v>#VALUE!</v>
      </c>
      <c r="V208" s="100" t="e">
        <f t="shared" si="67"/>
        <v>#VALUE!</v>
      </c>
      <c r="W208" s="100" t="e">
        <f t="shared" si="74"/>
        <v>#VALUE!</v>
      </c>
      <c r="X208" s="100" t="e">
        <f t="shared" si="76"/>
        <v>#VALUE!</v>
      </c>
      <c r="Y208" s="99">
        <f t="shared" si="64"/>
        <v>0</v>
      </c>
    </row>
    <row r="209" spans="1:25" x14ac:dyDescent="0.2">
      <c r="A209" s="68"/>
      <c r="B209" s="68"/>
      <c r="C209" s="68"/>
      <c r="D209" s="68"/>
      <c r="E209" s="1047"/>
      <c r="F209" s="1450"/>
      <c r="G209" s="91">
        <f t="shared" si="68"/>
        <v>208</v>
      </c>
      <c r="H209" s="105">
        <f t="shared" si="65"/>
        <v>6300</v>
      </c>
      <c r="I209" s="93">
        <f t="shared" si="58"/>
        <v>0</v>
      </c>
      <c r="J209" s="106">
        <f t="shared" si="69"/>
        <v>0</v>
      </c>
      <c r="K209" s="106">
        <f t="shared" si="70"/>
        <v>0</v>
      </c>
      <c r="L209" s="95">
        <f t="shared" si="71"/>
        <v>208</v>
      </c>
      <c r="M209" s="96" t="e">
        <f t="shared" si="59"/>
        <v>#VALUE!</v>
      </c>
      <c r="N209" s="96" t="e">
        <f t="shared" si="60"/>
        <v>#VALUE!</v>
      </c>
      <c r="O209" s="96" t="e">
        <f t="shared" si="61"/>
        <v>#VALUE!</v>
      </c>
      <c r="P209" s="96" t="e">
        <f t="shared" si="62"/>
        <v>#VALUE!</v>
      </c>
      <c r="Q209" s="98">
        <f t="shared" si="72"/>
        <v>207</v>
      </c>
      <c r="R209" s="99" t="e">
        <f t="shared" si="63"/>
        <v>#VALUE!</v>
      </c>
      <c r="S209" s="100" t="e">
        <f t="shared" si="66"/>
        <v>#VALUE!</v>
      </c>
      <c r="T209" s="100" t="e">
        <f t="shared" si="73"/>
        <v>#VALUE!</v>
      </c>
      <c r="U209" s="100" t="e">
        <f t="shared" si="75"/>
        <v>#VALUE!</v>
      </c>
      <c r="V209" s="100" t="e">
        <f t="shared" si="67"/>
        <v>#VALUE!</v>
      </c>
      <c r="W209" s="100" t="e">
        <f t="shared" si="74"/>
        <v>#VALUE!</v>
      </c>
      <c r="X209" s="100" t="e">
        <f t="shared" si="76"/>
        <v>#VALUE!</v>
      </c>
      <c r="Y209" s="99">
        <f t="shared" si="64"/>
        <v>0</v>
      </c>
    </row>
    <row r="210" spans="1:25" x14ac:dyDescent="0.2">
      <c r="A210" s="68"/>
      <c r="B210" s="68"/>
      <c r="C210" s="68"/>
      <c r="D210" s="68"/>
      <c r="E210" s="1047"/>
      <c r="F210" s="1450"/>
      <c r="G210" s="91">
        <f t="shared" si="68"/>
        <v>209</v>
      </c>
      <c r="H210" s="105">
        <f t="shared" si="65"/>
        <v>6330</v>
      </c>
      <c r="I210" s="93">
        <f t="shared" si="58"/>
        <v>0</v>
      </c>
      <c r="J210" s="106">
        <f t="shared" si="69"/>
        <v>0</v>
      </c>
      <c r="K210" s="106">
        <f t="shared" si="70"/>
        <v>0</v>
      </c>
      <c r="L210" s="95">
        <f t="shared" si="71"/>
        <v>209</v>
      </c>
      <c r="M210" s="96" t="e">
        <f t="shared" si="59"/>
        <v>#VALUE!</v>
      </c>
      <c r="N210" s="96" t="e">
        <f t="shared" si="60"/>
        <v>#VALUE!</v>
      </c>
      <c r="O210" s="96" t="e">
        <f t="shared" si="61"/>
        <v>#VALUE!</v>
      </c>
      <c r="P210" s="96" t="e">
        <f t="shared" si="62"/>
        <v>#VALUE!</v>
      </c>
      <c r="Q210" s="98">
        <f t="shared" si="72"/>
        <v>208</v>
      </c>
      <c r="R210" s="99" t="e">
        <f t="shared" si="63"/>
        <v>#VALUE!</v>
      </c>
      <c r="S210" s="100" t="e">
        <f t="shared" si="66"/>
        <v>#VALUE!</v>
      </c>
      <c r="T210" s="100" t="e">
        <f t="shared" si="73"/>
        <v>#VALUE!</v>
      </c>
      <c r="U210" s="100" t="e">
        <f t="shared" si="75"/>
        <v>#VALUE!</v>
      </c>
      <c r="V210" s="100" t="e">
        <f t="shared" si="67"/>
        <v>#VALUE!</v>
      </c>
      <c r="W210" s="100" t="e">
        <f t="shared" si="74"/>
        <v>#VALUE!</v>
      </c>
      <c r="X210" s="100" t="e">
        <f t="shared" si="76"/>
        <v>#VALUE!</v>
      </c>
      <c r="Y210" s="99">
        <f t="shared" si="64"/>
        <v>0</v>
      </c>
    </row>
    <row r="211" spans="1:25" x14ac:dyDescent="0.2">
      <c r="A211" s="68"/>
      <c r="B211" s="68"/>
      <c r="C211" s="68"/>
      <c r="D211" s="68"/>
      <c r="E211" s="1047"/>
      <c r="F211" s="1450"/>
      <c r="G211" s="91">
        <f t="shared" si="68"/>
        <v>210</v>
      </c>
      <c r="H211" s="105">
        <f t="shared" si="65"/>
        <v>6361</v>
      </c>
      <c r="I211" s="93">
        <f t="shared" si="58"/>
        <v>0</v>
      </c>
      <c r="J211" s="106">
        <f t="shared" si="69"/>
        <v>0</v>
      </c>
      <c r="K211" s="106">
        <f t="shared" si="70"/>
        <v>0</v>
      </c>
      <c r="L211" s="95">
        <f t="shared" si="71"/>
        <v>210</v>
      </c>
      <c r="M211" s="96" t="e">
        <f t="shared" si="59"/>
        <v>#VALUE!</v>
      </c>
      <c r="N211" s="96" t="e">
        <f t="shared" si="60"/>
        <v>#VALUE!</v>
      </c>
      <c r="O211" s="96" t="e">
        <f t="shared" si="61"/>
        <v>#VALUE!</v>
      </c>
      <c r="P211" s="96" t="e">
        <f t="shared" si="62"/>
        <v>#VALUE!</v>
      </c>
      <c r="Q211" s="98">
        <f t="shared" si="72"/>
        <v>209</v>
      </c>
      <c r="R211" s="99" t="e">
        <f t="shared" si="63"/>
        <v>#VALUE!</v>
      </c>
      <c r="S211" s="100" t="e">
        <f t="shared" si="66"/>
        <v>#VALUE!</v>
      </c>
      <c r="T211" s="100" t="e">
        <f t="shared" si="73"/>
        <v>#VALUE!</v>
      </c>
      <c r="U211" s="100" t="e">
        <f t="shared" si="75"/>
        <v>#VALUE!</v>
      </c>
      <c r="V211" s="100" t="e">
        <f t="shared" si="67"/>
        <v>#VALUE!</v>
      </c>
      <c r="W211" s="100" t="e">
        <f t="shared" si="74"/>
        <v>#VALUE!</v>
      </c>
      <c r="X211" s="100" t="e">
        <f t="shared" si="76"/>
        <v>#VALUE!</v>
      </c>
      <c r="Y211" s="99">
        <f t="shared" si="64"/>
        <v>0</v>
      </c>
    </row>
    <row r="212" spans="1:25" x14ac:dyDescent="0.2">
      <c r="A212" s="68"/>
      <c r="B212" s="68"/>
      <c r="C212" s="68"/>
      <c r="D212" s="68"/>
      <c r="E212" s="1047"/>
      <c r="F212" s="1450"/>
      <c r="G212" s="91">
        <f t="shared" si="68"/>
        <v>211</v>
      </c>
      <c r="H212" s="105">
        <f t="shared" si="65"/>
        <v>6391</v>
      </c>
      <c r="I212" s="93">
        <f t="shared" si="58"/>
        <v>0</v>
      </c>
      <c r="J212" s="106">
        <f t="shared" si="69"/>
        <v>0</v>
      </c>
      <c r="K212" s="106">
        <f t="shared" si="70"/>
        <v>0</v>
      </c>
      <c r="L212" s="95">
        <f t="shared" si="71"/>
        <v>211</v>
      </c>
      <c r="M212" s="96" t="e">
        <f t="shared" si="59"/>
        <v>#VALUE!</v>
      </c>
      <c r="N212" s="96" t="e">
        <f t="shared" si="60"/>
        <v>#VALUE!</v>
      </c>
      <c r="O212" s="96" t="e">
        <f t="shared" si="61"/>
        <v>#VALUE!</v>
      </c>
      <c r="P212" s="96" t="e">
        <f t="shared" si="62"/>
        <v>#VALUE!</v>
      </c>
      <c r="Q212" s="98">
        <f t="shared" si="72"/>
        <v>210</v>
      </c>
      <c r="R212" s="99" t="e">
        <f t="shared" si="63"/>
        <v>#VALUE!</v>
      </c>
      <c r="S212" s="100" t="e">
        <f t="shared" si="66"/>
        <v>#VALUE!</v>
      </c>
      <c r="T212" s="100" t="e">
        <f t="shared" si="73"/>
        <v>#VALUE!</v>
      </c>
      <c r="U212" s="100" t="e">
        <f t="shared" si="75"/>
        <v>#VALUE!</v>
      </c>
      <c r="V212" s="100" t="e">
        <f t="shared" si="67"/>
        <v>#VALUE!</v>
      </c>
      <c r="W212" s="100" t="e">
        <f t="shared" si="74"/>
        <v>#VALUE!</v>
      </c>
      <c r="X212" s="100" t="e">
        <f t="shared" si="76"/>
        <v>#VALUE!</v>
      </c>
      <c r="Y212" s="99">
        <f t="shared" si="64"/>
        <v>0</v>
      </c>
    </row>
    <row r="213" spans="1:25" x14ac:dyDescent="0.2">
      <c r="A213" s="68"/>
      <c r="B213" s="68"/>
      <c r="C213" s="68"/>
      <c r="D213" s="68"/>
      <c r="E213" s="1047"/>
      <c r="F213" s="1450"/>
      <c r="G213" s="91">
        <f t="shared" si="68"/>
        <v>212</v>
      </c>
      <c r="H213" s="105">
        <f t="shared" si="65"/>
        <v>6422</v>
      </c>
      <c r="I213" s="93">
        <f t="shared" si="58"/>
        <v>0</v>
      </c>
      <c r="J213" s="106">
        <f t="shared" si="69"/>
        <v>0</v>
      </c>
      <c r="K213" s="106">
        <f t="shared" si="70"/>
        <v>0</v>
      </c>
      <c r="L213" s="95">
        <f t="shared" si="71"/>
        <v>212</v>
      </c>
      <c r="M213" s="96" t="e">
        <f t="shared" si="59"/>
        <v>#VALUE!</v>
      </c>
      <c r="N213" s="96" t="e">
        <f t="shared" si="60"/>
        <v>#VALUE!</v>
      </c>
      <c r="O213" s="96" t="e">
        <f t="shared" si="61"/>
        <v>#VALUE!</v>
      </c>
      <c r="P213" s="96" t="e">
        <f t="shared" si="62"/>
        <v>#VALUE!</v>
      </c>
      <c r="Q213" s="98">
        <f t="shared" si="72"/>
        <v>211</v>
      </c>
      <c r="R213" s="99" t="e">
        <f t="shared" si="63"/>
        <v>#VALUE!</v>
      </c>
      <c r="S213" s="100" t="e">
        <f t="shared" si="66"/>
        <v>#VALUE!</v>
      </c>
      <c r="T213" s="100" t="e">
        <f t="shared" si="73"/>
        <v>#VALUE!</v>
      </c>
      <c r="U213" s="100" t="e">
        <f t="shared" si="75"/>
        <v>#VALUE!</v>
      </c>
      <c r="V213" s="100" t="e">
        <f t="shared" si="67"/>
        <v>#VALUE!</v>
      </c>
      <c r="W213" s="100" t="e">
        <f t="shared" si="74"/>
        <v>#VALUE!</v>
      </c>
      <c r="X213" s="100" t="e">
        <f t="shared" si="76"/>
        <v>#VALUE!</v>
      </c>
      <c r="Y213" s="99">
        <f t="shared" si="64"/>
        <v>0</v>
      </c>
    </row>
    <row r="214" spans="1:25" x14ac:dyDescent="0.2">
      <c r="A214" s="68"/>
      <c r="B214" s="68"/>
      <c r="C214" s="68"/>
      <c r="D214" s="68"/>
      <c r="E214" s="1047"/>
      <c r="F214" s="1450"/>
      <c r="G214" s="91">
        <f t="shared" si="68"/>
        <v>213</v>
      </c>
      <c r="H214" s="105">
        <f t="shared" si="65"/>
        <v>6453</v>
      </c>
      <c r="I214" s="93">
        <f t="shared" si="58"/>
        <v>0</v>
      </c>
      <c r="J214" s="106">
        <f t="shared" si="69"/>
        <v>0</v>
      </c>
      <c r="K214" s="106">
        <f t="shared" si="70"/>
        <v>0</v>
      </c>
      <c r="L214" s="95">
        <f t="shared" si="71"/>
        <v>213</v>
      </c>
      <c r="M214" s="96" t="e">
        <f t="shared" si="59"/>
        <v>#VALUE!</v>
      </c>
      <c r="N214" s="96" t="e">
        <f t="shared" si="60"/>
        <v>#VALUE!</v>
      </c>
      <c r="O214" s="96" t="e">
        <f t="shared" si="61"/>
        <v>#VALUE!</v>
      </c>
      <c r="P214" s="96" t="e">
        <f t="shared" si="62"/>
        <v>#VALUE!</v>
      </c>
      <c r="Q214" s="98">
        <f t="shared" si="72"/>
        <v>212</v>
      </c>
      <c r="R214" s="99" t="e">
        <f t="shared" si="63"/>
        <v>#VALUE!</v>
      </c>
      <c r="S214" s="100" t="e">
        <f t="shared" si="66"/>
        <v>#VALUE!</v>
      </c>
      <c r="T214" s="100" t="e">
        <f t="shared" si="73"/>
        <v>#VALUE!</v>
      </c>
      <c r="U214" s="100" t="e">
        <f t="shared" si="75"/>
        <v>#VALUE!</v>
      </c>
      <c r="V214" s="100" t="e">
        <f t="shared" si="67"/>
        <v>#VALUE!</v>
      </c>
      <c r="W214" s="100" t="e">
        <f t="shared" si="74"/>
        <v>#VALUE!</v>
      </c>
      <c r="X214" s="100" t="e">
        <f t="shared" si="76"/>
        <v>#VALUE!</v>
      </c>
      <c r="Y214" s="99">
        <f t="shared" si="64"/>
        <v>0</v>
      </c>
    </row>
    <row r="215" spans="1:25" x14ac:dyDescent="0.2">
      <c r="A215" s="68"/>
      <c r="B215" s="68"/>
      <c r="C215" s="68"/>
      <c r="D215" s="68"/>
      <c r="E215" s="1047"/>
      <c r="F215" s="1450"/>
      <c r="G215" s="91">
        <f t="shared" si="68"/>
        <v>214</v>
      </c>
      <c r="H215" s="105">
        <f t="shared" si="65"/>
        <v>6483</v>
      </c>
      <c r="I215" s="93">
        <f t="shared" si="58"/>
        <v>0</v>
      </c>
      <c r="J215" s="106">
        <f t="shared" si="69"/>
        <v>0</v>
      </c>
      <c r="K215" s="106">
        <f t="shared" si="70"/>
        <v>0</v>
      </c>
      <c r="L215" s="95">
        <f t="shared" si="71"/>
        <v>214</v>
      </c>
      <c r="M215" s="96" t="e">
        <f t="shared" si="59"/>
        <v>#VALUE!</v>
      </c>
      <c r="N215" s="96" t="e">
        <f t="shared" si="60"/>
        <v>#VALUE!</v>
      </c>
      <c r="O215" s="96" t="e">
        <f t="shared" si="61"/>
        <v>#VALUE!</v>
      </c>
      <c r="P215" s="96" t="e">
        <f t="shared" si="62"/>
        <v>#VALUE!</v>
      </c>
      <c r="Q215" s="98">
        <f t="shared" si="72"/>
        <v>213</v>
      </c>
      <c r="R215" s="99" t="e">
        <f t="shared" si="63"/>
        <v>#VALUE!</v>
      </c>
      <c r="S215" s="100" t="e">
        <f t="shared" si="66"/>
        <v>#VALUE!</v>
      </c>
      <c r="T215" s="100" t="e">
        <f t="shared" si="73"/>
        <v>#VALUE!</v>
      </c>
      <c r="U215" s="100" t="e">
        <f t="shared" si="75"/>
        <v>#VALUE!</v>
      </c>
      <c r="V215" s="100" t="e">
        <f t="shared" si="67"/>
        <v>#VALUE!</v>
      </c>
      <c r="W215" s="100" t="e">
        <f t="shared" si="74"/>
        <v>#VALUE!</v>
      </c>
      <c r="X215" s="100" t="e">
        <f t="shared" si="76"/>
        <v>#VALUE!</v>
      </c>
      <c r="Y215" s="99">
        <f t="shared" si="64"/>
        <v>0</v>
      </c>
    </row>
    <row r="216" spans="1:25" x14ac:dyDescent="0.2">
      <c r="A216" s="68"/>
      <c r="B216" s="68"/>
      <c r="C216" s="68"/>
      <c r="D216" s="68"/>
      <c r="E216" s="1047"/>
      <c r="F216" s="1450"/>
      <c r="G216" s="91">
        <f t="shared" si="68"/>
        <v>215</v>
      </c>
      <c r="H216" s="105">
        <f t="shared" si="65"/>
        <v>6514</v>
      </c>
      <c r="I216" s="93">
        <f t="shared" si="58"/>
        <v>0</v>
      </c>
      <c r="J216" s="106">
        <f t="shared" si="69"/>
        <v>0</v>
      </c>
      <c r="K216" s="106">
        <f t="shared" si="70"/>
        <v>0</v>
      </c>
      <c r="L216" s="95">
        <f t="shared" si="71"/>
        <v>215</v>
      </c>
      <c r="M216" s="96" t="e">
        <f t="shared" si="59"/>
        <v>#VALUE!</v>
      </c>
      <c r="N216" s="96" t="e">
        <f t="shared" si="60"/>
        <v>#VALUE!</v>
      </c>
      <c r="O216" s="96" t="e">
        <f t="shared" si="61"/>
        <v>#VALUE!</v>
      </c>
      <c r="P216" s="96" t="e">
        <f t="shared" si="62"/>
        <v>#VALUE!</v>
      </c>
      <c r="Q216" s="98">
        <f t="shared" si="72"/>
        <v>214</v>
      </c>
      <c r="R216" s="99" t="e">
        <f t="shared" si="63"/>
        <v>#VALUE!</v>
      </c>
      <c r="S216" s="100" t="e">
        <f t="shared" si="66"/>
        <v>#VALUE!</v>
      </c>
      <c r="T216" s="100" t="e">
        <f t="shared" si="73"/>
        <v>#VALUE!</v>
      </c>
      <c r="U216" s="100" t="e">
        <f t="shared" si="75"/>
        <v>#VALUE!</v>
      </c>
      <c r="V216" s="100" t="e">
        <f t="shared" si="67"/>
        <v>#VALUE!</v>
      </c>
      <c r="W216" s="100" t="e">
        <f t="shared" si="74"/>
        <v>#VALUE!</v>
      </c>
      <c r="X216" s="100" t="e">
        <f t="shared" si="76"/>
        <v>#VALUE!</v>
      </c>
      <c r="Y216" s="99">
        <f t="shared" si="64"/>
        <v>0</v>
      </c>
    </row>
    <row r="217" spans="1:25" x14ac:dyDescent="0.2">
      <c r="A217" s="68"/>
      <c r="B217" s="68"/>
      <c r="C217" s="68"/>
      <c r="D217" s="68"/>
      <c r="E217" s="1047"/>
      <c r="F217" s="1450"/>
      <c r="G217" s="91">
        <f t="shared" si="68"/>
        <v>216</v>
      </c>
      <c r="H217" s="105">
        <f t="shared" si="65"/>
        <v>6544</v>
      </c>
      <c r="I217" s="93">
        <f t="shared" si="58"/>
        <v>0</v>
      </c>
      <c r="J217" s="106">
        <f t="shared" si="69"/>
        <v>0</v>
      </c>
      <c r="K217" s="106">
        <f t="shared" si="70"/>
        <v>0</v>
      </c>
      <c r="L217" s="95">
        <f t="shared" si="71"/>
        <v>216</v>
      </c>
      <c r="M217" s="96" t="e">
        <f t="shared" si="59"/>
        <v>#VALUE!</v>
      </c>
      <c r="N217" s="96" t="e">
        <f t="shared" si="60"/>
        <v>#VALUE!</v>
      </c>
      <c r="O217" s="96" t="e">
        <f t="shared" si="61"/>
        <v>#VALUE!</v>
      </c>
      <c r="P217" s="96" t="e">
        <f t="shared" si="62"/>
        <v>#VALUE!</v>
      </c>
      <c r="Q217" s="98">
        <f t="shared" si="72"/>
        <v>215</v>
      </c>
      <c r="R217" s="99" t="e">
        <f t="shared" si="63"/>
        <v>#VALUE!</v>
      </c>
      <c r="S217" s="100" t="e">
        <f t="shared" si="66"/>
        <v>#VALUE!</v>
      </c>
      <c r="T217" s="100" t="e">
        <f t="shared" si="73"/>
        <v>#VALUE!</v>
      </c>
      <c r="U217" s="100" t="e">
        <f t="shared" si="75"/>
        <v>#VALUE!</v>
      </c>
      <c r="V217" s="100" t="e">
        <f t="shared" si="67"/>
        <v>#VALUE!</v>
      </c>
      <c r="W217" s="100" t="e">
        <f t="shared" si="74"/>
        <v>#VALUE!</v>
      </c>
      <c r="X217" s="100" t="e">
        <f t="shared" si="76"/>
        <v>#VALUE!</v>
      </c>
      <c r="Y217" s="99">
        <f t="shared" si="64"/>
        <v>0</v>
      </c>
    </row>
    <row r="218" spans="1:25" x14ac:dyDescent="0.2">
      <c r="A218" s="59"/>
      <c r="B218" s="59"/>
      <c r="C218" s="59"/>
      <c r="D218" s="59"/>
      <c r="E218" s="1046"/>
      <c r="F218" s="62"/>
      <c r="J218" s="106">
        <f t="shared" si="69"/>
        <v>0</v>
      </c>
      <c r="K218" s="106">
        <f t="shared" si="70"/>
        <v>0</v>
      </c>
      <c r="L218" s="62"/>
      <c r="M218" s="62"/>
      <c r="N218" s="62"/>
      <c r="O218" s="62"/>
      <c r="P218" s="62"/>
      <c r="Q218" s="60"/>
    </row>
    <row r="219" spans="1:25" x14ac:dyDescent="0.2">
      <c r="A219" s="59"/>
      <c r="B219" s="59"/>
      <c r="C219" s="59"/>
      <c r="D219" s="59"/>
      <c r="E219" s="1046"/>
      <c r="F219" s="62"/>
      <c r="J219" s="106">
        <f t="shared" si="69"/>
        <v>0</v>
      </c>
      <c r="K219" s="106">
        <f t="shared" si="70"/>
        <v>0</v>
      </c>
      <c r="L219" s="62"/>
      <c r="M219" s="62"/>
      <c r="N219" s="62"/>
      <c r="O219" s="62"/>
      <c r="P219" s="62"/>
      <c r="Q219" s="60"/>
    </row>
    <row r="220" spans="1:25" x14ac:dyDescent="0.2">
      <c r="A220" s="59"/>
      <c r="B220" s="59"/>
      <c r="C220" s="59"/>
      <c r="D220" s="59"/>
      <c r="E220" s="1046"/>
      <c r="F220" s="62"/>
      <c r="J220" s="106">
        <f t="shared" si="69"/>
        <v>0</v>
      </c>
      <c r="K220" s="106">
        <f t="shared" si="70"/>
        <v>0</v>
      </c>
      <c r="L220" s="62"/>
      <c r="M220" s="62"/>
      <c r="N220" s="62"/>
      <c r="O220" s="62"/>
      <c r="P220" s="62"/>
      <c r="Q220" s="60"/>
    </row>
    <row r="221" spans="1:25" x14ac:dyDescent="0.2">
      <c r="A221" s="59"/>
      <c r="B221" s="59"/>
      <c r="C221" s="59"/>
      <c r="D221" s="59"/>
      <c r="E221" s="1046"/>
      <c r="F221" s="62"/>
      <c r="J221" s="106">
        <f t="shared" si="69"/>
        <v>0</v>
      </c>
      <c r="K221" s="106">
        <f t="shared" si="70"/>
        <v>0</v>
      </c>
      <c r="L221" s="62"/>
      <c r="M221" s="62"/>
      <c r="N221" s="62"/>
      <c r="O221" s="62"/>
      <c r="P221" s="62"/>
      <c r="Q221" s="60"/>
    </row>
    <row r="222" spans="1:25" x14ac:dyDescent="0.2">
      <c r="A222" s="59"/>
      <c r="B222" s="59"/>
      <c r="C222" s="59"/>
      <c r="D222" s="59"/>
      <c r="E222" s="1046"/>
      <c r="F222" s="62"/>
      <c r="J222" s="106">
        <f t="shared" si="69"/>
        <v>0</v>
      </c>
      <c r="K222" s="106">
        <f t="shared" si="70"/>
        <v>0</v>
      </c>
      <c r="L222" s="62"/>
      <c r="M222" s="62"/>
      <c r="N222" s="62"/>
      <c r="O222" s="62"/>
      <c r="P222" s="62"/>
      <c r="Q222" s="60"/>
    </row>
    <row r="223" spans="1:25" x14ac:dyDescent="0.2">
      <c r="A223" s="59"/>
      <c r="B223" s="59"/>
      <c r="C223" s="59"/>
      <c r="D223" s="59"/>
      <c r="E223" s="1046"/>
      <c r="F223" s="62"/>
      <c r="J223" s="106">
        <f t="shared" si="69"/>
        <v>0</v>
      </c>
      <c r="K223" s="106">
        <f t="shared" si="70"/>
        <v>0</v>
      </c>
      <c r="L223" s="62"/>
      <c r="M223" s="62"/>
      <c r="N223" s="62"/>
      <c r="O223" s="62"/>
      <c r="P223" s="62"/>
      <c r="Q223" s="60"/>
    </row>
    <row r="224" spans="1:25" x14ac:dyDescent="0.2">
      <c r="A224" s="59"/>
      <c r="B224" s="59"/>
      <c r="C224" s="59"/>
      <c r="D224" s="59"/>
      <c r="E224" s="1046"/>
      <c r="F224" s="62"/>
      <c r="J224" s="106">
        <f t="shared" si="69"/>
        <v>0</v>
      </c>
      <c r="K224" s="106">
        <f t="shared" si="70"/>
        <v>0</v>
      </c>
      <c r="L224" s="62"/>
      <c r="M224" s="62"/>
      <c r="N224" s="62"/>
      <c r="O224" s="62"/>
      <c r="P224" s="62"/>
      <c r="Q224" s="60"/>
    </row>
    <row r="225" spans="1:17" x14ac:dyDescent="0.2">
      <c r="A225" s="59"/>
      <c r="B225" s="59"/>
      <c r="C225" s="59"/>
      <c r="D225" s="59"/>
      <c r="E225" s="1046"/>
      <c r="F225" s="62"/>
      <c r="J225" s="106">
        <f t="shared" si="69"/>
        <v>0</v>
      </c>
      <c r="K225" s="106">
        <f t="shared" si="70"/>
        <v>0</v>
      </c>
      <c r="L225" s="62"/>
      <c r="M225" s="62"/>
      <c r="N225" s="62"/>
      <c r="O225" s="62"/>
      <c r="P225" s="62"/>
      <c r="Q225" s="60"/>
    </row>
    <row r="226" spans="1:17" x14ac:dyDescent="0.2">
      <c r="A226" s="59"/>
      <c r="B226" s="59"/>
      <c r="C226" s="59"/>
      <c r="D226" s="59"/>
      <c r="E226" s="1046"/>
      <c r="F226" s="62"/>
      <c r="J226" s="106">
        <f t="shared" si="69"/>
        <v>0</v>
      </c>
      <c r="K226" s="106">
        <f t="shared" si="70"/>
        <v>0</v>
      </c>
      <c r="L226" s="62"/>
      <c r="M226" s="62"/>
      <c r="N226" s="62"/>
      <c r="O226" s="62"/>
      <c r="P226" s="62"/>
      <c r="Q226" s="60"/>
    </row>
    <row r="227" spans="1:17" x14ac:dyDescent="0.2">
      <c r="A227" s="59"/>
      <c r="B227" s="59"/>
      <c r="C227" s="59"/>
      <c r="D227" s="59"/>
      <c r="E227" s="1046"/>
      <c r="F227" s="62"/>
      <c r="J227" s="106">
        <f t="shared" si="69"/>
        <v>0</v>
      </c>
      <c r="K227" s="106">
        <f t="shared" si="70"/>
        <v>0</v>
      </c>
      <c r="L227" s="62"/>
      <c r="M227" s="62"/>
      <c r="N227" s="62"/>
      <c r="O227" s="62"/>
      <c r="P227" s="62"/>
      <c r="Q227" s="60"/>
    </row>
    <row r="228" spans="1:17" x14ac:dyDescent="0.2">
      <c r="A228" s="59"/>
      <c r="B228" s="59"/>
      <c r="C228" s="59"/>
      <c r="D228" s="59"/>
      <c r="E228" s="1046"/>
      <c r="F228" s="62"/>
      <c r="J228" s="106">
        <f t="shared" si="69"/>
        <v>0</v>
      </c>
      <c r="K228" s="106">
        <f t="shared" si="70"/>
        <v>0</v>
      </c>
      <c r="L228" s="62"/>
      <c r="M228" s="62"/>
      <c r="N228" s="62"/>
      <c r="O228" s="62"/>
      <c r="P228" s="62"/>
      <c r="Q228" s="60"/>
    </row>
    <row r="229" spans="1:17" x14ac:dyDescent="0.2">
      <c r="A229" s="59"/>
      <c r="B229" s="59"/>
      <c r="C229" s="59"/>
      <c r="D229" s="59"/>
      <c r="E229" s="1046"/>
      <c r="F229" s="62"/>
      <c r="J229" s="106">
        <f t="shared" si="69"/>
        <v>0</v>
      </c>
      <c r="K229" s="106">
        <f t="shared" si="70"/>
        <v>0</v>
      </c>
      <c r="L229" s="62"/>
      <c r="M229" s="62"/>
      <c r="N229" s="62"/>
      <c r="O229" s="62"/>
      <c r="P229" s="62"/>
      <c r="Q229" s="60"/>
    </row>
    <row r="230" spans="1:17" x14ac:dyDescent="0.2">
      <c r="A230" s="59"/>
      <c r="B230" s="59"/>
      <c r="C230" s="59"/>
      <c r="D230" s="59"/>
      <c r="E230" s="1046"/>
      <c r="F230" s="62"/>
      <c r="J230" s="106">
        <f t="shared" si="69"/>
        <v>0</v>
      </c>
      <c r="K230" s="106">
        <f t="shared" si="70"/>
        <v>0</v>
      </c>
      <c r="L230" s="62"/>
      <c r="M230" s="62"/>
      <c r="N230" s="62"/>
      <c r="O230" s="62"/>
      <c r="P230" s="62"/>
      <c r="Q230" s="60"/>
    </row>
    <row r="231" spans="1:17" x14ac:dyDescent="0.2">
      <c r="A231" s="59"/>
      <c r="B231" s="59"/>
      <c r="C231" s="59"/>
      <c r="D231" s="59"/>
      <c r="E231" s="1046"/>
      <c r="F231" s="62"/>
      <c r="J231" s="106">
        <f t="shared" si="69"/>
        <v>0</v>
      </c>
      <c r="K231" s="106">
        <f t="shared" si="70"/>
        <v>0</v>
      </c>
      <c r="L231" s="62"/>
      <c r="M231" s="62"/>
      <c r="N231" s="62"/>
      <c r="O231" s="62"/>
      <c r="P231" s="62"/>
      <c r="Q231" s="60"/>
    </row>
    <row r="232" spans="1:17" x14ac:dyDescent="0.2">
      <c r="A232" s="59"/>
      <c r="B232" s="59"/>
      <c r="C232" s="59"/>
      <c r="D232" s="59"/>
      <c r="E232" s="1046"/>
      <c r="F232" s="62"/>
      <c r="J232" s="106">
        <f t="shared" si="69"/>
        <v>0</v>
      </c>
      <c r="K232" s="106">
        <f t="shared" si="70"/>
        <v>0</v>
      </c>
      <c r="L232" s="62"/>
      <c r="M232" s="62"/>
      <c r="N232" s="62"/>
      <c r="O232" s="62"/>
      <c r="P232" s="62"/>
      <c r="Q232" s="60"/>
    </row>
    <row r="233" spans="1:17" x14ac:dyDescent="0.2">
      <c r="A233" s="59"/>
      <c r="B233" s="59"/>
      <c r="C233" s="59"/>
      <c r="D233" s="59"/>
      <c r="E233" s="1046"/>
      <c r="F233" s="62"/>
      <c r="J233" s="106">
        <f t="shared" si="69"/>
        <v>0</v>
      </c>
      <c r="K233" s="106">
        <f t="shared" si="70"/>
        <v>0</v>
      </c>
      <c r="L233" s="62"/>
      <c r="M233" s="62"/>
      <c r="N233" s="62"/>
      <c r="O233" s="62"/>
      <c r="P233" s="62"/>
      <c r="Q233" s="60"/>
    </row>
    <row r="234" spans="1:17" x14ac:dyDescent="0.2">
      <c r="A234" s="59"/>
      <c r="B234" s="59"/>
      <c r="C234" s="59"/>
      <c r="D234" s="59"/>
      <c r="E234" s="1046"/>
      <c r="F234" s="62"/>
      <c r="J234" s="106">
        <f t="shared" si="69"/>
        <v>0</v>
      </c>
      <c r="K234" s="106">
        <f t="shared" si="70"/>
        <v>0</v>
      </c>
      <c r="L234" s="62"/>
      <c r="M234" s="62"/>
      <c r="N234" s="62"/>
      <c r="O234" s="62"/>
      <c r="P234" s="62"/>
      <c r="Q234" s="60"/>
    </row>
    <row r="235" spans="1:17" x14ac:dyDescent="0.2">
      <c r="A235" s="59"/>
      <c r="B235" s="59"/>
      <c r="C235" s="59"/>
      <c r="D235" s="59"/>
      <c r="E235" s="1046"/>
      <c r="F235" s="62"/>
      <c r="J235" s="106">
        <f t="shared" si="69"/>
        <v>0</v>
      </c>
      <c r="K235" s="106">
        <f t="shared" si="70"/>
        <v>0</v>
      </c>
      <c r="L235" s="62"/>
      <c r="M235" s="62"/>
      <c r="N235" s="62"/>
      <c r="O235" s="62"/>
      <c r="P235" s="62"/>
      <c r="Q235" s="60"/>
    </row>
    <row r="236" spans="1:17" x14ac:dyDescent="0.2">
      <c r="A236" s="59"/>
      <c r="B236" s="59"/>
      <c r="C236" s="59"/>
      <c r="D236" s="59"/>
      <c r="E236" s="1046"/>
      <c r="F236" s="62"/>
      <c r="J236" s="106">
        <f t="shared" si="69"/>
        <v>0</v>
      </c>
      <c r="K236" s="106">
        <f t="shared" si="70"/>
        <v>0</v>
      </c>
      <c r="L236" s="62"/>
      <c r="M236" s="62"/>
      <c r="N236" s="62"/>
      <c r="O236" s="62"/>
      <c r="P236" s="62"/>
      <c r="Q236" s="60"/>
    </row>
    <row r="237" spans="1:17" x14ac:dyDescent="0.2">
      <c r="A237" s="59"/>
      <c r="B237" s="59"/>
      <c r="C237" s="59"/>
      <c r="D237" s="59"/>
      <c r="E237" s="1046"/>
      <c r="F237" s="62"/>
      <c r="J237" s="106">
        <f t="shared" si="69"/>
        <v>0</v>
      </c>
      <c r="K237" s="106">
        <f t="shared" si="70"/>
        <v>0</v>
      </c>
      <c r="L237" s="62"/>
      <c r="M237" s="62"/>
      <c r="N237" s="62"/>
      <c r="O237" s="62"/>
      <c r="P237" s="62"/>
      <c r="Q237" s="60"/>
    </row>
    <row r="238" spans="1:17" x14ac:dyDescent="0.2">
      <c r="A238" s="59"/>
      <c r="B238" s="59"/>
      <c r="C238" s="59"/>
      <c r="D238" s="59"/>
      <c r="E238" s="1046"/>
      <c r="F238" s="62"/>
      <c r="J238" s="106">
        <f t="shared" si="69"/>
        <v>0</v>
      </c>
      <c r="K238" s="106">
        <f t="shared" si="70"/>
        <v>0</v>
      </c>
      <c r="L238" s="62"/>
      <c r="M238" s="62"/>
      <c r="N238" s="62"/>
      <c r="O238" s="62"/>
      <c r="P238" s="62"/>
      <c r="Q238" s="60"/>
    </row>
    <row r="239" spans="1:17" x14ac:dyDescent="0.2">
      <c r="A239" s="59"/>
      <c r="B239" s="59"/>
      <c r="C239" s="59"/>
      <c r="D239" s="59"/>
      <c r="E239" s="1046"/>
      <c r="F239" s="62"/>
      <c r="J239" s="106">
        <f t="shared" si="69"/>
        <v>0</v>
      </c>
      <c r="K239" s="106">
        <f t="shared" si="70"/>
        <v>0</v>
      </c>
      <c r="L239" s="62"/>
      <c r="M239" s="62"/>
      <c r="N239" s="62"/>
      <c r="O239" s="62"/>
      <c r="P239" s="62"/>
      <c r="Q239" s="60"/>
    </row>
    <row r="240" spans="1:17" x14ac:dyDescent="0.2">
      <c r="A240" s="59"/>
      <c r="B240" s="59"/>
      <c r="C240" s="59"/>
      <c r="D240" s="59"/>
      <c r="E240" s="1046"/>
      <c r="F240" s="62"/>
      <c r="J240" s="106">
        <f t="shared" si="69"/>
        <v>0</v>
      </c>
      <c r="K240" s="106">
        <f t="shared" si="70"/>
        <v>0</v>
      </c>
      <c r="L240" s="62"/>
      <c r="M240" s="62"/>
      <c r="N240" s="62"/>
      <c r="O240" s="62"/>
      <c r="P240" s="62"/>
      <c r="Q240" s="60"/>
    </row>
    <row r="241" spans="10:11" x14ac:dyDescent="0.2">
      <c r="J241" s="106">
        <f t="shared" si="69"/>
        <v>0</v>
      </c>
      <c r="K241" s="106">
        <f t="shared" si="70"/>
        <v>0</v>
      </c>
    </row>
    <row r="242" spans="10:11" x14ac:dyDescent="0.2">
      <c r="J242" s="106">
        <f t="shared" si="69"/>
        <v>0</v>
      </c>
      <c r="K242" s="106">
        <f t="shared" si="70"/>
        <v>0</v>
      </c>
    </row>
    <row r="243" spans="10:11" x14ac:dyDescent="0.2">
      <c r="J243" s="106">
        <f t="shared" si="69"/>
        <v>0</v>
      </c>
      <c r="K243" s="106">
        <f t="shared" si="70"/>
        <v>0</v>
      </c>
    </row>
    <row r="244" spans="10:11" x14ac:dyDescent="0.2">
      <c r="J244" s="106">
        <f t="shared" si="69"/>
        <v>0</v>
      </c>
      <c r="K244" s="106">
        <f t="shared" si="70"/>
        <v>0</v>
      </c>
    </row>
    <row r="245" spans="10:11" x14ac:dyDescent="0.2">
      <c r="J245" s="106">
        <f t="shared" si="69"/>
        <v>0</v>
      </c>
      <c r="K245" s="106">
        <f t="shared" si="70"/>
        <v>0</v>
      </c>
    </row>
    <row r="246" spans="10:11" x14ac:dyDescent="0.2">
      <c r="J246" s="106">
        <f t="shared" si="69"/>
        <v>0</v>
      </c>
      <c r="K246" s="106">
        <f t="shared" si="70"/>
        <v>0</v>
      </c>
    </row>
    <row r="247" spans="10:11" x14ac:dyDescent="0.2">
      <c r="J247" s="106">
        <f t="shared" si="69"/>
        <v>0</v>
      </c>
      <c r="K247" s="106">
        <f t="shared" si="70"/>
        <v>0</v>
      </c>
    </row>
    <row r="248" spans="10:11" x14ac:dyDescent="0.2">
      <c r="J248" s="106">
        <f t="shared" si="69"/>
        <v>0</v>
      </c>
      <c r="K248" s="106">
        <f t="shared" si="70"/>
        <v>0</v>
      </c>
    </row>
    <row r="249" spans="10:11" x14ac:dyDescent="0.2">
      <c r="J249" s="106">
        <f t="shared" si="69"/>
        <v>0</v>
      </c>
      <c r="K249" s="106">
        <f t="shared" si="70"/>
        <v>0</v>
      </c>
    </row>
    <row r="250" spans="10:11" x14ac:dyDescent="0.2">
      <c r="J250" s="106">
        <f t="shared" si="69"/>
        <v>0</v>
      </c>
      <c r="K250" s="106">
        <f t="shared" si="70"/>
        <v>0</v>
      </c>
    </row>
    <row r="251" spans="10:11" x14ac:dyDescent="0.2">
      <c r="J251" s="106">
        <f t="shared" si="69"/>
        <v>0</v>
      </c>
      <c r="K251" s="106">
        <f t="shared" si="70"/>
        <v>0</v>
      </c>
    </row>
    <row r="252" spans="10:11" x14ac:dyDescent="0.2">
      <c r="J252" s="106">
        <f t="shared" si="69"/>
        <v>0</v>
      </c>
      <c r="K252" s="106">
        <f t="shared" si="70"/>
        <v>0</v>
      </c>
    </row>
    <row r="253" spans="10:11" x14ac:dyDescent="0.2">
      <c r="J253" s="106">
        <f t="shared" si="69"/>
        <v>0</v>
      </c>
      <c r="K253" s="106">
        <f t="shared" si="70"/>
        <v>0</v>
      </c>
    </row>
    <row r="254" spans="10:11" x14ac:dyDescent="0.2">
      <c r="J254" s="106">
        <f t="shared" si="69"/>
        <v>0</v>
      </c>
      <c r="K254" s="106">
        <f t="shared" si="70"/>
        <v>0</v>
      </c>
    </row>
    <row r="255" spans="10:11" x14ac:dyDescent="0.2">
      <c r="J255" s="106">
        <f t="shared" si="69"/>
        <v>0</v>
      </c>
      <c r="K255" s="106">
        <f t="shared" si="70"/>
        <v>0</v>
      </c>
    </row>
    <row r="256" spans="10:11" x14ac:dyDescent="0.2">
      <c r="J256" s="106">
        <f t="shared" si="69"/>
        <v>0</v>
      </c>
      <c r="K256" s="106">
        <f t="shared" si="70"/>
        <v>0</v>
      </c>
    </row>
    <row r="257" spans="10:11" x14ac:dyDescent="0.2">
      <c r="J257" s="106">
        <f t="shared" si="69"/>
        <v>0</v>
      </c>
      <c r="K257" s="106">
        <f t="shared" si="70"/>
        <v>0</v>
      </c>
    </row>
    <row r="258" spans="10:11" x14ac:dyDescent="0.2">
      <c r="J258" s="106">
        <f t="shared" si="69"/>
        <v>0</v>
      </c>
      <c r="K258" s="106">
        <f t="shared" si="70"/>
        <v>0</v>
      </c>
    </row>
    <row r="259" spans="10:11" x14ac:dyDescent="0.2">
      <c r="J259" s="106">
        <f t="shared" si="69"/>
        <v>0</v>
      </c>
      <c r="K259" s="106">
        <f t="shared" si="70"/>
        <v>0</v>
      </c>
    </row>
    <row r="260" spans="10:11" x14ac:dyDescent="0.2">
      <c r="J260" s="106">
        <f t="shared" ref="J260:J323" si="77">+ROUND(J259-I259,100)</f>
        <v>0</v>
      </c>
      <c r="K260" s="106">
        <f t="shared" ref="K260:K323" si="78">+SIGN(ROUND(J260,0))</f>
        <v>0</v>
      </c>
    </row>
    <row r="261" spans="10:11" x14ac:dyDescent="0.2">
      <c r="J261" s="106">
        <f t="shared" si="77"/>
        <v>0</v>
      </c>
      <c r="K261" s="106">
        <f t="shared" si="78"/>
        <v>0</v>
      </c>
    </row>
    <row r="262" spans="10:11" x14ac:dyDescent="0.2">
      <c r="J262" s="106">
        <f t="shared" si="77"/>
        <v>0</v>
      </c>
      <c r="K262" s="106">
        <f t="shared" si="78"/>
        <v>0</v>
      </c>
    </row>
    <row r="263" spans="10:11" x14ac:dyDescent="0.2">
      <c r="J263" s="106">
        <f t="shared" si="77"/>
        <v>0</v>
      </c>
      <c r="K263" s="106">
        <f t="shared" si="78"/>
        <v>0</v>
      </c>
    </row>
    <row r="264" spans="10:11" x14ac:dyDescent="0.2">
      <c r="J264" s="106">
        <f t="shared" si="77"/>
        <v>0</v>
      </c>
      <c r="K264" s="106">
        <f t="shared" si="78"/>
        <v>0</v>
      </c>
    </row>
    <row r="265" spans="10:11" x14ac:dyDescent="0.2">
      <c r="J265" s="106">
        <f t="shared" si="77"/>
        <v>0</v>
      </c>
      <c r="K265" s="106">
        <f t="shared" si="78"/>
        <v>0</v>
      </c>
    </row>
    <row r="266" spans="10:11" x14ac:dyDescent="0.2">
      <c r="J266" s="106">
        <f t="shared" si="77"/>
        <v>0</v>
      </c>
      <c r="K266" s="106">
        <f t="shared" si="78"/>
        <v>0</v>
      </c>
    </row>
    <row r="267" spans="10:11" x14ac:dyDescent="0.2">
      <c r="J267" s="106">
        <f t="shared" si="77"/>
        <v>0</v>
      </c>
      <c r="K267" s="106">
        <f t="shared" si="78"/>
        <v>0</v>
      </c>
    </row>
    <row r="268" spans="10:11" x14ac:dyDescent="0.2">
      <c r="J268" s="106">
        <f t="shared" si="77"/>
        <v>0</v>
      </c>
      <c r="K268" s="106">
        <f t="shared" si="78"/>
        <v>0</v>
      </c>
    </row>
    <row r="269" spans="10:11" x14ac:dyDescent="0.2">
      <c r="J269" s="106">
        <f t="shared" si="77"/>
        <v>0</v>
      </c>
      <c r="K269" s="106">
        <f t="shared" si="78"/>
        <v>0</v>
      </c>
    </row>
    <row r="270" spans="10:11" x14ac:dyDescent="0.2">
      <c r="J270" s="106">
        <f t="shared" si="77"/>
        <v>0</v>
      </c>
      <c r="K270" s="106">
        <f t="shared" si="78"/>
        <v>0</v>
      </c>
    </row>
    <row r="271" spans="10:11" x14ac:dyDescent="0.2">
      <c r="J271" s="106">
        <f t="shared" si="77"/>
        <v>0</v>
      </c>
      <c r="K271" s="106">
        <f t="shared" si="78"/>
        <v>0</v>
      </c>
    </row>
    <row r="272" spans="10:11" x14ac:dyDescent="0.2">
      <c r="J272" s="106">
        <f t="shared" si="77"/>
        <v>0</v>
      </c>
      <c r="K272" s="106">
        <f t="shared" si="78"/>
        <v>0</v>
      </c>
    </row>
    <row r="273" spans="10:11" x14ac:dyDescent="0.2">
      <c r="J273" s="106">
        <f t="shared" si="77"/>
        <v>0</v>
      </c>
      <c r="K273" s="106">
        <f t="shared" si="78"/>
        <v>0</v>
      </c>
    </row>
    <row r="274" spans="10:11" x14ac:dyDescent="0.2">
      <c r="J274" s="106">
        <f t="shared" si="77"/>
        <v>0</v>
      </c>
      <c r="K274" s="106">
        <f t="shared" si="78"/>
        <v>0</v>
      </c>
    </row>
    <row r="275" spans="10:11" x14ac:dyDescent="0.2">
      <c r="J275" s="106">
        <f t="shared" si="77"/>
        <v>0</v>
      </c>
      <c r="K275" s="106">
        <f t="shared" si="78"/>
        <v>0</v>
      </c>
    </row>
    <row r="276" spans="10:11" x14ac:dyDescent="0.2">
      <c r="J276" s="106">
        <f t="shared" si="77"/>
        <v>0</v>
      </c>
      <c r="K276" s="106">
        <f t="shared" si="78"/>
        <v>0</v>
      </c>
    </row>
    <row r="277" spans="10:11" x14ac:dyDescent="0.2">
      <c r="J277" s="106">
        <f t="shared" si="77"/>
        <v>0</v>
      </c>
      <c r="K277" s="106">
        <f t="shared" si="78"/>
        <v>0</v>
      </c>
    </row>
    <row r="278" spans="10:11" x14ac:dyDescent="0.2">
      <c r="J278" s="106">
        <f t="shared" si="77"/>
        <v>0</v>
      </c>
      <c r="K278" s="106">
        <f t="shared" si="78"/>
        <v>0</v>
      </c>
    </row>
    <row r="279" spans="10:11" x14ac:dyDescent="0.2">
      <c r="J279" s="106">
        <f t="shared" si="77"/>
        <v>0</v>
      </c>
      <c r="K279" s="106">
        <f t="shared" si="78"/>
        <v>0</v>
      </c>
    </row>
    <row r="280" spans="10:11" x14ac:dyDescent="0.2">
      <c r="J280" s="106">
        <f t="shared" si="77"/>
        <v>0</v>
      </c>
      <c r="K280" s="106">
        <f t="shared" si="78"/>
        <v>0</v>
      </c>
    </row>
    <row r="281" spans="10:11" x14ac:dyDescent="0.2">
      <c r="J281" s="106">
        <f t="shared" si="77"/>
        <v>0</v>
      </c>
      <c r="K281" s="106">
        <f t="shared" si="78"/>
        <v>0</v>
      </c>
    </row>
    <row r="282" spans="10:11" x14ac:dyDescent="0.2">
      <c r="J282" s="106">
        <f t="shared" si="77"/>
        <v>0</v>
      </c>
      <c r="K282" s="106">
        <f t="shared" si="78"/>
        <v>0</v>
      </c>
    </row>
    <row r="283" spans="10:11" x14ac:dyDescent="0.2">
      <c r="J283" s="106">
        <f t="shared" si="77"/>
        <v>0</v>
      </c>
      <c r="K283" s="106">
        <f t="shared" si="78"/>
        <v>0</v>
      </c>
    </row>
    <row r="284" spans="10:11" x14ac:dyDescent="0.2">
      <c r="J284" s="106">
        <f t="shared" si="77"/>
        <v>0</v>
      </c>
      <c r="K284" s="106">
        <f t="shared" si="78"/>
        <v>0</v>
      </c>
    </row>
    <row r="285" spans="10:11" x14ac:dyDescent="0.2">
      <c r="J285" s="106">
        <f t="shared" si="77"/>
        <v>0</v>
      </c>
      <c r="K285" s="106">
        <f t="shared" si="78"/>
        <v>0</v>
      </c>
    </row>
    <row r="286" spans="10:11" x14ac:dyDescent="0.2">
      <c r="J286" s="106">
        <f t="shared" si="77"/>
        <v>0</v>
      </c>
      <c r="K286" s="106">
        <f t="shared" si="78"/>
        <v>0</v>
      </c>
    </row>
    <row r="287" spans="10:11" x14ac:dyDescent="0.2">
      <c r="J287" s="106">
        <f t="shared" si="77"/>
        <v>0</v>
      </c>
      <c r="K287" s="106">
        <f t="shared" si="78"/>
        <v>0</v>
      </c>
    </row>
    <row r="288" spans="10:11" x14ac:dyDescent="0.2">
      <c r="J288" s="106">
        <f t="shared" si="77"/>
        <v>0</v>
      </c>
      <c r="K288" s="106">
        <f t="shared" si="78"/>
        <v>0</v>
      </c>
    </row>
    <row r="289" spans="10:11" x14ac:dyDescent="0.2">
      <c r="J289" s="106">
        <f t="shared" si="77"/>
        <v>0</v>
      </c>
      <c r="K289" s="106">
        <f t="shared" si="78"/>
        <v>0</v>
      </c>
    </row>
    <row r="290" spans="10:11" x14ac:dyDescent="0.2">
      <c r="J290" s="106">
        <f t="shared" si="77"/>
        <v>0</v>
      </c>
      <c r="K290" s="106">
        <f t="shared" si="78"/>
        <v>0</v>
      </c>
    </row>
    <row r="291" spans="10:11" x14ac:dyDescent="0.2">
      <c r="J291" s="106">
        <f t="shared" si="77"/>
        <v>0</v>
      </c>
      <c r="K291" s="106">
        <f t="shared" si="78"/>
        <v>0</v>
      </c>
    </row>
    <row r="292" spans="10:11" x14ac:dyDescent="0.2">
      <c r="J292" s="106">
        <f t="shared" si="77"/>
        <v>0</v>
      </c>
      <c r="K292" s="106">
        <f t="shared" si="78"/>
        <v>0</v>
      </c>
    </row>
    <row r="293" spans="10:11" x14ac:dyDescent="0.2">
      <c r="J293" s="106">
        <f t="shared" si="77"/>
        <v>0</v>
      </c>
      <c r="K293" s="106">
        <f t="shared" si="78"/>
        <v>0</v>
      </c>
    </row>
    <row r="294" spans="10:11" x14ac:dyDescent="0.2">
      <c r="J294" s="106">
        <f t="shared" si="77"/>
        <v>0</v>
      </c>
      <c r="K294" s="106">
        <f t="shared" si="78"/>
        <v>0</v>
      </c>
    </row>
    <row r="295" spans="10:11" x14ac:dyDescent="0.2">
      <c r="J295" s="106">
        <f t="shared" si="77"/>
        <v>0</v>
      </c>
      <c r="K295" s="106">
        <f t="shared" si="78"/>
        <v>0</v>
      </c>
    </row>
    <row r="296" spans="10:11" x14ac:dyDescent="0.2">
      <c r="J296" s="106">
        <f t="shared" si="77"/>
        <v>0</v>
      </c>
      <c r="K296" s="106">
        <f t="shared" si="78"/>
        <v>0</v>
      </c>
    </row>
    <row r="297" spans="10:11" x14ac:dyDescent="0.2">
      <c r="J297" s="106">
        <f t="shared" si="77"/>
        <v>0</v>
      </c>
      <c r="K297" s="106">
        <f t="shared" si="78"/>
        <v>0</v>
      </c>
    </row>
    <row r="298" spans="10:11" x14ac:dyDescent="0.2">
      <c r="J298" s="106">
        <f t="shared" si="77"/>
        <v>0</v>
      </c>
      <c r="K298" s="106">
        <f t="shared" si="78"/>
        <v>0</v>
      </c>
    </row>
    <row r="299" spans="10:11" x14ac:dyDescent="0.2">
      <c r="J299" s="106">
        <f t="shared" si="77"/>
        <v>0</v>
      </c>
      <c r="K299" s="106">
        <f t="shared" si="78"/>
        <v>0</v>
      </c>
    </row>
    <row r="300" spans="10:11" x14ac:dyDescent="0.2">
      <c r="J300" s="106">
        <f t="shared" si="77"/>
        <v>0</v>
      </c>
      <c r="K300" s="106">
        <f t="shared" si="78"/>
        <v>0</v>
      </c>
    </row>
    <row r="301" spans="10:11" x14ac:dyDescent="0.2">
      <c r="J301" s="106">
        <f t="shared" si="77"/>
        <v>0</v>
      </c>
      <c r="K301" s="106">
        <f t="shared" si="78"/>
        <v>0</v>
      </c>
    </row>
    <row r="302" spans="10:11" x14ac:dyDescent="0.2">
      <c r="J302" s="106">
        <f t="shared" si="77"/>
        <v>0</v>
      </c>
      <c r="K302" s="106">
        <f t="shared" si="78"/>
        <v>0</v>
      </c>
    </row>
    <row r="303" spans="10:11" x14ac:dyDescent="0.2">
      <c r="J303" s="106">
        <f t="shared" si="77"/>
        <v>0</v>
      </c>
      <c r="K303" s="106">
        <f t="shared" si="78"/>
        <v>0</v>
      </c>
    </row>
    <row r="304" spans="10:11" x14ac:dyDescent="0.2">
      <c r="J304" s="106">
        <f t="shared" si="77"/>
        <v>0</v>
      </c>
      <c r="K304" s="106">
        <f t="shared" si="78"/>
        <v>0</v>
      </c>
    </row>
    <row r="305" spans="10:11" x14ac:dyDescent="0.2">
      <c r="J305" s="106">
        <f t="shared" si="77"/>
        <v>0</v>
      </c>
      <c r="K305" s="106">
        <f t="shared" si="78"/>
        <v>0</v>
      </c>
    </row>
    <row r="306" spans="10:11" x14ac:dyDescent="0.2">
      <c r="J306" s="106">
        <f t="shared" si="77"/>
        <v>0</v>
      </c>
      <c r="K306" s="106">
        <f t="shared" si="78"/>
        <v>0</v>
      </c>
    </row>
    <row r="307" spans="10:11" x14ac:dyDescent="0.2">
      <c r="J307" s="106">
        <f t="shared" si="77"/>
        <v>0</v>
      </c>
      <c r="K307" s="106">
        <f t="shared" si="78"/>
        <v>0</v>
      </c>
    </row>
    <row r="308" spans="10:11" x14ac:dyDescent="0.2">
      <c r="J308" s="106">
        <f t="shared" si="77"/>
        <v>0</v>
      </c>
      <c r="K308" s="106">
        <f t="shared" si="78"/>
        <v>0</v>
      </c>
    </row>
    <row r="309" spans="10:11" x14ac:dyDescent="0.2">
      <c r="J309" s="106">
        <f t="shared" si="77"/>
        <v>0</v>
      </c>
      <c r="K309" s="106">
        <f t="shared" si="78"/>
        <v>0</v>
      </c>
    </row>
    <row r="310" spans="10:11" x14ac:dyDescent="0.2">
      <c r="J310" s="106">
        <f t="shared" si="77"/>
        <v>0</v>
      </c>
      <c r="K310" s="106">
        <f t="shared" si="78"/>
        <v>0</v>
      </c>
    </row>
    <row r="311" spans="10:11" x14ac:dyDescent="0.2">
      <c r="J311" s="106">
        <f t="shared" si="77"/>
        <v>0</v>
      </c>
      <c r="K311" s="106">
        <f t="shared" si="78"/>
        <v>0</v>
      </c>
    </row>
    <row r="312" spans="10:11" x14ac:dyDescent="0.2">
      <c r="J312" s="106">
        <f t="shared" si="77"/>
        <v>0</v>
      </c>
      <c r="K312" s="106">
        <f t="shared" si="78"/>
        <v>0</v>
      </c>
    </row>
    <row r="313" spans="10:11" x14ac:dyDescent="0.2">
      <c r="J313" s="106">
        <f t="shared" si="77"/>
        <v>0</v>
      </c>
      <c r="K313" s="106">
        <f t="shared" si="78"/>
        <v>0</v>
      </c>
    </row>
    <row r="314" spans="10:11" x14ac:dyDescent="0.2">
      <c r="J314" s="106">
        <f t="shared" si="77"/>
        <v>0</v>
      </c>
      <c r="K314" s="106">
        <f t="shared" si="78"/>
        <v>0</v>
      </c>
    </row>
    <row r="315" spans="10:11" x14ac:dyDescent="0.2">
      <c r="J315" s="106">
        <f t="shared" si="77"/>
        <v>0</v>
      </c>
      <c r="K315" s="106">
        <f t="shared" si="78"/>
        <v>0</v>
      </c>
    </row>
    <row r="316" spans="10:11" x14ac:dyDescent="0.2">
      <c r="J316" s="106">
        <f t="shared" si="77"/>
        <v>0</v>
      </c>
      <c r="K316" s="106">
        <f t="shared" si="78"/>
        <v>0</v>
      </c>
    </row>
    <row r="317" spans="10:11" x14ac:dyDescent="0.2">
      <c r="J317" s="106">
        <f t="shared" si="77"/>
        <v>0</v>
      </c>
      <c r="K317" s="106">
        <f t="shared" si="78"/>
        <v>0</v>
      </c>
    </row>
    <row r="318" spans="10:11" x14ac:dyDescent="0.2">
      <c r="J318" s="106">
        <f t="shared" si="77"/>
        <v>0</v>
      </c>
      <c r="K318" s="106">
        <f t="shared" si="78"/>
        <v>0</v>
      </c>
    </row>
    <row r="319" spans="10:11" x14ac:dyDescent="0.2">
      <c r="J319" s="106">
        <f t="shared" si="77"/>
        <v>0</v>
      </c>
      <c r="K319" s="106">
        <f t="shared" si="78"/>
        <v>0</v>
      </c>
    </row>
    <row r="320" spans="10:11" x14ac:dyDescent="0.2">
      <c r="J320" s="106">
        <f t="shared" si="77"/>
        <v>0</v>
      </c>
      <c r="K320" s="106">
        <f t="shared" si="78"/>
        <v>0</v>
      </c>
    </row>
    <row r="321" spans="10:11" x14ac:dyDescent="0.2">
      <c r="J321" s="106">
        <f t="shared" si="77"/>
        <v>0</v>
      </c>
      <c r="K321" s="106">
        <f t="shared" si="78"/>
        <v>0</v>
      </c>
    </row>
    <row r="322" spans="10:11" x14ac:dyDescent="0.2">
      <c r="J322" s="106">
        <f t="shared" si="77"/>
        <v>0</v>
      </c>
      <c r="K322" s="106">
        <f t="shared" si="78"/>
        <v>0</v>
      </c>
    </row>
    <row r="323" spans="10:11" x14ac:dyDescent="0.2">
      <c r="J323" s="106">
        <f t="shared" si="77"/>
        <v>0</v>
      </c>
      <c r="K323" s="106">
        <f t="shared" si="78"/>
        <v>0</v>
      </c>
    </row>
    <row r="324" spans="10:11" x14ac:dyDescent="0.2">
      <c r="J324" s="106">
        <f t="shared" ref="J324:J387" si="79">+ROUND(J323-I323,100)</f>
        <v>0</v>
      </c>
      <c r="K324" s="106">
        <f t="shared" ref="K324:K387" si="80">+SIGN(ROUND(J324,0))</f>
        <v>0</v>
      </c>
    </row>
    <row r="325" spans="10:11" x14ac:dyDescent="0.2">
      <c r="J325" s="106">
        <f t="shared" si="79"/>
        <v>0</v>
      </c>
      <c r="K325" s="106">
        <f t="shared" si="80"/>
        <v>0</v>
      </c>
    </row>
    <row r="326" spans="10:11" x14ac:dyDescent="0.2">
      <c r="J326" s="106">
        <f t="shared" si="79"/>
        <v>0</v>
      </c>
      <c r="K326" s="106">
        <f t="shared" si="80"/>
        <v>0</v>
      </c>
    </row>
    <row r="327" spans="10:11" x14ac:dyDescent="0.2">
      <c r="J327" s="106">
        <f t="shared" si="79"/>
        <v>0</v>
      </c>
      <c r="K327" s="106">
        <f t="shared" si="80"/>
        <v>0</v>
      </c>
    </row>
    <row r="328" spans="10:11" x14ac:dyDescent="0.2">
      <c r="J328" s="106">
        <f t="shared" si="79"/>
        <v>0</v>
      </c>
      <c r="K328" s="106">
        <f t="shared" si="80"/>
        <v>0</v>
      </c>
    </row>
    <row r="329" spans="10:11" x14ac:dyDescent="0.2">
      <c r="J329" s="106">
        <f t="shared" si="79"/>
        <v>0</v>
      </c>
      <c r="K329" s="106">
        <f t="shared" si="80"/>
        <v>0</v>
      </c>
    </row>
    <row r="330" spans="10:11" x14ac:dyDescent="0.2">
      <c r="J330" s="106">
        <f t="shared" si="79"/>
        <v>0</v>
      </c>
      <c r="K330" s="106">
        <f t="shared" si="80"/>
        <v>0</v>
      </c>
    </row>
    <row r="331" spans="10:11" x14ac:dyDescent="0.2">
      <c r="J331" s="106">
        <f t="shared" si="79"/>
        <v>0</v>
      </c>
      <c r="K331" s="106">
        <f t="shared" si="80"/>
        <v>0</v>
      </c>
    </row>
    <row r="332" spans="10:11" x14ac:dyDescent="0.2">
      <c r="J332" s="106">
        <f t="shared" si="79"/>
        <v>0</v>
      </c>
      <c r="K332" s="106">
        <f t="shared" si="80"/>
        <v>0</v>
      </c>
    </row>
    <row r="333" spans="10:11" x14ac:dyDescent="0.2">
      <c r="J333" s="106">
        <f t="shared" si="79"/>
        <v>0</v>
      </c>
      <c r="K333" s="106">
        <f t="shared" si="80"/>
        <v>0</v>
      </c>
    </row>
    <row r="334" spans="10:11" x14ac:dyDescent="0.2">
      <c r="J334" s="106">
        <f t="shared" si="79"/>
        <v>0</v>
      </c>
      <c r="K334" s="106">
        <f t="shared" si="80"/>
        <v>0</v>
      </c>
    </row>
    <row r="335" spans="10:11" x14ac:dyDescent="0.2">
      <c r="J335" s="106">
        <f t="shared" si="79"/>
        <v>0</v>
      </c>
      <c r="K335" s="106">
        <f t="shared" si="80"/>
        <v>0</v>
      </c>
    </row>
    <row r="336" spans="10:11" x14ac:dyDescent="0.2">
      <c r="J336" s="106">
        <f t="shared" si="79"/>
        <v>0</v>
      </c>
      <c r="K336" s="106">
        <f t="shared" si="80"/>
        <v>0</v>
      </c>
    </row>
    <row r="337" spans="10:11" x14ac:dyDescent="0.2">
      <c r="J337" s="106">
        <f t="shared" si="79"/>
        <v>0</v>
      </c>
      <c r="K337" s="106">
        <f t="shared" si="80"/>
        <v>0</v>
      </c>
    </row>
    <row r="338" spans="10:11" x14ac:dyDescent="0.2">
      <c r="J338" s="106">
        <f t="shared" si="79"/>
        <v>0</v>
      </c>
      <c r="K338" s="106">
        <f t="shared" si="80"/>
        <v>0</v>
      </c>
    </row>
    <row r="339" spans="10:11" x14ac:dyDescent="0.2">
      <c r="J339" s="106">
        <f t="shared" si="79"/>
        <v>0</v>
      </c>
      <c r="K339" s="106">
        <f t="shared" si="80"/>
        <v>0</v>
      </c>
    </row>
    <row r="340" spans="10:11" x14ac:dyDescent="0.2">
      <c r="J340" s="106">
        <f t="shared" si="79"/>
        <v>0</v>
      </c>
      <c r="K340" s="106">
        <f t="shared" si="80"/>
        <v>0</v>
      </c>
    </row>
    <row r="341" spans="10:11" x14ac:dyDescent="0.2">
      <c r="J341" s="106">
        <f t="shared" si="79"/>
        <v>0</v>
      </c>
      <c r="K341" s="106">
        <f t="shared" si="80"/>
        <v>0</v>
      </c>
    </row>
    <row r="342" spans="10:11" x14ac:dyDescent="0.2">
      <c r="J342" s="106">
        <f t="shared" si="79"/>
        <v>0</v>
      </c>
      <c r="K342" s="106">
        <f t="shared" si="80"/>
        <v>0</v>
      </c>
    </row>
    <row r="343" spans="10:11" x14ac:dyDescent="0.2">
      <c r="J343" s="106">
        <f t="shared" si="79"/>
        <v>0</v>
      </c>
      <c r="K343" s="106">
        <f t="shared" si="80"/>
        <v>0</v>
      </c>
    </row>
    <row r="344" spans="10:11" x14ac:dyDescent="0.2">
      <c r="J344" s="106">
        <f t="shared" si="79"/>
        <v>0</v>
      </c>
      <c r="K344" s="106">
        <f t="shared" si="80"/>
        <v>0</v>
      </c>
    </row>
    <row r="345" spans="10:11" x14ac:dyDescent="0.2">
      <c r="J345" s="106">
        <f t="shared" si="79"/>
        <v>0</v>
      </c>
      <c r="K345" s="106">
        <f t="shared" si="80"/>
        <v>0</v>
      </c>
    </row>
    <row r="346" spans="10:11" x14ac:dyDescent="0.2">
      <c r="J346" s="106">
        <f t="shared" si="79"/>
        <v>0</v>
      </c>
      <c r="K346" s="106">
        <f t="shared" si="80"/>
        <v>0</v>
      </c>
    </row>
    <row r="347" spans="10:11" x14ac:dyDescent="0.2">
      <c r="J347" s="106">
        <f t="shared" si="79"/>
        <v>0</v>
      </c>
      <c r="K347" s="106">
        <f t="shared" si="80"/>
        <v>0</v>
      </c>
    </row>
    <row r="348" spans="10:11" x14ac:dyDescent="0.2">
      <c r="J348" s="106">
        <f t="shared" si="79"/>
        <v>0</v>
      </c>
      <c r="K348" s="106">
        <f t="shared" si="80"/>
        <v>0</v>
      </c>
    </row>
    <row r="349" spans="10:11" x14ac:dyDescent="0.2">
      <c r="J349" s="106">
        <f t="shared" si="79"/>
        <v>0</v>
      </c>
      <c r="K349" s="106">
        <f t="shared" si="80"/>
        <v>0</v>
      </c>
    </row>
    <row r="350" spans="10:11" x14ac:dyDescent="0.2">
      <c r="J350" s="106">
        <f t="shared" si="79"/>
        <v>0</v>
      </c>
      <c r="K350" s="106">
        <f t="shared" si="80"/>
        <v>0</v>
      </c>
    </row>
    <row r="351" spans="10:11" x14ac:dyDescent="0.2">
      <c r="J351" s="106">
        <f t="shared" si="79"/>
        <v>0</v>
      </c>
      <c r="K351" s="106">
        <f t="shared" si="80"/>
        <v>0</v>
      </c>
    </row>
    <row r="352" spans="10:11" x14ac:dyDescent="0.2">
      <c r="J352" s="106">
        <f t="shared" si="79"/>
        <v>0</v>
      </c>
      <c r="K352" s="106">
        <f t="shared" si="80"/>
        <v>0</v>
      </c>
    </row>
    <row r="353" spans="10:11" x14ac:dyDescent="0.2">
      <c r="J353" s="106">
        <f t="shared" si="79"/>
        <v>0</v>
      </c>
      <c r="K353" s="106">
        <f t="shared" si="80"/>
        <v>0</v>
      </c>
    </row>
    <row r="354" spans="10:11" x14ac:dyDescent="0.2">
      <c r="J354" s="106">
        <f t="shared" si="79"/>
        <v>0</v>
      </c>
      <c r="K354" s="106">
        <f t="shared" si="80"/>
        <v>0</v>
      </c>
    </row>
    <row r="355" spans="10:11" x14ac:dyDescent="0.2">
      <c r="J355" s="106">
        <f t="shared" si="79"/>
        <v>0</v>
      </c>
      <c r="K355" s="106">
        <f t="shared" si="80"/>
        <v>0</v>
      </c>
    </row>
    <row r="356" spans="10:11" x14ac:dyDescent="0.2">
      <c r="J356" s="106">
        <f t="shared" si="79"/>
        <v>0</v>
      </c>
      <c r="K356" s="106">
        <f t="shared" si="80"/>
        <v>0</v>
      </c>
    </row>
    <row r="357" spans="10:11" x14ac:dyDescent="0.2">
      <c r="J357" s="106">
        <f t="shared" si="79"/>
        <v>0</v>
      </c>
      <c r="K357" s="106">
        <f t="shared" si="80"/>
        <v>0</v>
      </c>
    </row>
    <row r="358" spans="10:11" x14ac:dyDescent="0.2">
      <c r="J358" s="106">
        <f t="shared" si="79"/>
        <v>0</v>
      </c>
      <c r="K358" s="106">
        <f t="shared" si="80"/>
        <v>0</v>
      </c>
    </row>
    <row r="359" spans="10:11" x14ac:dyDescent="0.2">
      <c r="J359" s="106">
        <f t="shared" si="79"/>
        <v>0</v>
      </c>
      <c r="K359" s="106">
        <f t="shared" si="80"/>
        <v>0</v>
      </c>
    </row>
    <row r="360" spans="10:11" x14ac:dyDescent="0.2">
      <c r="J360" s="106">
        <f t="shared" si="79"/>
        <v>0</v>
      </c>
      <c r="K360" s="106">
        <f t="shared" si="80"/>
        <v>0</v>
      </c>
    </row>
    <row r="361" spans="10:11" x14ac:dyDescent="0.2">
      <c r="J361" s="106">
        <f t="shared" si="79"/>
        <v>0</v>
      </c>
      <c r="K361" s="106">
        <f t="shared" si="80"/>
        <v>0</v>
      </c>
    </row>
    <row r="362" spans="10:11" x14ac:dyDescent="0.2">
      <c r="J362" s="106">
        <f t="shared" si="79"/>
        <v>0</v>
      </c>
      <c r="K362" s="106">
        <f t="shared" si="80"/>
        <v>0</v>
      </c>
    </row>
    <row r="363" spans="10:11" x14ac:dyDescent="0.2">
      <c r="J363" s="106">
        <f t="shared" si="79"/>
        <v>0</v>
      </c>
      <c r="K363" s="106">
        <f t="shared" si="80"/>
        <v>0</v>
      </c>
    </row>
    <row r="364" spans="10:11" x14ac:dyDescent="0.2">
      <c r="J364" s="106">
        <f t="shared" si="79"/>
        <v>0</v>
      </c>
      <c r="K364" s="106">
        <f t="shared" si="80"/>
        <v>0</v>
      </c>
    </row>
    <row r="365" spans="10:11" x14ac:dyDescent="0.2">
      <c r="J365" s="106">
        <f t="shared" si="79"/>
        <v>0</v>
      </c>
      <c r="K365" s="106">
        <f t="shared" si="80"/>
        <v>0</v>
      </c>
    </row>
    <row r="366" spans="10:11" x14ac:dyDescent="0.2">
      <c r="J366" s="106">
        <f t="shared" si="79"/>
        <v>0</v>
      </c>
      <c r="K366" s="106">
        <f t="shared" si="80"/>
        <v>0</v>
      </c>
    </row>
    <row r="367" spans="10:11" x14ac:dyDescent="0.2">
      <c r="J367" s="106">
        <f t="shared" si="79"/>
        <v>0</v>
      </c>
      <c r="K367" s="106">
        <f t="shared" si="80"/>
        <v>0</v>
      </c>
    </row>
    <row r="368" spans="10:11" x14ac:dyDescent="0.2">
      <c r="J368" s="106">
        <f t="shared" si="79"/>
        <v>0</v>
      </c>
      <c r="K368" s="106">
        <f t="shared" si="80"/>
        <v>0</v>
      </c>
    </row>
    <row r="369" spans="10:11" x14ac:dyDescent="0.2">
      <c r="J369" s="106">
        <f t="shared" si="79"/>
        <v>0</v>
      </c>
      <c r="K369" s="106">
        <f t="shared" si="80"/>
        <v>0</v>
      </c>
    </row>
    <row r="370" spans="10:11" x14ac:dyDescent="0.2">
      <c r="J370" s="106">
        <f t="shared" si="79"/>
        <v>0</v>
      </c>
      <c r="K370" s="106">
        <f t="shared" si="80"/>
        <v>0</v>
      </c>
    </row>
    <row r="371" spans="10:11" x14ac:dyDescent="0.2">
      <c r="J371" s="106">
        <f t="shared" si="79"/>
        <v>0</v>
      </c>
      <c r="K371" s="106">
        <f t="shared" si="80"/>
        <v>0</v>
      </c>
    </row>
    <row r="372" spans="10:11" x14ac:dyDescent="0.2">
      <c r="J372" s="106">
        <f t="shared" si="79"/>
        <v>0</v>
      </c>
      <c r="K372" s="106">
        <f t="shared" si="80"/>
        <v>0</v>
      </c>
    </row>
    <row r="373" spans="10:11" x14ac:dyDescent="0.2">
      <c r="J373" s="106">
        <f t="shared" si="79"/>
        <v>0</v>
      </c>
      <c r="K373" s="106">
        <f t="shared" si="80"/>
        <v>0</v>
      </c>
    </row>
    <row r="374" spans="10:11" x14ac:dyDescent="0.2">
      <c r="J374" s="106">
        <f t="shared" si="79"/>
        <v>0</v>
      </c>
      <c r="K374" s="106">
        <f t="shared" si="80"/>
        <v>0</v>
      </c>
    </row>
    <row r="375" spans="10:11" x14ac:dyDescent="0.2">
      <c r="J375" s="106">
        <f t="shared" si="79"/>
        <v>0</v>
      </c>
      <c r="K375" s="106">
        <f t="shared" si="80"/>
        <v>0</v>
      </c>
    </row>
    <row r="376" spans="10:11" x14ac:dyDescent="0.2">
      <c r="J376" s="106">
        <f t="shared" si="79"/>
        <v>0</v>
      </c>
      <c r="K376" s="106">
        <f t="shared" si="80"/>
        <v>0</v>
      </c>
    </row>
    <row r="377" spans="10:11" x14ac:dyDescent="0.2">
      <c r="J377" s="106">
        <f t="shared" si="79"/>
        <v>0</v>
      </c>
      <c r="K377" s="106">
        <f t="shared" si="80"/>
        <v>0</v>
      </c>
    </row>
    <row r="378" spans="10:11" x14ac:dyDescent="0.2">
      <c r="J378" s="106">
        <f t="shared" si="79"/>
        <v>0</v>
      </c>
      <c r="K378" s="106">
        <f t="shared" si="80"/>
        <v>0</v>
      </c>
    </row>
    <row r="379" spans="10:11" x14ac:dyDescent="0.2">
      <c r="J379" s="106">
        <f t="shared" si="79"/>
        <v>0</v>
      </c>
      <c r="K379" s="106">
        <f t="shared" si="80"/>
        <v>0</v>
      </c>
    </row>
    <row r="380" spans="10:11" x14ac:dyDescent="0.2">
      <c r="J380" s="106">
        <f t="shared" si="79"/>
        <v>0</v>
      </c>
      <c r="K380" s="106">
        <f t="shared" si="80"/>
        <v>0</v>
      </c>
    </row>
    <row r="381" spans="10:11" x14ac:dyDescent="0.2">
      <c r="J381" s="106">
        <f t="shared" si="79"/>
        <v>0</v>
      </c>
      <c r="K381" s="106">
        <f t="shared" si="80"/>
        <v>0</v>
      </c>
    </row>
    <row r="382" spans="10:11" x14ac:dyDescent="0.2">
      <c r="J382" s="106">
        <f t="shared" si="79"/>
        <v>0</v>
      </c>
      <c r="K382" s="106">
        <f t="shared" si="80"/>
        <v>0</v>
      </c>
    </row>
    <row r="383" spans="10:11" x14ac:dyDescent="0.2">
      <c r="J383" s="106">
        <f t="shared" si="79"/>
        <v>0</v>
      </c>
      <c r="K383" s="106">
        <f t="shared" si="80"/>
        <v>0</v>
      </c>
    </row>
    <row r="384" spans="10:11" x14ac:dyDescent="0.2">
      <c r="J384" s="106">
        <f t="shared" si="79"/>
        <v>0</v>
      </c>
      <c r="K384" s="106">
        <f t="shared" si="80"/>
        <v>0</v>
      </c>
    </row>
    <row r="385" spans="10:11" x14ac:dyDescent="0.2">
      <c r="J385" s="106">
        <f t="shared" si="79"/>
        <v>0</v>
      </c>
      <c r="K385" s="106">
        <f t="shared" si="80"/>
        <v>0</v>
      </c>
    </row>
    <row r="386" spans="10:11" x14ac:dyDescent="0.2">
      <c r="J386" s="106">
        <f t="shared" si="79"/>
        <v>0</v>
      </c>
      <c r="K386" s="106">
        <f t="shared" si="80"/>
        <v>0</v>
      </c>
    </row>
    <row r="387" spans="10:11" x14ac:dyDescent="0.2">
      <c r="J387" s="106">
        <f t="shared" si="79"/>
        <v>0</v>
      </c>
      <c r="K387" s="106">
        <f t="shared" si="80"/>
        <v>0</v>
      </c>
    </row>
    <row r="388" spans="10:11" x14ac:dyDescent="0.2">
      <c r="J388" s="106">
        <f t="shared" ref="J388:J451" si="81">+ROUND(J387-I387,100)</f>
        <v>0</v>
      </c>
      <c r="K388" s="106">
        <f t="shared" ref="K388:K451" si="82">+SIGN(ROUND(J388,0))</f>
        <v>0</v>
      </c>
    </row>
    <row r="389" spans="10:11" x14ac:dyDescent="0.2">
      <c r="J389" s="106">
        <f t="shared" si="81"/>
        <v>0</v>
      </c>
      <c r="K389" s="106">
        <f t="shared" si="82"/>
        <v>0</v>
      </c>
    </row>
    <row r="390" spans="10:11" x14ac:dyDescent="0.2">
      <c r="J390" s="106">
        <f t="shared" si="81"/>
        <v>0</v>
      </c>
      <c r="K390" s="106">
        <f t="shared" si="82"/>
        <v>0</v>
      </c>
    </row>
    <row r="391" spans="10:11" x14ac:dyDescent="0.2">
      <c r="J391" s="106">
        <f t="shared" si="81"/>
        <v>0</v>
      </c>
      <c r="K391" s="106">
        <f t="shared" si="82"/>
        <v>0</v>
      </c>
    </row>
    <row r="392" spans="10:11" x14ac:dyDescent="0.2">
      <c r="J392" s="106">
        <f t="shared" si="81"/>
        <v>0</v>
      </c>
      <c r="K392" s="106">
        <f t="shared" si="82"/>
        <v>0</v>
      </c>
    </row>
    <row r="393" spans="10:11" x14ac:dyDescent="0.2">
      <c r="J393" s="106">
        <f t="shared" si="81"/>
        <v>0</v>
      </c>
      <c r="K393" s="106">
        <f t="shared" si="82"/>
        <v>0</v>
      </c>
    </row>
    <row r="394" spans="10:11" x14ac:dyDescent="0.2">
      <c r="J394" s="106">
        <f t="shared" si="81"/>
        <v>0</v>
      </c>
      <c r="K394" s="106">
        <f t="shared" si="82"/>
        <v>0</v>
      </c>
    </row>
    <row r="395" spans="10:11" x14ac:dyDescent="0.2">
      <c r="J395" s="106">
        <f t="shared" si="81"/>
        <v>0</v>
      </c>
      <c r="K395" s="106">
        <f t="shared" si="82"/>
        <v>0</v>
      </c>
    </row>
    <row r="396" spans="10:11" x14ac:dyDescent="0.2">
      <c r="J396" s="106">
        <f t="shared" si="81"/>
        <v>0</v>
      </c>
      <c r="K396" s="106">
        <f t="shared" si="82"/>
        <v>0</v>
      </c>
    </row>
    <row r="397" spans="10:11" x14ac:dyDescent="0.2">
      <c r="J397" s="106">
        <f t="shared" si="81"/>
        <v>0</v>
      </c>
      <c r="K397" s="106">
        <f t="shared" si="82"/>
        <v>0</v>
      </c>
    </row>
    <row r="398" spans="10:11" x14ac:dyDescent="0.2">
      <c r="J398" s="106">
        <f t="shared" si="81"/>
        <v>0</v>
      </c>
      <c r="K398" s="106">
        <f t="shared" si="82"/>
        <v>0</v>
      </c>
    </row>
    <row r="399" spans="10:11" x14ac:dyDescent="0.2">
      <c r="J399" s="106">
        <f t="shared" si="81"/>
        <v>0</v>
      </c>
      <c r="K399" s="106">
        <f t="shared" si="82"/>
        <v>0</v>
      </c>
    </row>
    <row r="400" spans="10:11" x14ac:dyDescent="0.2">
      <c r="J400" s="106">
        <f t="shared" si="81"/>
        <v>0</v>
      </c>
      <c r="K400" s="106">
        <f t="shared" si="82"/>
        <v>0</v>
      </c>
    </row>
    <row r="401" spans="10:11" x14ac:dyDescent="0.2">
      <c r="J401" s="106">
        <f t="shared" si="81"/>
        <v>0</v>
      </c>
      <c r="K401" s="106">
        <f t="shared" si="82"/>
        <v>0</v>
      </c>
    </row>
    <row r="402" spans="10:11" x14ac:dyDescent="0.2">
      <c r="J402" s="106">
        <f t="shared" si="81"/>
        <v>0</v>
      </c>
      <c r="K402" s="106">
        <f t="shared" si="82"/>
        <v>0</v>
      </c>
    </row>
    <row r="403" spans="10:11" x14ac:dyDescent="0.2">
      <c r="J403" s="106">
        <f t="shared" si="81"/>
        <v>0</v>
      </c>
      <c r="K403" s="106">
        <f t="shared" si="82"/>
        <v>0</v>
      </c>
    </row>
    <row r="404" spans="10:11" x14ac:dyDescent="0.2">
      <c r="J404" s="106">
        <f t="shared" si="81"/>
        <v>0</v>
      </c>
      <c r="K404" s="106">
        <f t="shared" si="82"/>
        <v>0</v>
      </c>
    </row>
    <row r="405" spans="10:11" x14ac:dyDescent="0.2">
      <c r="J405" s="106">
        <f t="shared" si="81"/>
        <v>0</v>
      </c>
      <c r="K405" s="106">
        <f t="shared" si="82"/>
        <v>0</v>
      </c>
    </row>
    <row r="406" spans="10:11" x14ac:dyDescent="0.2">
      <c r="J406" s="106">
        <f t="shared" si="81"/>
        <v>0</v>
      </c>
      <c r="K406" s="106">
        <f t="shared" si="82"/>
        <v>0</v>
      </c>
    </row>
    <row r="407" spans="10:11" x14ac:dyDescent="0.2">
      <c r="J407" s="106">
        <f t="shared" si="81"/>
        <v>0</v>
      </c>
      <c r="K407" s="106">
        <f t="shared" si="82"/>
        <v>0</v>
      </c>
    </row>
    <row r="408" spans="10:11" x14ac:dyDescent="0.2">
      <c r="J408" s="106">
        <f t="shared" si="81"/>
        <v>0</v>
      </c>
      <c r="K408" s="106">
        <f t="shared" si="82"/>
        <v>0</v>
      </c>
    </row>
    <row r="409" spans="10:11" x14ac:dyDescent="0.2">
      <c r="J409" s="106">
        <f t="shared" si="81"/>
        <v>0</v>
      </c>
      <c r="K409" s="106">
        <f t="shared" si="82"/>
        <v>0</v>
      </c>
    </row>
    <row r="410" spans="10:11" x14ac:dyDescent="0.2">
      <c r="J410" s="106">
        <f t="shared" si="81"/>
        <v>0</v>
      </c>
      <c r="K410" s="106">
        <f t="shared" si="82"/>
        <v>0</v>
      </c>
    </row>
    <row r="411" spans="10:11" x14ac:dyDescent="0.2">
      <c r="J411" s="106">
        <f t="shared" si="81"/>
        <v>0</v>
      </c>
      <c r="K411" s="106">
        <f t="shared" si="82"/>
        <v>0</v>
      </c>
    </row>
    <row r="412" spans="10:11" x14ac:dyDescent="0.2">
      <c r="J412" s="106">
        <f t="shared" si="81"/>
        <v>0</v>
      </c>
      <c r="K412" s="106">
        <f t="shared" si="82"/>
        <v>0</v>
      </c>
    </row>
    <row r="413" spans="10:11" x14ac:dyDescent="0.2">
      <c r="J413" s="106">
        <f t="shared" si="81"/>
        <v>0</v>
      </c>
      <c r="K413" s="106">
        <f t="shared" si="82"/>
        <v>0</v>
      </c>
    </row>
    <row r="414" spans="10:11" x14ac:dyDescent="0.2">
      <c r="J414" s="106">
        <f t="shared" si="81"/>
        <v>0</v>
      </c>
      <c r="K414" s="106">
        <f t="shared" si="82"/>
        <v>0</v>
      </c>
    </row>
    <row r="415" spans="10:11" x14ac:dyDescent="0.2">
      <c r="J415" s="106">
        <f t="shared" si="81"/>
        <v>0</v>
      </c>
      <c r="K415" s="106">
        <f t="shared" si="82"/>
        <v>0</v>
      </c>
    </row>
    <row r="416" spans="10:11" x14ac:dyDescent="0.2">
      <c r="J416" s="106">
        <f t="shared" si="81"/>
        <v>0</v>
      </c>
      <c r="K416" s="106">
        <f t="shared" si="82"/>
        <v>0</v>
      </c>
    </row>
    <row r="417" spans="10:11" x14ac:dyDescent="0.2">
      <c r="J417" s="106">
        <f t="shared" si="81"/>
        <v>0</v>
      </c>
      <c r="K417" s="106">
        <f t="shared" si="82"/>
        <v>0</v>
      </c>
    </row>
    <row r="418" spans="10:11" x14ac:dyDescent="0.2">
      <c r="J418" s="106">
        <f t="shared" si="81"/>
        <v>0</v>
      </c>
      <c r="K418" s="106">
        <f t="shared" si="82"/>
        <v>0</v>
      </c>
    </row>
    <row r="419" spans="10:11" x14ac:dyDescent="0.2">
      <c r="J419" s="106">
        <f t="shared" si="81"/>
        <v>0</v>
      </c>
      <c r="K419" s="106">
        <f t="shared" si="82"/>
        <v>0</v>
      </c>
    </row>
    <row r="420" spans="10:11" x14ac:dyDescent="0.2">
      <c r="J420" s="106">
        <f t="shared" si="81"/>
        <v>0</v>
      </c>
      <c r="K420" s="106">
        <f t="shared" si="82"/>
        <v>0</v>
      </c>
    </row>
    <row r="421" spans="10:11" x14ac:dyDescent="0.2">
      <c r="J421" s="106">
        <f t="shared" si="81"/>
        <v>0</v>
      </c>
      <c r="K421" s="106">
        <f t="shared" si="82"/>
        <v>0</v>
      </c>
    </row>
    <row r="422" spans="10:11" x14ac:dyDescent="0.2">
      <c r="J422" s="106">
        <f t="shared" si="81"/>
        <v>0</v>
      </c>
      <c r="K422" s="106">
        <f t="shared" si="82"/>
        <v>0</v>
      </c>
    </row>
    <row r="423" spans="10:11" x14ac:dyDescent="0.2">
      <c r="J423" s="106">
        <f t="shared" si="81"/>
        <v>0</v>
      </c>
      <c r="K423" s="106">
        <f t="shared" si="82"/>
        <v>0</v>
      </c>
    </row>
    <row r="424" spans="10:11" x14ac:dyDescent="0.2">
      <c r="J424" s="106">
        <f t="shared" si="81"/>
        <v>0</v>
      </c>
      <c r="K424" s="106">
        <f t="shared" si="82"/>
        <v>0</v>
      </c>
    </row>
    <row r="425" spans="10:11" x14ac:dyDescent="0.2">
      <c r="J425" s="106">
        <f t="shared" si="81"/>
        <v>0</v>
      </c>
      <c r="K425" s="106">
        <f t="shared" si="82"/>
        <v>0</v>
      </c>
    </row>
    <row r="426" spans="10:11" x14ac:dyDescent="0.2">
      <c r="J426" s="106">
        <f t="shared" si="81"/>
        <v>0</v>
      </c>
      <c r="K426" s="106">
        <f t="shared" si="82"/>
        <v>0</v>
      </c>
    </row>
    <row r="427" spans="10:11" x14ac:dyDescent="0.2">
      <c r="J427" s="106">
        <f t="shared" si="81"/>
        <v>0</v>
      </c>
      <c r="K427" s="106">
        <f t="shared" si="82"/>
        <v>0</v>
      </c>
    </row>
    <row r="428" spans="10:11" x14ac:dyDescent="0.2">
      <c r="J428" s="106">
        <f t="shared" si="81"/>
        <v>0</v>
      </c>
      <c r="K428" s="106">
        <f t="shared" si="82"/>
        <v>0</v>
      </c>
    </row>
    <row r="429" spans="10:11" x14ac:dyDescent="0.2">
      <c r="J429" s="106">
        <f t="shared" si="81"/>
        <v>0</v>
      </c>
      <c r="K429" s="106">
        <f t="shared" si="82"/>
        <v>0</v>
      </c>
    </row>
    <row r="430" spans="10:11" x14ac:dyDescent="0.2">
      <c r="J430" s="106">
        <f t="shared" si="81"/>
        <v>0</v>
      </c>
      <c r="K430" s="106">
        <f t="shared" si="82"/>
        <v>0</v>
      </c>
    </row>
    <row r="431" spans="10:11" x14ac:dyDescent="0.2">
      <c r="J431" s="106">
        <f t="shared" si="81"/>
        <v>0</v>
      </c>
      <c r="K431" s="106">
        <f t="shared" si="82"/>
        <v>0</v>
      </c>
    </row>
    <row r="432" spans="10:11" x14ac:dyDescent="0.2">
      <c r="J432" s="106">
        <f t="shared" si="81"/>
        <v>0</v>
      </c>
      <c r="K432" s="106">
        <f t="shared" si="82"/>
        <v>0</v>
      </c>
    </row>
    <row r="433" spans="10:11" x14ac:dyDescent="0.2">
      <c r="J433" s="106">
        <f t="shared" si="81"/>
        <v>0</v>
      </c>
      <c r="K433" s="106">
        <f t="shared" si="82"/>
        <v>0</v>
      </c>
    </row>
    <row r="434" spans="10:11" x14ac:dyDescent="0.2">
      <c r="J434" s="106">
        <f t="shared" si="81"/>
        <v>0</v>
      </c>
      <c r="K434" s="106">
        <f t="shared" si="82"/>
        <v>0</v>
      </c>
    </row>
    <row r="435" spans="10:11" x14ac:dyDescent="0.2">
      <c r="J435" s="106">
        <f t="shared" si="81"/>
        <v>0</v>
      </c>
      <c r="K435" s="106">
        <f t="shared" si="82"/>
        <v>0</v>
      </c>
    </row>
    <row r="436" spans="10:11" x14ac:dyDescent="0.2">
      <c r="J436" s="106">
        <f t="shared" si="81"/>
        <v>0</v>
      </c>
      <c r="K436" s="106">
        <f t="shared" si="82"/>
        <v>0</v>
      </c>
    </row>
    <row r="437" spans="10:11" x14ac:dyDescent="0.2">
      <c r="J437" s="106">
        <f t="shared" si="81"/>
        <v>0</v>
      </c>
      <c r="K437" s="106">
        <f t="shared" si="82"/>
        <v>0</v>
      </c>
    </row>
    <row r="438" spans="10:11" x14ac:dyDescent="0.2">
      <c r="J438" s="106">
        <f t="shared" si="81"/>
        <v>0</v>
      </c>
      <c r="K438" s="106">
        <f t="shared" si="82"/>
        <v>0</v>
      </c>
    </row>
    <row r="439" spans="10:11" x14ac:dyDescent="0.2">
      <c r="J439" s="106">
        <f t="shared" si="81"/>
        <v>0</v>
      </c>
      <c r="K439" s="106">
        <f t="shared" si="82"/>
        <v>0</v>
      </c>
    </row>
    <row r="440" spans="10:11" x14ac:dyDescent="0.2">
      <c r="J440" s="106">
        <f t="shared" si="81"/>
        <v>0</v>
      </c>
      <c r="K440" s="106">
        <f t="shared" si="82"/>
        <v>0</v>
      </c>
    </row>
    <row r="441" spans="10:11" x14ac:dyDescent="0.2">
      <c r="J441" s="106">
        <f t="shared" si="81"/>
        <v>0</v>
      </c>
      <c r="K441" s="106">
        <f t="shared" si="82"/>
        <v>0</v>
      </c>
    </row>
    <row r="442" spans="10:11" x14ac:dyDescent="0.2">
      <c r="J442" s="106">
        <f t="shared" si="81"/>
        <v>0</v>
      </c>
      <c r="K442" s="106">
        <f t="shared" si="82"/>
        <v>0</v>
      </c>
    </row>
    <row r="443" spans="10:11" x14ac:dyDescent="0.2">
      <c r="J443" s="106">
        <f t="shared" si="81"/>
        <v>0</v>
      </c>
      <c r="K443" s="106">
        <f t="shared" si="82"/>
        <v>0</v>
      </c>
    </row>
    <row r="444" spans="10:11" x14ac:dyDescent="0.2">
      <c r="J444" s="106">
        <f t="shared" si="81"/>
        <v>0</v>
      </c>
      <c r="K444" s="106">
        <f t="shared" si="82"/>
        <v>0</v>
      </c>
    </row>
    <row r="445" spans="10:11" x14ac:dyDescent="0.2">
      <c r="J445" s="106">
        <f t="shared" si="81"/>
        <v>0</v>
      </c>
      <c r="K445" s="106">
        <f t="shared" si="82"/>
        <v>0</v>
      </c>
    </row>
    <row r="446" spans="10:11" x14ac:dyDescent="0.2">
      <c r="J446" s="106">
        <f t="shared" si="81"/>
        <v>0</v>
      </c>
      <c r="K446" s="106">
        <f t="shared" si="82"/>
        <v>0</v>
      </c>
    </row>
    <row r="447" spans="10:11" x14ac:dyDescent="0.2">
      <c r="J447" s="106">
        <f t="shared" si="81"/>
        <v>0</v>
      </c>
      <c r="K447" s="106">
        <f t="shared" si="82"/>
        <v>0</v>
      </c>
    </row>
    <row r="448" spans="10:11" x14ac:dyDescent="0.2">
      <c r="J448" s="106">
        <f t="shared" si="81"/>
        <v>0</v>
      </c>
      <c r="K448" s="106">
        <f t="shared" si="82"/>
        <v>0</v>
      </c>
    </row>
    <row r="449" spans="10:11" x14ac:dyDescent="0.2">
      <c r="J449" s="106">
        <f t="shared" si="81"/>
        <v>0</v>
      </c>
      <c r="K449" s="106">
        <f t="shared" si="82"/>
        <v>0</v>
      </c>
    </row>
    <row r="450" spans="10:11" x14ac:dyDescent="0.2">
      <c r="J450" s="106">
        <f t="shared" si="81"/>
        <v>0</v>
      </c>
      <c r="K450" s="106">
        <f t="shared" si="82"/>
        <v>0</v>
      </c>
    </row>
    <row r="451" spans="10:11" x14ac:dyDescent="0.2">
      <c r="J451" s="106">
        <f t="shared" si="81"/>
        <v>0</v>
      </c>
      <c r="K451" s="106">
        <f t="shared" si="82"/>
        <v>0</v>
      </c>
    </row>
    <row r="452" spans="10:11" x14ac:dyDescent="0.2">
      <c r="J452" s="106">
        <f t="shared" ref="J452:J515" si="83">+ROUND(J451-I451,100)</f>
        <v>0</v>
      </c>
      <c r="K452" s="106">
        <f t="shared" ref="K452:K515" si="84">+SIGN(ROUND(J452,0))</f>
        <v>0</v>
      </c>
    </row>
    <row r="453" spans="10:11" x14ac:dyDescent="0.2">
      <c r="J453" s="106">
        <f t="shared" si="83"/>
        <v>0</v>
      </c>
      <c r="K453" s="106">
        <f t="shared" si="84"/>
        <v>0</v>
      </c>
    </row>
    <row r="454" spans="10:11" x14ac:dyDescent="0.2">
      <c r="J454" s="106">
        <f t="shared" si="83"/>
        <v>0</v>
      </c>
      <c r="K454" s="106">
        <f t="shared" si="84"/>
        <v>0</v>
      </c>
    </row>
    <row r="455" spans="10:11" x14ac:dyDescent="0.2">
      <c r="J455" s="106">
        <f t="shared" si="83"/>
        <v>0</v>
      </c>
      <c r="K455" s="106">
        <f t="shared" si="84"/>
        <v>0</v>
      </c>
    </row>
    <row r="456" spans="10:11" x14ac:dyDescent="0.2">
      <c r="J456" s="106">
        <f t="shared" si="83"/>
        <v>0</v>
      </c>
      <c r="K456" s="106">
        <f t="shared" si="84"/>
        <v>0</v>
      </c>
    </row>
    <row r="457" spans="10:11" x14ac:dyDescent="0.2">
      <c r="J457" s="106">
        <f t="shared" si="83"/>
        <v>0</v>
      </c>
      <c r="K457" s="106">
        <f t="shared" si="84"/>
        <v>0</v>
      </c>
    </row>
    <row r="458" spans="10:11" x14ac:dyDescent="0.2">
      <c r="J458" s="106">
        <f t="shared" si="83"/>
        <v>0</v>
      </c>
      <c r="K458" s="106">
        <f t="shared" si="84"/>
        <v>0</v>
      </c>
    </row>
    <row r="459" spans="10:11" x14ac:dyDescent="0.2">
      <c r="J459" s="106">
        <f t="shared" si="83"/>
        <v>0</v>
      </c>
      <c r="K459" s="106">
        <f t="shared" si="84"/>
        <v>0</v>
      </c>
    </row>
    <row r="460" spans="10:11" x14ac:dyDescent="0.2">
      <c r="J460" s="106">
        <f t="shared" si="83"/>
        <v>0</v>
      </c>
      <c r="K460" s="106">
        <f t="shared" si="84"/>
        <v>0</v>
      </c>
    </row>
    <row r="461" spans="10:11" x14ac:dyDescent="0.2">
      <c r="J461" s="106">
        <f t="shared" si="83"/>
        <v>0</v>
      </c>
      <c r="K461" s="106">
        <f t="shared" si="84"/>
        <v>0</v>
      </c>
    </row>
    <row r="462" spans="10:11" x14ac:dyDescent="0.2">
      <c r="J462" s="106">
        <f t="shared" si="83"/>
        <v>0</v>
      </c>
      <c r="K462" s="106">
        <f t="shared" si="84"/>
        <v>0</v>
      </c>
    </row>
    <row r="463" spans="10:11" x14ac:dyDescent="0.2">
      <c r="J463" s="106">
        <f t="shared" si="83"/>
        <v>0</v>
      </c>
      <c r="K463" s="106">
        <f t="shared" si="84"/>
        <v>0</v>
      </c>
    </row>
    <row r="464" spans="10:11" x14ac:dyDescent="0.2">
      <c r="J464" s="106">
        <f t="shared" si="83"/>
        <v>0</v>
      </c>
      <c r="K464" s="106">
        <f t="shared" si="84"/>
        <v>0</v>
      </c>
    </row>
    <row r="465" spans="10:11" x14ac:dyDescent="0.2">
      <c r="J465" s="106">
        <f t="shared" si="83"/>
        <v>0</v>
      </c>
      <c r="K465" s="106">
        <f t="shared" si="84"/>
        <v>0</v>
      </c>
    </row>
    <row r="466" spans="10:11" x14ac:dyDescent="0.2">
      <c r="J466" s="106">
        <f t="shared" si="83"/>
        <v>0</v>
      </c>
      <c r="K466" s="106">
        <f t="shared" si="84"/>
        <v>0</v>
      </c>
    </row>
    <row r="467" spans="10:11" x14ac:dyDescent="0.2">
      <c r="J467" s="106">
        <f t="shared" si="83"/>
        <v>0</v>
      </c>
      <c r="K467" s="106">
        <f t="shared" si="84"/>
        <v>0</v>
      </c>
    </row>
    <row r="468" spans="10:11" x14ac:dyDescent="0.2">
      <c r="J468" s="106">
        <f t="shared" si="83"/>
        <v>0</v>
      </c>
      <c r="K468" s="106">
        <f t="shared" si="84"/>
        <v>0</v>
      </c>
    </row>
    <row r="469" spans="10:11" x14ac:dyDescent="0.2">
      <c r="J469" s="106">
        <f t="shared" si="83"/>
        <v>0</v>
      </c>
      <c r="K469" s="106">
        <f t="shared" si="84"/>
        <v>0</v>
      </c>
    </row>
    <row r="470" spans="10:11" x14ac:dyDescent="0.2">
      <c r="J470" s="106">
        <f t="shared" si="83"/>
        <v>0</v>
      </c>
      <c r="K470" s="106">
        <f t="shared" si="84"/>
        <v>0</v>
      </c>
    </row>
    <row r="471" spans="10:11" x14ac:dyDescent="0.2">
      <c r="J471" s="106">
        <f t="shared" si="83"/>
        <v>0</v>
      </c>
      <c r="K471" s="106">
        <f t="shared" si="84"/>
        <v>0</v>
      </c>
    </row>
    <row r="472" spans="10:11" x14ac:dyDescent="0.2">
      <c r="J472" s="106">
        <f t="shared" si="83"/>
        <v>0</v>
      </c>
      <c r="K472" s="106">
        <f t="shared" si="84"/>
        <v>0</v>
      </c>
    </row>
    <row r="473" spans="10:11" x14ac:dyDescent="0.2">
      <c r="J473" s="106">
        <f t="shared" si="83"/>
        <v>0</v>
      </c>
      <c r="K473" s="106">
        <f t="shared" si="84"/>
        <v>0</v>
      </c>
    </row>
    <row r="474" spans="10:11" x14ac:dyDescent="0.2">
      <c r="J474" s="106">
        <f t="shared" si="83"/>
        <v>0</v>
      </c>
      <c r="K474" s="106">
        <f t="shared" si="84"/>
        <v>0</v>
      </c>
    </row>
    <row r="475" spans="10:11" x14ac:dyDescent="0.2">
      <c r="J475" s="106">
        <f t="shared" si="83"/>
        <v>0</v>
      </c>
      <c r="K475" s="106">
        <f t="shared" si="84"/>
        <v>0</v>
      </c>
    </row>
    <row r="476" spans="10:11" x14ac:dyDescent="0.2">
      <c r="J476" s="106">
        <f t="shared" si="83"/>
        <v>0</v>
      </c>
      <c r="K476" s="106">
        <f t="shared" si="84"/>
        <v>0</v>
      </c>
    </row>
    <row r="477" spans="10:11" x14ac:dyDescent="0.2">
      <c r="J477" s="106">
        <f t="shared" si="83"/>
        <v>0</v>
      </c>
      <c r="K477" s="106">
        <f t="shared" si="84"/>
        <v>0</v>
      </c>
    </row>
    <row r="478" spans="10:11" x14ac:dyDescent="0.2">
      <c r="J478" s="106">
        <f t="shared" si="83"/>
        <v>0</v>
      </c>
      <c r="K478" s="106">
        <f t="shared" si="84"/>
        <v>0</v>
      </c>
    </row>
    <row r="479" spans="10:11" x14ac:dyDescent="0.2">
      <c r="J479" s="106">
        <f t="shared" si="83"/>
        <v>0</v>
      </c>
      <c r="K479" s="106">
        <f t="shared" si="84"/>
        <v>0</v>
      </c>
    </row>
    <row r="480" spans="10:11" x14ac:dyDescent="0.2">
      <c r="J480" s="106">
        <f t="shared" si="83"/>
        <v>0</v>
      </c>
      <c r="K480" s="106">
        <f t="shared" si="84"/>
        <v>0</v>
      </c>
    </row>
    <row r="481" spans="10:11" x14ac:dyDescent="0.2">
      <c r="J481" s="106">
        <f t="shared" si="83"/>
        <v>0</v>
      </c>
      <c r="K481" s="106">
        <f t="shared" si="84"/>
        <v>0</v>
      </c>
    </row>
    <row r="482" spans="10:11" x14ac:dyDescent="0.2">
      <c r="J482" s="106">
        <f t="shared" si="83"/>
        <v>0</v>
      </c>
      <c r="K482" s="106">
        <f t="shared" si="84"/>
        <v>0</v>
      </c>
    </row>
    <row r="483" spans="10:11" x14ac:dyDescent="0.2">
      <c r="J483" s="106">
        <f t="shared" si="83"/>
        <v>0</v>
      </c>
      <c r="K483" s="106">
        <f t="shared" si="84"/>
        <v>0</v>
      </c>
    </row>
    <row r="484" spans="10:11" x14ac:dyDescent="0.2">
      <c r="J484" s="106">
        <f t="shared" si="83"/>
        <v>0</v>
      </c>
      <c r="K484" s="106">
        <f t="shared" si="84"/>
        <v>0</v>
      </c>
    </row>
    <row r="485" spans="10:11" x14ac:dyDescent="0.2">
      <c r="J485" s="106">
        <f t="shared" si="83"/>
        <v>0</v>
      </c>
      <c r="K485" s="106">
        <f t="shared" si="84"/>
        <v>0</v>
      </c>
    </row>
    <row r="486" spans="10:11" x14ac:dyDescent="0.2">
      <c r="J486" s="106">
        <f t="shared" si="83"/>
        <v>0</v>
      </c>
      <c r="K486" s="106">
        <f t="shared" si="84"/>
        <v>0</v>
      </c>
    </row>
    <row r="487" spans="10:11" x14ac:dyDescent="0.2">
      <c r="J487" s="106">
        <f t="shared" si="83"/>
        <v>0</v>
      </c>
      <c r="K487" s="106">
        <f t="shared" si="84"/>
        <v>0</v>
      </c>
    </row>
    <row r="488" spans="10:11" x14ac:dyDescent="0.2">
      <c r="J488" s="106">
        <f t="shared" si="83"/>
        <v>0</v>
      </c>
      <c r="K488" s="106">
        <f t="shared" si="84"/>
        <v>0</v>
      </c>
    </row>
    <row r="489" spans="10:11" x14ac:dyDescent="0.2">
      <c r="J489" s="106">
        <f t="shared" si="83"/>
        <v>0</v>
      </c>
      <c r="K489" s="106">
        <f t="shared" si="84"/>
        <v>0</v>
      </c>
    </row>
    <row r="490" spans="10:11" x14ac:dyDescent="0.2">
      <c r="J490" s="106">
        <f t="shared" si="83"/>
        <v>0</v>
      </c>
      <c r="K490" s="106">
        <f t="shared" si="84"/>
        <v>0</v>
      </c>
    </row>
    <row r="491" spans="10:11" x14ac:dyDescent="0.2">
      <c r="J491" s="106">
        <f t="shared" si="83"/>
        <v>0</v>
      </c>
      <c r="K491" s="106">
        <f t="shared" si="84"/>
        <v>0</v>
      </c>
    </row>
    <row r="492" spans="10:11" x14ac:dyDescent="0.2">
      <c r="J492" s="106">
        <f t="shared" si="83"/>
        <v>0</v>
      </c>
      <c r="K492" s="106">
        <f t="shared" si="84"/>
        <v>0</v>
      </c>
    </row>
    <row r="493" spans="10:11" x14ac:dyDescent="0.2">
      <c r="J493" s="106">
        <f t="shared" si="83"/>
        <v>0</v>
      </c>
      <c r="K493" s="106">
        <f t="shared" si="84"/>
        <v>0</v>
      </c>
    </row>
    <row r="494" spans="10:11" x14ac:dyDescent="0.2">
      <c r="J494" s="106">
        <f t="shared" si="83"/>
        <v>0</v>
      </c>
      <c r="K494" s="106">
        <f t="shared" si="84"/>
        <v>0</v>
      </c>
    </row>
    <row r="495" spans="10:11" x14ac:dyDescent="0.2">
      <c r="J495" s="106">
        <f t="shared" si="83"/>
        <v>0</v>
      </c>
      <c r="K495" s="106">
        <f t="shared" si="84"/>
        <v>0</v>
      </c>
    </row>
    <row r="496" spans="10:11" x14ac:dyDescent="0.2">
      <c r="J496" s="106">
        <f t="shared" si="83"/>
        <v>0</v>
      </c>
      <c r="K496" s="106">
        <f t="shared" si="84"/>
        <v>0</v>
      </c>
    </row>
    <row r="497" spans="10:11" x14ac:dyDescent="0.2">
      <c r="J497" s="106">
        <f t="shared" si="83"/>
        <v>0</v>
      </c>
      <c r="K497" s="106">
        <f t="shared" si="84"/>
        <v>0</v>
      </c>
    </row>
    <row r="498" spans="10:11" x14ac:dyDescent="0.2">
      <c r="J498" s="106">
        <f t="shared" si="83"/>
        <v>0</v>
      </c>
      <c r="K498" s="106">
        <f t="shared" si="84"/>
        <v>0</v>
      </c>
    </row>
    <row r="499" spans="10:11" x14ac:dyDescent="0.2">
      <c r="J499" s="106">
        <f t="shared" si="83"/>
        <v>0</v>
      </c>
      <c r="K499" s="106">
        <f t="shared" si="84"/>
        <v>0</v>
      </c>
    </row>
    <row r="500" spans="10:11" x14ac:dyDescent="0.2">
      <c r="J500" s="106">
        <f t="shared" si="83"/>
        <v>0</v>
      </c>
      <c r="K500" s="106">
        <f t="shared" si="84"/>
        <v>0</v>
      </c>
    </row>
    <row r="501" spans="10:11" x14ac:dyDescent="0.2">
      <c r="J501" s="106">
        <f t="shared" si="83"/>
        <v>0</v>
      </c>
      <c r="K501" s="106">
        <f t="shared" si="84"/>
        <v>0</v>
      </c>
    </row>
    <row r="502" spans="10:11" x14ac:dyDescent="0.2">
      <c r="J502" s="106">
        <f t="shared" si="83"/>
        <v>0</v>
      </c>
      <c r="K502" s="106">
        <f t="shared" si="84"/>
        <v>0</v>
      </c>
    </row>
    <row r="503" spans="10:11" x14ac:dyDescent="0.2">
      <c r="J503" s="106">
        <f t="shared" si="83"/>
        <v>0</v>
      </c>
      <c r="K503" s="106">
        <f t="shared" si="84"/>
        <v>0</v>
      </c>
    </row>
    <row r="504" spans="10:11" x14ac:dyDescent="0.2">
      <c r="J504" s="106">
        <f t="shared" si="83"/>
        <v>0</v>
      </c>
      <c r="K504" s="106">
        <f t="shared" si="84"/>
        <v>0</v>
      </c>
    </row>
    <row r="505" spans="10:11" x14ac:dyDescent="0.2">
      <c r="J505" s="106">
        <f t="shared" si="83"/>
        <v>0</v>
      </c>
      <c r="K505" s="106">
        <f t="shared" si="84"/>
        <v>0</v>
      </c>
    </row>
    <row r="506" spans="10:11" x14ac:dyDescent="0.2">
      <c r="J506" s="106">
        <f t="shared" si="83"/>
        <v>0</v>
      </c>
      <c r="K506" s="106">
        <f t="shared" si="84"/>
        <v>0</v>
      </c>
    </row>
    <row r="507" spans="10:11" x14ac:dyDescent="0.2">
      <c r="J507" s="106">
        <f t="shared" si="83"/>
        <v>0</v>
      </c>
      <c r="K507" s="106">
        <f t="shared" si="84"/>
        <v>0</v>
      </c>
    </row>
    <row r="508" spans="10:11" x14ac:dyDescent="0.2">
      <c r="J508" s="106">
        <f t="shared" si="83"/>
        <v>0</v>
      </c>
      <c r="K508" s="106">
        <f t="shared" si="84"/>
        <v>0</v>
      </c>
    </row>
    <row r="509" spans="10:11" x14ac:dyDescent="0.2">
      <c r="J509" s="106">
        <f t="shared" si="83"/>
        <v>0</v>
      </c>
      <c r="K509" s="106">
        <f t="shared" si="84"/>
        <v>0</v>
      </c>
    </row>
    <row r="510" spans="10:11" x14ac:dyDescent="0.2">
      <c r="J510" s="106">
        <f t="shared" si="83"/>
        <v>0</v>
      </c>
      <c r="K510" s="106">
        <f t="shared" si="84"/>
        <v>0</v>
      </c>
    </row>
    <row r="511" spans="10:11" x14ac:dyDescent="0.2">
      <c r="J511" s="106">
        <f t="shared" si="83"/>
        <v>0</v>
      </c>
      <c r="K511" s="106">
        <f t="shared" si="84"/>
        <v>0</v>
      </c>
    </row>
    <row r="512" spans="10:11" x14ac:dyDescent="0.2">
      <c r="J512" s="106">
        <f t="shared" si="83"/>
        <v>0</v>
      </c>
      <c r="K512" s="106">
        <f t="shared" si="84"/>
        <v>0</v>
      </c>
    </row>
    <row r="513" spans="10:11" x14ac:dyDescent="0.2">
      <c r="J513" s="106">
        <f t="shared" si="83"/>
        <v>0</v>
      </c>
      <c r="K513" s="106">
        <f t="shared" si="84"/>
        <v>0</v>
      </c>
    </row>
    <row r="514" spans="10:11" x14ac:dyDescent="0.2">
      <c r="J514" s="106">
        <f t="shared" si="83"/>
        <v>0</v>
      </c>
      <c r="K514" s="106">
        <f t="shared" si="84"/>
        <v>0</v>
      </c>
    </row>
    <row r="515" spans="10:11" x14ac:dyDescent="0.2">
      <c r="J515" s="106">
        <f t="shared" si="83"/>
        <v>0</v>
      </c>
      <c r="K515" s="106">
        <f t="shared" si="84"/>
        <v>0</v>
      </c>
    </row>
    <row r="516" spans="10:11" x14ac:dyDescent="0.2">
      <c r="J516" s="106">
        <f t="shared" ref="J516:J579" si="85">+ROUND(J515-I515,100)</f>
        <v>0</v>
      </c>
      <c r="K516" s="106">
        <f t="shared" ref="K516:K579" si="86">+SIGN(ROUND(J516,0))</f>
        <v>0</v>
      </c>
    </row>
    <row r="517" spans="10:11" x14ac:dyDescent="0.2">
      <c r="J517" s="106">
        <f t="shared" si="85"/>
        <v>0</v>
      </c>
      <c r="K517" s="106">
        <f t="shared" si="86"/>
        <v>0</v>
      </c>
    </row>
    <row r="518" spans="10:11" x14ac:dyDescent="0.2">
      <c r="J518" s="106">
        <f t="shared" si="85"/>
        <v>0</v>
      </c>
      <c r="K518" s="106">
        <f t="shared" si="86"/>
        <v>0</v>
      </c>
    </row>
    <row r="519" spans="10:11" x14ac:dyDescent="0.2">
      <c r="J519" s="106">
        <f t="shared" si="85"/>
        <v>0</v>
      </c>
      <c r="K519" s="106">
        <f t="shared" si="86"/>
        <v>0</v>
      </c>
    </row>
    <row r="520" spans="10:11" x14ac:dyDescent="0.2">
      <c r="J520" s="106">
        <f t="shared" si="85"/>
        <v>0</v>
      </c>
      <c r="K520" s="106">
        <f t="shared" si="86"/>
        <v>0</v>
      </c>
    </row>
    <row r="521" spans="10:11" x14ac:dyDescent="0.2">
      <c r="J521" s="106">
        <f t="shared" si="85"/>
        <v>0</v>
      </c>
      <c r="K521" s="106">
        <f t="shared" si="86"/>
        <v>0</v>
      </c>
    </row>
    <row r="522" spans="10:11" x14ac:dyDescent="0.2">
      <c r="J522" s="106">
        <f t="shared" si="85"/>
        <v>0</v>
      </c>
      <c r="K522" s="106">
        <f t="shared" si="86"/>
        <v>0</v>
      </c>
    </row>
    <row r="523" spans="10:11" x14ac:dyDescent="0.2">
      <c r="J523" s="106">
        <f t="shared" si="85"/>
        <v>0</v>
      </c>
      <c r="K523" s="106">
        <f t="shared" si="86"/>
        <v>0</v>
      </c>
    </row>
    <row r="524" spans="10:11" x14ac:dyDescent="0.2">
      <c r="J524" s="106">
        <f t="shared" si="85"/>
        <v>0</v>
      </c>
      <c r="K524" s="106">
        <f t="shared" si="86"/>
        <v>0</v>
      </c>
    </row>
    <row r="525" spans="10:11" x14ac:dyDescent="0.2">
      <c r="J525" s="106">
        <f t="shared" si="85"/>
        <v>0</v>
      </c>
      <c r="K525" s="106">
        <f t="shared" si="86"/>
        <v>0</v>
      </c>
    </row>
    <row r="526" spans="10:11" x14ac:dyDescent="0.2">
      <c r="J526" s="106">
        <f t="shared" si="85"/>
        <v>0</v>
      </c>
      <c r="K526" s="106">
        <f t="shared" si="86"/>
        <v>0</v>
      </c>
    </row>
    <row r="527" spans="10:11" x14ac:dyDescent="0.2">
      <c r="J527" s="106">
        <f t="shared" si="85"/>
        <v>0</v>
      </c>
      <c r="K527" s="106">
        <f t="shared" si="86"/>
        <v>0</v>
      </c>
    </row>
    <row r="528" spans="10:11" x14ac:dyDescent="0.2">
      <c r="J528" s="106">
        <f t="shared" si="85"/>
        <v>0</v>
      </c>
      <c r="K528" s="106">
        <f t="shared" si="86"/>
        <v>0</v>
      </c>
    </row>
    <row r="529" spans="10:11" x14ac:dyDescent="0.2">
      <c r="J529" s="106">
        <f t="shared" si="85"/>
        <v>0</v>
      </c>
      <c r="K529" s="106">
        <f t="shared" si="86"/>
        <v>0</v>
      </c>
    </row>
    <row r="530" spans="10:11" x14ac:dyDescent="0.2">
      <c r="J530" s="106">
        <f t="shared" si="85"/>
        <v>0</v>
      </c>
      <c r="K530" s="106">
        <f t="shared" si="86"/>
        <v>0</v>
      </c>
    </row>
    <row r="531" spans="10:11" x14ac:dyDescent="0.2">
      <c r="J531" s="106">
        <f t="shared" si="85"/>
        <v>0</v>
      </c>
      <c r="K531" s="106">
        <f t="shared" si="86"/>
        <v>0</v>
      </c>
    </row>
    <row r="532" spans="10:11" x14ac:dyDescent="0.2">
      <c r="J532" s="106">
        <f t="shared" si="85"/>
        <v>0</v>
      </c>
      <c r="K532" s="106">
        <f t="shared" si="86"/>
        <v>0</v>
      </c>
    </row>
    <row r="533" spans="10:11" x14ac:dyDescent="0.2">
      <c r="J533" s="106">
        <f t="shared" si="85"/>
        <v>0</v>
      </c>
      <c r="K533" s="106">
        <f t="shared" si="86"/>
        <v>0</v>
      </c>
    </row>
    <row r="534" spans="10:11" x14ac:dyDescent="0.2">
      <c r="J534" s="106">
        <f t="shared" si="85"/>
        <v>0</v>
      </c>
      <c r="K534" s="106">
        <f t="shared" si="86"/>
        <v>0</v>
      </c>
    </row>
    <row r="535" spans="10:11" x14ac:dyDescent="0.2">
      <c r="J535" s="106">
        <f t="shared" si="85"/>
        <v>0</v>
      </c>
      <c r="K535" s="106">
        <f t="shared" si="86"/>
        <v>0</v>
      </c>
    </row>
    <row r="536" spans="10:11" x14ac:dyDescent="0.2">
      <c r="J536" s="106">
        <f t="shared" si="85"/>
        <v>0</v>
      </c>
      <c r="K536" s="106">
        <f t="shared" si="86"/>
        <v>0</v>
      </c>
    </row>
    <row r="537" spans="10:11" x14ac:dyDescent="0.2">
      <c r="J537" s="106">
        <f t="shared" si="85"/>
        <v>0</v>
      </c>
      <c r="K537" s="106">
        <f t="shared" si="86"/>
        <v>0</v>
      </c>
    </row>
    <row r="538" spans="10:11" x14ac:dyDescent="0.2">
      <c r="J538" s="106">
        <f t="shared" si="85"/>
        <v>0</v>
      </c>
      <c r="K538" s="106">
        <f t="shared" si="86"/>
        <v>0</v>
      </c>
    </row>
    <row r="539" spans="10:11" x14ac:dyDescent="0.2">
      <c r="J539" s="106">
        <f t="shared" si="85"/>
        <v>0</v>
      </c>
      <c r="K539" s="106">
        <f t="shared" si="86"/>
        <v>0</v>
      </c>
    </row>
    <row r="540" spans="10:11" x14ac:dyDescent="0.2">
      <c r="J540" s="106">
        <f t="shared" si="85"/>
        <v>0</v>
      </c>
      <c r="K540" s="106">
        <f t="shared" si="86"/>
        <v>0</v>
      </c>
    </row>
    <row r="541" spans="10:11" x14ac:dyDescent="0.2">
      <c r="J541" s="106">
        <f t="shared" si="85"/>
        <v>0</v>
      </c>
      <c r="K541" s="106">
        <f t="shared" si="86"/>
        <v>0</v>
      </c>
    </row>
    <row r="542" spans="10:11" x14ac:dyDescent="0.2">
      <c r="J542" s="106">
        <f t="shared" si="85"/>
        <v>0</v>
      </c>
      <c r="K542" s="106">
        <f t="shared" si="86"/>
        <v>0</v>
      </c>
    </row>
    <row r="543" spans="10:11" x14ac:dyDescent="0.2">
      <c r="J543" s="106">
        <f t="shared" si="85"/>
        <v>0</v>
      </c>
      <c r="K543" s="106">
        <f t="shared" si="86"/>
        <v>0</v>
      </c>
    </row>
    <row r="544" spans="10:11" x14ac:dyDescent="0.2">
      <c r="J544" s="106">
        <f t="shared" si="85"/>
        <v>0</v>
      </c>
      <c r="K544" s="106">
        <f t="shared" si="86"/>
        <v>0</v>
      </c>
    </row>
    <row r="545" spans="10:11" x14ac:dyDescent="0.2">
      <c r="J545" s="106">
        <f t="shared" si="85"/>
        <v>0</v>
      </c>
      <c r="K545" s="106">
        <f t="shared" si="86"/>
        <v>0</v>
      </c>
    </row>
    <row r="546" spans="10:11" x14ac:dyDescent="0.2">
      <c r="J546" s="106">
        <f t="shared" si="85"/>
        <v>0</v>
      </c>
      <c r="K546" s="106">
        <f t="shared" si="86"/>
        <v>0</v>
      </c>
    </row>
    <row r="547" spans="10:11" x14ac:dyDescent="0.2">
      <c r="J547" s="106">
        <f t="shared" si="85"/>
        <v>0</v>
      </c>
      <c r="K547" s="106">
        <f t="shared" si="86"/>
        <v>0</v>
      </c>
    </row>
    <row r="548" spans="10:11" x14ac:dyDescent="0.2">
      <c r="J548" s="106">
        <f t="shared" si="85"/>
        <v>0</v>
      </c>
      <c r="K548" s="106">
        <f t="shared" si="86"/>
        <v>0</v>
      </c>
    </row>
    <row r="549" spans="10:11" x14ac:dyDescent="0.2">
      <c r="J549" s="106">
        <f t="shared" si="85"/>
        <v>0</v>
      </c>
      <c r="K549" s="106">
        <f t="shared" si="86"/>
        <v>0</v>
      </c>
    </row>
    <row r="550" spans="10:11" x14ac:dyDescent="0.2">
      <c r="J550" s="106">
        <f t="shared" si="85"/>
        <v>0</v>
      </c>
      <c r="K550" s="106">
        <f t="shared" si="86"/>
        <v>0</v>
      </c>
    </row>
    <row r="551" spans="10:11" x14ac:dyDescent="0.2">
      <c r="J551" s="106">
        <f t="shared" si="85"/>
        <v>0</v>
      </c>
      <c r="K551" s="106">
        <f t="shared" si="86"/>
        <v>0</v>
      </c>
    </row>
    <row r="552" spans="10:11" x14ac:dyDescent="0.2">
      <c r="J552" s="106">
        <f t="shared" si="85"/>
        <v>0</v>
      </c>
      <c r="K552" s="106">
        <f t="shared" si="86"/>
        <v>0</v>
      </c>
    </row>
    <row r="553" spans="10:11" x14ac:dyDescent="0.2">
      <c r="J553" s="106">
        <f t="shared" si="85"/>
        <v>0</v>
      </c>
      <c r="K553" s="106">
        <f t="shared" si="86"/>
        <v>0</v>
      </c>
    </row>
    <row r="554" spans="10:11" x14ac:dyDescent="0.2">
      <c r="J554" s="106">
        <f t="shared" si="85"/>
        <v>0</v>
      </c>
      <c r="K554" s="106">
        <f t="shared" si="86"/>
        <v>0</v>
      </c>
    </row>
    <row r="555" spans="10:11" x14ac:dyDescent="0.2">
      <c r="J555" s="106">
        <f t="shared" si="85"/>
        <v>0</v>
      </c>
      <c r="K555" s="106">
        <f t="shared" si="86"/>
        <v>0</v>
      </c>
    </row>
    <row r="556" spans="10:11" x14ac:dyDescent="0.2">
      <c r="J556" s="106">
        <f t="shared" si="85"/>
        <v>0</v>
      </c>
      <c r="K556" s="106">
        <f t="shared" si="86"/>
        <v>0</v>
      </c>
    </row>
    <row r="557" spans="10:11" x14ac:dyDescent="0.2">
      <c r="J557" s="106">
        <f t="shared" si="85"/>
        <v>0</v>
      </c>
      <c r="K557" s="106">
        <f t="shared" si="86"/>
        <v>0</v>
      </c>
    </row>
    <row r="558" spans="10:11" x14ac:dyDescent="0.2">
      <c r="J558" s="106">
        <f t="shared" si="85"/>
        <v>0</v>
      </c>
      <c r="K558" s="106">
        <f t="shared" si="86"/>
        <v>0</v>
      </c>
    </row>
    <row r="559" spans="10:11" x14ac:dyDescent="0.2">
      <c r="J559" s="106">
        <f t="shared" si="85"/>
        <v>0</v>
      </c>
      <c r="K559" s="106">
        <f t="shared" si="86"/>
        <v>0</v>
      </c>
    </row>
    <row r="560" spans="10:11" x14ac:dyDescent="0.2">
      <c r="J560" s="106">
        <f t="shared" si="85"/>
        <v>0</v>
      </c>
      <c r="K560" s="106">
        <f t="shared" si="86"/>
        <v>0</v>
      </c>
    </row>
    <row r="561" spans="10:11" x14ac:dyDescent="0.2">
      <c r="J561" s="106">
        <f t="shared" si="85"/>
        <v>0</v>
      </c>
      <c r="K561" s="106">
        <f t="shared" si="86"/>
        <v>0</v>
      </c>
    </row>
    <row r="562" spans="10:11" x14ac:dyDescent="0.2">
      <c r="J562" s="106">
        <f t="shared" si="85"/>
        <v>0</v>
      </c>
      <c r="K562" s="106">
        <f t="shared" si="86"/>
        <v>0</v>
      </c>
    </row>
    <row r="563" spans="10:11" x14ac:dyDescent="0.2">
      <c r="J563" s="106">
        <f t="shared" si="85"/>
        <v>0</v>
      </c>
      <c r="K563" s="106">
        <f t="shared" si="86"/>
        <v>0</v>
      </c>
    </row>
    <row r="564" spans="10:11" x14ac:dyDescent="0.2">
      <c r="J564" s="106">
        <f t="shared" si="85"/>
        <v>0</v>
      </c>
      <c r="K564" s="106">
        <f t="shared" si="86"/>
        <v>0</v>
      </c>
    </row>
    <row r="565" spans="10:11" x14ac:dyDescent="0.2">
      <c r="J565" s="106">
        <f t="shared" si="85"/>
        <v>0</v>
      </c>
      <c r="K565" s="106">
        <f t="shared" si="86"/>
        <v>0</v>
      </c>
    </row>
    <row r="566" spans="10:11" x14ac:dyDescent="0.2">
      <c r="J566" s="106">
        <f t="shared" si="85"/>
        <v>0</v>
      </c>
      <c r="K566" s="106">
        <f t="shared" si="86"/>
        <v>0</v>
      </c>
    </row>
    <row r="567" spans="10:11" x14ac:dyDescent="0.2">
      <c r="J567" s="106">
        <f t="shared" si="85"/>
        <v>0</v>
      </c>
      <c r="K567" s="106">
        <f t="shared" si="86"/>
        <v>0</v>
      </c>
    </row>
    <row r="568" spans="10:11" x14ac:dyDescent="0.2">
      <c r="J568" s="106">
        <f t="shared" si="85"/>
        <v>0</v>
      </c>
      <c r="K568" s="106">
        <f t="shared" si="86"/>
        <v>0</v>
      </c>
    </row>
    <row r="569" spans="10:11" x14ac:dyDescent="0.2">
      <c r="J569" s="106">
        <f t="shared" si="85"/>
        <v>0</v>
      </c>
      <c r="K569" s="106">
        <f t="shared" si="86"/>
        <v>0</v>
      </c>
    </row>
    <row r="570" spans="10:11" x14ac:dyDescent="0.2">
      <c r="J570" s="106">
        <f t="shared" si="85"/>
        <v>0</v>
      </c>
      <c r="K570" s="106">
        <f t="shared" si="86"/>
        <v>0</v>
      </c>
    </row>
    <row r="571" spans="10:11" x14ac:dyDescent="0.2">
      <c r="J571" s="106">
        <f t="shared" si="85"/>
        <v>0</v>
      </c>
      <c r="K571" s="106">
        <f t="shared" si="86"/>
        <v>0</v>
      </c>
    </row>
    <row r="572" spans="10:11" x14ac:dyDescent="0.2">
      <c r="J572" s="106">
        <f t="shared" si="85"/>
        <v>0</v>
      </c>
      <c r="K572" s="106">
        <f t="shared" si="86"/>
        <v>0</v>
      </c>
    </row>
    <row r="573" spans="10:11" x14ac:dyDescent="0.2">
      <c r="J573" s="106">
        <f t="shared" si="85"/>
        <v>0</v>
      </c>
      <c r="K573" s="106">
        <f t="shared" si="86"/>
        <v>0</v>
      </c>
    </row>
    <row r="574" spans="10:11" x14ac:dyDescent="0.2">
      <c r="J574" s="106">
        <f t="shared" si="85"/>
        <v>0</v>
      </c>
      <c r="K574" s="106">
        <f t="shared" si="86"/>
        <v>0</v>
      </c>
    </row>
    <row r="575" spans="10:11" x14ac:dyDescent="0.2">
      <c r="J575" s="106">
        <f t="shared" si="85"/>
        <v>0</v>
      </c>
      <c r="K575" s="106">
        <f t="shared" si="86"/>
        <v>0</v>
      </c>
    </row>
    <row r="576" spans="10:11" x14ac:dyDescent="0.2">
      <c r="J576" s="106">
        <f t="shared" si="85"/>
        <v>0</v>
      </c>
      <c r="K576" s="106">
        <f t="shared" si="86"/>
        <v>0</v>
      </c>
    </row>
    <row r="577" spans="10:11" x14ac:dyDescent="0.2">
      <c r="J577" s="106">
        <f t="shared" si="85"/>
        <v>0</v>
      </c>
      <c r="K577" s="106">
        <f t="shared" si="86"/>
        <v>0</v>
      </c>
    </row>
    <row r="578" spans="10:11" x14ac:dyDescent="0.2">
      <c r="J578" s="106">
        <f t="shared" si="85"/>
        <v>0</v>
      </c>
      <c r="K578" s="106">
        <f t="shared" si="86"/>
        <v>0</v>
      </c>
    </row>
    <row r="579" spans="10:11" x14ac:dyDescent="0.2">
      <c r="J579" s="106">
        <f t="shared" si="85"/>
        <v>0</v>
      </c>
      <c r="K579" s="106">
        <f t="shared" si="86"/>
        <v>0</v>
      </c>
    </row>
    <row r="580" spans="10:11" x14ac:dyDescent="0.2">
      <c r="J580" s="106">
        <f t="shared" ref="J580:J643" si="87">+ROUND(J579-I579,100)</f>
        <v>0</v>
      </c>
      <c r="K580" s="106">
        <f t="shared" ref="K580:K643" si="88">+SIGN(ROUND(J580,0))</f>
        <v>0</v>
      </c>
    </row>
    <row r="581" spans="10:11" x14ac:dyDescent="0.2">
      <c r="J581" s="106">
        <f t="shared" si="87"/>
        <v>0</v>
      </c>
      <c r="K581" s="106">
        <f t="shared" si="88"/>
        <v>0</v>
      </c>
    </row>
    <row r="582" spans="10:11" x14ac:dyDescent="0.2">
      <c r="J582" s="106">
        <f t="shared" si="87"/>
        <v>0</v>
      </c>
      <c r="K582" s="106">
        <f t="shared" si="88"/>
        <v>0</v>
      </c>
    </row>
    <row r="583" spans="10:11" x14ac:dyDescent="0.2">
      <c r="J583" s="106">
        <f t="shared" si="87"/>
        <v>0</v>
      </c>
      <c r="K583" s="106">
        <f t="shared" si="88"/>
        <v>0</v>
      </c>
    </row>
    <row r="584" spans="10:11" x14ac:dyDescent="0.2">
      <c r="J584" s="106">
        <f t="shared" si="87"/>
        <v>0</v>
      </c>
      <c r="K584" s="106">
        <f t="shared" si="88"/>
        <v>0</v>
      </c>
    </row>
    <row r="585" spans="10:11" x14ac:dyDescent="0.2">
      <c r="J585" s="106">
        <f t="shared" si="87"/>
        <v>0</v>
      </c>
      <c r="K585" s="106">
        <f t="shared" si="88"/>
        <v>0</v>
      </c>
    </row>
    <row r="586" spans="10:11" x14ac:dyDescent="0.2">
      <c r="J586" s="106">
        <f t="shared" si="87"/>
        <v>0</v>
      </c>
      <c r="K586" s="106">
        <f t="shared" si="88"/>
        <v>0</v>
      </c>
    </row>
    <row r="587" spans="10:11" x14ac:dyDescent="0.2">
      <c r="J587" s="106">
        <f t="shared" si="87"/>
        <v>0</v>
      </c>
      <c r="K587" s="106">
        <f t="shared" si="88"/>
        <v>0</v>
      </c>
    </row>
    <row r="588" spans="10:11" x14ac:dyDescent="0.2">
      <c r="J588" s="106">
        <f t="shared" si="87"/>
        <v>0</v>
      </c>
      <c r="K588" s="106">
        <f t="shared" si="88"/>
        <v>0</v>
      </c>
    </row>
    <row r="589" spans="10:11" x14ac:dyDescent="0.2">
      <c r="J589" s="106">
        <f t="shared" si="87"/>
        <v>0</v>
      </c>
      <c r="K589" s="106">
        <f t="shared" si="88"/>
        <v>0</v>
      </c>
    </row>
    <row r="590" spans="10:11" x14ac:dyDescent="0.2">
      <c r="J590" s="106">
        <f t="shared" si="87"/>
        <v>0</v>
      </c>
      <c r="K590" s="106">
        <f t="shared" si="88"/>
        <v>0</v>
      </c>
    </row>
    <row r="591" spans="10:11" x14ac:dyDescent="0.2">
      <c r="J591" s="106">
        <f t="shared" si="87"/>
        <v>0</v>
      </c>
      <c r="K591" s="106">
        <f t="shared" si="88"/>
        <v>0</v>
      </c>
    </row>
    <row r="592" spans="10:11" x14ac:dyDescent="0.2">
      <c r="J592" s="106">
        <f t="shared" si="87"/>
        <v>0</v>
      </c>
      <c r="K592" s="106">
        <f t="shared" si="88"/>
        <v>0</v>
      </c>
    </row>
    <row r="593" spans="10:11" x14ac:dyDescent="0.2">
      <c r="J593" s="106">
        <f t="shared" si="87"/>
        <v>0</v>
      </c>
      <c r="K593" s="106">
        <f t="shared" si="88"/>
        <v>0</v>
      </c>
    </row>
    <row r="594" spans="10:11" x14ac:dyDescent="0.2">
      <c r="J594" s="106">
        <f t="shared" si="87"/>
        <v>0</v>
      </c>
      <c r="K594" s="106">
        <f t="shared" si="88"/>
        <v>0</v>
      </c>
    </row>
    <row r="595" spans="10:11" x14ac:dyDescent="0.2">
      <c r="J595" s="106">
        <f t="shared" si="87"/>
        <v>0</v>
      </c>
      <c r="K595" s="106">
        <f t="shared" si="88"/>
        <v>0</v>
      </c>
    </row>
    <row r="596" spans="10:11" x14ac:dyDescent="0.2">
      <c r="J596" s="106">
        <f t="shared" si="87"/>
        <v>0</v>
      </c>
      <c r="K596" s="106">
        <f t="shared" si="88"/>
        <v>0</v>
      </c>
    </row>
    <row r="597" spans="10:11" x14ac:dyDescent="0.2">
      <c r="J597" s="106">
        <f t="shared" si="87"/>
        <v>0</v>
      </c>
      <c r="K597" s="106">
        <f t="shared" si="88"/>
        <v>0</v>
      </c>
    </row>
    <row r="598" spans="10:11" x14ac:dyDescent="0.2">
      <c r="J598" s="106">
        <f t="shared" si="87"/>
        <v>0</v>
      </c>
      <c r="K598" s="106">
        <f t="shared" si="88"/>
        <v>0</v>
      </c>
    </row>
    <row r="599" spans="10:11" x14ac:dyDescent="0.2">
      <c r="J599" s="106">
        <f t="shared" si="87"/>
        <v>0</v>
      </c>
      <c r="K599" s="106">
        <f t="shared" si="88"/>
        <v>0</v>
      </c>
    </row>
    <row r="600" spans="10:11" x14ac:dyDescent="0.2">
      <c r="J600" s="106">
        <f t="shared" si="87"/>
        <v>0</v>
      </c>
      <c r="K600" s="106">
        <f t="shared" si="88"/>
        <v>0</v>
      </c>
    </row>
    <row r="601" spans="10:11" x14ac:dyDescent="0.2">
      <c r="J601" s="106">
        <f t="shared" si="87"/>
        <v>0</v>
      </c>
      <c r="K601" s="106">
        <f t="shared" si="88"/>
        <v>0</v>
      </c>
    </row>
    <row r="602" spans="10:11" x14ac:dyDescent="0.2">
      <c r="J602" s="106">
        <f t="shared" si="87"/>
        <v>0</v>
      </c>
      <c r="K602" s="106">
        <f t="shared" si="88"/>
        <v>0</v>
      </c>
    </row>
    <row r="603" spans="10:11" x14ac:dyDescent="0.2">
      <c r="J603" s="106">
        <f t="shared" si="87"/>
        <v>0</v>
      </c>
      <c r="K603" s="106">
        <f t="shared" si="88"/>
        <v>0</v>
      </c>
    </row>
    <row r="604" spans="10:11" x14ac:dyDescent="0.2">
      <c r="J604" s="106">
        <f t="shared" si="87"/>
        <v>0</v>
      </c>
      <c r="K604" s="106">
        <f t="shared" si="88"/>
        <v>0</v>
      </c>
    </row>
    <row r="605" spans="10:11" x14ac:dyDescent="0.2">
      <c r="J605" s="106">
        <f t="shared" si="87"/>
        <v>0</v>
      </c>
      <c r="K605" s="106">
        <f t="shared" si="88"/>
        <v>0</v>
      </c>
    </row>
    <row r="606" spans="10:11" x14ac:dyDescent="0.2">
      <c r="J606" s="106">
        <f t="shared" si="87"/>
        <v>0</v>
      </c>
      <c r="K606" s="106">
        <f t="shared" si="88"/>
        <v>0</v>
      </c>
    </row>
    <row r="607" spans="10:11" x14ac:dyDescent="0.2">
      <c r="J607" s="106">
        <f t="shared" si="87"/>
        <v>0</v>
      </c>
      <c r="K607" s="106">
        <f t="shared" si="88"/>
        <v>0</v>
      </c>
    </row>
    <row r="608" spans="10:11" x14ac:dyDescent="0.2">
      <c r="J608" s="106">
        <f t="shared" si="87"/>
        <v>0</v>
      </c>
      <c r="K608" s="106">
        <f t="shared" si="88"/>
        <v>0</v>
      </c>
    </row>
    <row r="609" spans="10:11" x14ac:dyDescent="0.2">
      <c r="J609" s="106">
        <f t="shared" si="87"/>
        <v>0</v>
      </c>
      <c r="K609" s="106">
        <f t="shared" si="88"/>
        <v>0</v>
      </c>
    </row>
    <row r="610" spans="10:11" x14ac:dyDescent="0.2">
      <c r="J610" s="106">
        <f t="shared" si="87"/>
        <v>0</v>
      </c>
      <c r="K610" s="106">
        <f t="shared" si="88"/>
        <v>0</v>
      </c>
    </row>
    <row r="611" spans="10:11" x14ac:dyDescent="0.2">
      <c r="J611" s="106">
        <f t="shared" si="87"/>
        <v>0</v>
      </c>
      <c r="K611" s="106">
        <f t="shared" si="88"/>
        <v>0</v>
      </c>
    </row>
    <row r="612" spans="10:11" x14ac:dyDescent="0.2">
      <c r="J612" s="106">
        <f t="shared" si="87"/>
        <v>0</v>
      </c>
      <c r="K612" s="106">
        <f t="shared" si="88"/>
        <v>0</v>
      </c>
    </row>
    <row r="613" spans="10:11" x14ac:dyDescent="0.2">
      <c r="J613" s="106">
        <f t="shared" si="87"/>
        <v>0</v>
      </c>
      <c r="K613" s="106">
        <f t="shared" si="88"/>
        <v>0</v>
      </c>
    </row>
    <row r="614" spans="10:11" x14ac:dyDescent="0.2">
      <c r="J614" s="106">
        <f t="shared" si="87"/>
        <v>0</v>
      </c>
      <c r="K614" s="106">
        <f t="shared" si="88"/>
        <v>0</v>
      </c>
    </row>
    <row r="615" spans="10:11" x14ac:dyDescent="0.2">
      <c r="J615" s="106">
        <f t="shared" si="87"/>
        <v>0</v>
      </c>
      <c r="K615" s="106">
        <f t="shared" si="88"/>
        <v>0</v>
      </c>
    </row>
    <row r="616" spans="10:11" x14ac:dyDescent="0.2">
      <c r="J616" s="106">
        <f t="shared" si="87"/>
        <v>0</v>
      </c>
      <c r="K616" s="106">
        <f t="shared" si="88"/>
        <v>0</v>
      </c>
    </row>
    <row r="617" spans="10:11" x14ac:dyDescent="0.2">
      <c r="J617" s="106">
        <f t="shared" si="87"/>
        <v>0</v>
      </c>
      <c r="K617" s="106">
        <f t="shared" si="88"/>
        <v>0</v>
      </c>
    </row>
    <row r="618" spans="10:11" x14ac:dyDescent="0.2">
      <c r="J618" s="106">
        <f t="shared" si="87"/>
        <v>0</v>
      </c>
      <c r="K618" s="106">
        <f t="shared" si="88"/>
        <v>0</v>
      </c>
    </row>
    <row r="619" spans="10:11" x14ac:dyDescent="0.2">
      <c r="J619" s="106">
        <f t="shared" si="87"/>
        <v>0</v>
      </c>
      <c r="K619" s="106">
        <f t="shared" si="88"/>
        <v>0</v>
      </c>
    </row>
    <row r="620" spans="10:11" x14ac:dyDescent="0.2">
      <c r="J620" s="106">
        <f t="shared" si="87"/>
        <v>0</v>
      </c>
      <c r="K620" s="106">
        <f t="shared" si="88"/>
        <v>0</v>
      </c>
    </row>
    <row r="621" spans="10:11" x14ac:dyDescent="0.2">
      <c r="J621" s="106">
        <f t="shared" si="87"/>
        <v>0</v>
      </c>
      <c r="K621" s="106">
        <f t="shared" si="88"/>
        <v>0</v>
      </c>
    </row>
    <row r="622" spans="10:11" x14ac:dyDescent="0.2">
      <c r="J622" s="106">
        <f t="shared" si="87"/>
        <v>0</v>
      </c>
      <c r="K622" s="106">
        <f t="shared" si="88"/>
        <v>0</v>
      </c>
    </row>
    <row r="623" spans="10:11" x14ac:dyDescent="0.2">
      <c r="J623" s="106">
        <f t="shared" si="87"/>
        <v>0</v>
      </c>
      <c r="K623" s="106">
        <f t="shared" si="88"/>
        <v>0</v>
      </c>
    </row>
    <row r="624" spans="10:11" x14ac:dyDescent="0.2">
      <c r="J624" s="106">
        <f t="shared" si="87"/>
        <v>0</v>
      </c>
      <c r="K624" s="106">
        <f t="shared" si="88"/>
        <v>0</v>
      </c>
    </row>
    <row r="625" spans="10:11" x14ac:dyDescent="0.2">
      <c r="J625" s="106">
        <f t="shared" si="87"/>
        <v>0</v>
      </c>
      <c r="K625" s="106">
        <f t="shared" si="88"/>
        <v>0</v>
      </c>
    </row>
    <row r="626" spans="10:11" x14ac:dyDescent="0.2">
      <c r="J626" s="106">
        <f t="shared" si="87"/>
        <v>0</v>
      </c>
      <c r="K626" s="106">
        <f t="shared" si="88"/>
        <v>0</v>
      </c>
    </row>
    <row r="627" spans="10:11" x14ac:dyDescent="0.2">
      <c r="J627" s="106">
        <f t="shared" si="87"/>
        <v>0</v>
      </c>
      <c r="K627" s="106">
        <f t="shared" si="88"/>
        <v>0</v>
      </c>
    </row>
    <row r="628" spans="10:11" x14ac:dyDescent="0.2">
      <c r="J628" s="106">
        <f t="shared" si="87"/>
        <v>0</v>
      </c>
      <c r="K628" s="106">
        <f t="shared" si="88"/>
        <v>0</v>
      </c>
    </row>
    <row r="629" spans="10:11" x14ac:dyDescent="0.2">
      <c r="J629" s="106">
        <f t="shared" si="87"/>
        <v>0</v>
      </c>
      <c r="K629" s="106">
        <f t="shared" si="88"/>
        <v>0</v>
      </c>
    </row>
    <row r="630" spans="10:11" x14ac:dyDescent="0.2">
      <c r="J630" s="106">
        <f t="shared" si="87"/>
        <v>0</v>
      </c>
      <c r="K630" s="106">
        <f t="shared" si="88"/>
        <v>0</v>
      </c>
    </row>
    <row r="631" spans="10:11" x14ac:dyDescent="0.2">
      <c r="J631" s="106">
        <f t="shared" si="87"/>
        <v>0</v>
      </c>
      <c r="K631" s="106">
        <f t="shared" si="88"/>
        <v>0</v>
      </c>
    </row>
    <row r="632" spans="10:11" x14ac:dyDescent="0.2">
      <c r="J632" s="106">
        <f t="shared" si="87"/>
        <v>0</v>
      </c>
      <c r="K632" s="106">
        <f t="shared" si="88"/>
        <v>0</v>
      </c>
    </row>
    <row r="633" spans="10:11" x14ac:dyDescent="0.2">
      <c r="J633" s="106">
        <f t="shared" si="87"/>
        <v>0</v>
      </c>
      <c r="K633" s="106">
        <f t="shared" si="88"/>
        <v>0</v>
      </c>
    </row>
    <row r="634" spans="10:11" x14ac:dyDescent="0.2">
      <c r="J634" s="106">
        <f t="shared" si="87"/>
        <v>0</v>
      </c>
      <c r="K634" s="106">
        <f t="shared" si="88"/>
        <v>0</v>
      </c>
    </row>
    <row r="635" spans="10:11" x14ac:dyDescent="0.2">
      <c r="J635" s="106">
        <f t="shared" si="87"/>
        <v>0</v>
      </c>
      <c r="K635" s="106">
        <f t="shared" si="88"/>
        <v>0</v>
      </c>
    </row>
    <row r="636" spans="10:11" x14ac:dyDescent="0.2">
      <c r="J636" s="106">
        <f t="shared" si="87"/>
        <v>0</v>
      </c>
      <c r="K636" s="106">
        <f t="shared" si="88"/>
        <v>0</v>
      </c>
    </row>
    <row r="637" spans="10:11" x14ac:dyDescent="0.2">
      <c r="J637" s="106">
        <f t="shared" si="87"/>
        <v>0</v>
      </c>
      <c r="K637" s="106">
        <f t="shared" si="88"/>
        <v>0</v>
      </c>
    </row>
    <row r="638" spans="10:11" x14ac:dyDescent="0.2">
      <c r="J638" s="106">
        <f t="shared" si="87"/>
        <v>0</v>
      </c>
      <c r="K638" s="106">
        <f t="shared" si="88"/>
        <v>0</v>
      </c>
    </row>
    <row r="639" spans="10:11" x14ac:dyDescent="0.2">
      <c r="J639" s="106">
        <f t="shared" si="87"/>
        <v>0</v>
      </c>
      <c r="K639" s="106">
        <f t="shared" si="88"/>
        <v>0</v>
      </c>
    </row>
    <row r="640" spans="10:11" x14ac:dyDescent="0.2">
      <c r="J640" s="106">
        <f t="shared" si="87"/>
        <v>0</v>
      </c>
      <c r="K640" s="106">
        <f t="shared" si="88"/>
        <v>0</v>
      </c>
    </row>
    <row r="641" spans="10:11" x14ac:dyDescent="0.2">
      <c r="J641" s="106">
        <f t="shared" si="87"/>
        <v>0</v>
      </c>
      <c r="K641" s="106">
        <f t="shared" si="88"/>
        <v>0</v>
      </c>
    </row>
    <row r="642" spans="10:11" x14ac:dyDescent="0.2">
      <c r="J642" s="106">
        <f t="shared" si="87"/>
        <v>0</v>
      </c>
      <c r="K642" s="106">
        <f t="shared" si="88"/>
        <v>0</v>
      </c>
    </row>
    <row r="643" spans="10:11" x14ac:dyDescent="0.2">
      <c r="J643" s="106">
        <f t="shared" si="87"/>
        <v>0</v>
      </c>
      <c r="K643" s="106">
        <f t="shared" si="88"/>
        <v>0</v>
      </c>
    </row>
    <row r="644" spans="10:11" x14ac:dyDescent="0.2">
      <c r="J644" s="106">
        <f t="shared" ref="J644:J707" si="89">+ROUND(J643-I643,100)</f>
        <v>0</v>
      </c>
      <c r="K644" s="106">
        <f t="shared" ref="K644:K707" si="90">+SIGN(ROUND(J644,0))</f>
        <v>0</v>
      </c>
    </row>
    <row r="645" spans="10:11" x14ac:dyDescent="0.2">
      <c r="J645" s="106">
        <f t="shared" si="89"/>
        <v>0</v>
      </c>
      <c r="K645" s="106">
        <f t="shared" si="90"/>
        <v>0</v>
      </c>
    </row>
    <row r="646" spans="10:11" x14ac:dyDescent="0.2">
      <c r="J646" s="106">
        <f t="shared" si="89"/>
        <v>0</v>
      </c>
      <c r="K646" s="106">
        <f t="shared" si="90"/>
        <v>0</v>
      </c>
    </row>
    <row r="647" spans="10:11" x14ac:dyDescent="0.2">
      <c r="J647" s="106">
        <f t="shared" si="89"/>
        <v>0</v>
      </c>
      <c r="K647" s="106">
        <f t="shared" si="90"/>
        <v>0</v>
      </c>
    </row>
    <row r="648" spans="10:11" x14ac:dyDescent="0.2">
      <c r="J648" s="106">
        <f t="shared" si="89"/>
        <v>0</v>
      </c>
      <c r="K648" s="106">
        <f t="shared" si="90"/>
        <v>0</v>
      </c>
    </row>
    <row r="649" spans="10:11" x14ac:dyDescent="0.2">
      <c r="J649" s="106">
        <f t="shared" si="89"/>
        <v>0</v>
      </c>
      <c r="K649" s="106">
        <f t="shared" si="90"/>
        <v>0</v>
      </c>
    </row>
    <row r="650" spans="10:11" x14ac:dyDescent="0.2">
      <c r="J650" s="106">
        <f t="shared" si="89"/>
        <v>0</v>
      </c>
      <c r="K650" s="106">
        <f t="shared" si="90"/>
        <v>0</v>
      </c>
    </row>
    <row r="651" spans="10:11" x14ac:dyDescent="0.2">
      <c r="J651" s="106">
        <f t="shared" si="89"/>
        <v>0</v>
      </c>
      <c r="K651" s="106">
        <f t="shared" si="90"/>
        <v>0</v>
      </c>
    </row>
    <row r="652" spans="10:11" x14ac:dyDescent="0.2">
      <c r="J652" s="106">
        <f t="shared" si="89"/>
        <v>0</v>
      </c>
      <c r="K652" s="106">
        <f t="shared" si="90"/>
        <v>0</v>
      </c>
    </row>
    <row r="653" spans="10:11" x14ac:dyDescent="0.2">
      <c r="J653" s="106">
        <f t="shared" si="89"/>
        <v>0</v>
      </c>
      <c r="K653" s="106">
        <f t="shared" si="90"/>
        <v>0</v>
      </c>
    </row>
    <row r="654" spans="10:11" x14ac:dyDescent="0.2">
      <c r="J654" s="106">
        <f t="shared" si="89"/>
        <v>0</v>
      </c>
      <c r="K654" s="106">
        <f t="shared" si="90"/>
        <v>0</v>
      </c>
    </row>
    <row r="655" spans="10:11" x14ac:dyDescent="0.2">
      <c r="J655" s="106">
        <f t="shared" si="89"/>
        <v>0</v>
      </c>
      <c r="K655" s="106">
        <f t="shared" si="90"/>
        <v>0</v>
      </c>
    </row>
    <row r="656" spans="10:11" x14ac:dyDescent="0.2">
      <c r="J656" s="106">
        <f t="shared" si="89"/>
        <v>0</v>
      </c>
      <c r="K656" s="106">
        <f t="shared" si="90"/>
        <v>0</v>
      </c>
    </row>
    <row r="657" spans="10:11" x14ac:dyDescent="0.2">
      <c r="J657" s="106">
        <f t="shared" si="89"/>
        <v>0</v>
      </c>
      <c r="K657" s="106">
        <f t="shared" si="90"/>
        <v>0</v>
      </c>
    </row>
    <row r="658" spans="10:11" x14ac:dyDescent="0.2">
      <c r="J658" s="106">
        <f t="shared" si="89"/>
        <v>0</v>
      </c>
      <c r="K658" s="106">
        <f t="shared" si="90"/>
        <v>0</v>
      </c>
    </row>
    <row r="659" spans="10:11" x14ac:dyDescent="0.2">
      <c r="J659" s="106">
        <f t="shared" si="89"/>
        <v>0</v>
      </c>
      <c r="K659" s="106">
        <f t="shared" si="90"/>
        <v>0</v>
      </c>
    </row>
    <row r="660" spans="10:11" x14ac:dyDescent="0.2">
      <c r="J660" s="106">
        <f t="shared" si="89"/>
        <v>0</v>
      </c>
      <c r="K660" s="106">
        <f t="shared" si="90"/>
        <v>0</v>
      </c>
    </row>
    <row r="661" spans="10:11" x14ac:dyDescent="0.2">
      <c r="J661" s="106">
        <f t="shared" si="89"/>
        <v>0</v>
      </c>
      <c r="K661" s="106">
        <f t="shared" si="90"/>
        <v>0</v>
      </c>
    </row>
    <row r="662" spans="10:11" x14ac:dyDescent="0.2">
      <c r="J662" s="106">
        <f t="shared" si="89"/>
        <v>0</v>
      </c>
      <c r="K662" s="106">
        <f t="shared" si="90"/>
        <v>0</v>
      </c>
    </row>
    <row r="663" spans="10:11" x14ac:dyDescent="0.2">
      <c r="J663" s="106">
        <f t="shared" si="89"/>
        <v>0</v>
      </c>
      <c r="K663" s="106">
        <f t="shared" si="90"/>
        <v>0</v>
      </c>
    </row>
    <row r="664" spans="10:11" x14ac:dyDescent="0.2">
      <c r="J664" s="106">
        <f t="shared" si="89"/>
        <v>0</v>
      </c>
      <c r="K664" s="106">
        <f t="shared" si="90"/>
        <v>0</v>
      </c>
    </row>
    <row r="665" spans="10:11" x14ac:dyDescent="0.2">
      <c r="J665" s="106">
        <f t="shared" si="89"/>
        <v>0</v>
      </c>
      <c r="K665" s="106">
        <f t="shared" si="90"/>
        <v>0</v>
      </c>
    </row>
    <row r="666" spans="10:11" x14ac:dyDescent="0.2">
      <c r="J666" s="106">
        <f t="shared" si="89"/>
        <v>0</v>
      </c>
      <c r="K666" s="106">
        <f t="shared" si="90"/>
        <v>0</v>
      </c>
    </row>
    <row r="667" spans="10:11" x14ac:dyDescent="0.2">
      <c r="J667" s="106">
        <f t="shared" si="89"/>
        <v>0</v>
      </c>
      <c r="K667" s="106">
        <f t="shared" si="90"/>
        <v>0</v>
      </c>
    </row>
    <row r="668" spans="10:11" x14ac:dyDescent="0.2">
      <c r="J668" s="106">
        <f t="shared" si="89"/>
        <v>0</v>
      </c>
      <c r="K668" s="106">
        <f t="shared" si="90"/>
        <v>0</v>
      </c>
    </row>
    <row r="669" spans="10:11" x14ac:dyDescent="0.2">
      <c r="J669" s="106">
        <f t="shared" si="89"/>
        <v>0</v>
      </c>
      <c r="K669" s="106">
        <f t="shared" si="90"/>
        <v>0</v>
      </c>
    </row>
    <row r="670" spans="10:11" x14ac:dyDescent="0.2">
      <c r="J670" s="106">
        <f t="shared" si="89"/>
        <v>0</v>
      </c>
      <c r="K670" s="106">
        <f t="shared" si="90"/>
        <v>0</v>
      </c>
    </row>
    <row r="671" spans="10:11" x14ac:dyDescent="0.2">
      <c r="J671" s="106">
        <f t="shared" si="89"/>
        <v>0</v>
      </c>
      <c r="K671" s="106">
        <f t="shared" si="90"/>
        <v>0</v>
      </c>
    </row>
    <row r="672" spans="10:11" x14ac:dyDescent="0.2">
      <c r="J672" s="106">
        <f t="shared" si="89"/>
        <v>0</v>
      </c>
      <c r="K672" s="106">
        <f t="shared" si="90"/>
        <v>0</v>
      </c>
    </row>
    <row r="673" spans="10:11" x14ac:dyDescent="0.2">
      <c r="J673" s="106">
        <f t="shared" si="89"/>
        <v>0</v>
      </c>
      <c r="K673" s="106">
        <f t="shared" si="90"/>
        <v>0</v>
      </c>
    </row>
    <row r="674" spans="10:11" x14ac:dyDescent="0.2">
      <c r="J674" s="106">
        <f t="shared" si="89"/>
        <v>0</v>
      </c>
      <c r="K674" s="106">
        <f t="shared" si="90"/>
        <v>0</v>
      </c>
    </row>
    <row r="675" spans="10:11" x14ac:dyDescent="0.2">
      <c r="J675" s="106">
        <f t="shared" si="89"/>
        <v>0</v>
      </c>
      <c r="K675" s="106">
        <f t="shared" si="90"/>
        <v>0</v>
      </c>
    </row>
    <row r="676" spans="10:11" x14ac:dyDescent="0.2">
      <c r="J676" s="106">
        <f t="shared" si="89"/>
        <v>0</v>
      </c>
      <c r="K676" s="106">
        <f t="shared" si="90"/>
        <v>0</v>
      </c>
    </row>
    <row r="677" spans="10:11" x14ac:dyDescent="0.2">
      <c r="J677" s="106">
        <f t="shared" si="89"/>
        <v>0</v>
      </c>
      <c r="K677" s="106">
        <f t="shared" si="90"/>
        <v>0</v>
      </c>
    </row>
    <row r="678" spans="10:11" x14ac:dyDescent="0.2">
      <c r="J678" s="106">
        <f t="shared" si="89"/>
        <v>0</v>
      </c>
      <c r="K678" s="106">
        <f t="shared" si="90"/>
        <v>0</v>
      </c>
    </row>
    <row r="679" spans="10:11" x14ac:dyDescent="0.2">
      <c r="J679" s="106">
        <f t="shared" si="89"/>
        <v>0</v>
      </c>
      <c r="K679" s="106">
        <f t="shared" si="90"/>
        <v>0</v>
      </c>
    </row>
    <row r="680" spans="10:11" x14ac:dyDescent="0.2">
      <c r="J680" s="106">
        <f t="shared" si="89"/>
        <v>0</v>
      </c>
      <c r="K680" s="106">
        <f t="shared" si="90"/>
        <v>0</v>
      </c>
    </row>
    <row r="681" spans="10:11" x14ac:dyDescent="0.2">
      <c r="J681" s="106">
        <f t="shared" si="89"/>
        <v>0</v>
      </c>
      <c r="K681" s="106">
        <f t="shared" si="90"/>
        <v>0</v>
      </c>
    </row>
    <row r="682" spans="10:11" x14ac:dyDescent="0.2">
      <c r="J682" s="106">
        <f t="shared" si="89"/>
        <v>0</v>
      </c>
      <c r="K682" s="106">
        <f t="shared" si="90"/>
        <v>0</v>
      </c>
    </row>
    <row r="683" spans="10:11" x14ac:dyDescent="0.2">
      <c r="J683" s="106">
        <f t="shared" si="89"/>
        <v>0</v>
      </c>
      <c r="K683" s="106">
        <f t="shared" si="90"/>
        <v>0</v>
      </c>
    </row>
    <row r="684" spans="10:11" x14ac:dyDescent="0.2">
      <c r="J684" s="106">
        <f t="shared" si="89"/>
        <v>0</v>
      </c>
      <c r="K684" s="106">
        <f t="shared" si="90"/>
        <v>0</v>
      </c>
    </row>
    <row r="685" spans="10:11" x14ac:dyDescent="0.2">
      <c r="J685" s="106">
        <f t="shared" si="89"/>
        <v>0</v>
      </c>
      <c r="K685" s="106">
        <f t="shared" si="90"/>
        <v>0</v>
      </c>
    </row>
    <row r="686" spans="10:11" x14ac:dyDescent="0.2">
      <c r="J686" s="106">
        <f t="shared" si="89"/>
        <v>0</v>
      </c>
      <c r="K686" s="106">
        <f t="shared" si="90"/>
        <v>0</v>
      </c>
    </row>
    <row r="687" spans="10:11" x14ac:dyDescent="0.2">
      <c r="J687" s="106">
        <f t="shared" si="89"/>
        <v>0</v>
      </c>
      <c r="K687" s="106">
        <f t="shared" si="90"/>
        <v>0</v>
      </c>
    </row>
    <row r="688" spans="10:11" x14ac:dyDescent="0.2">
      <c r="J688" s="106">
        <f t="shared" si="89"/>
        <v>0</v>
      </c>
      <c r="K688" s="106">
        <f t="shared" si="90"/>
        <v>0</v>
      </c>
    </row>
    <row r="689" spans="10:11" x14ac:dyDescent="0.2">
      <c r="J689" s="106">
        <f t="shared" si="89"/>
        <v>0</v>
      </c>
      <c r="K689" s="106">
        <f t="shared" si="90"/>
        <v>0</v>
      </c>
    </row>
    <row r="690" spans="10:11" x14ac:dyDescent="0.2">
      <c r="J690" s="106">
        <f t="shared" si="89"/>
        <v>0</v>
      </c>
      <c r="K690" s="106">
        <f t="shared" si="90"/>
        <v>0</v>
      </c>
    </row>
    <row r="691" spans="10:11" x14ac:dyDescent="0.2">
      <c r="J691" s="106">
        <f t="shared" si="89"/>
        <v>0</v>
      </c>
      <c r="K691" s="106">
        <f t="shared" si="90"/>
        <v>0</v>
      </c>
    </row>
    <row r="692" spans="10:11" x14ac:dyDescent="0.2">
      <c r="J692" s="106">
        <f t="shared" si="89"/>
        <v>0</v>
      </c>
      <c r="K692" s="106">
        <f t="shared" si="90"/>
        <v>0</v>
      </c>
    </row>
    <row r="693" spans="10:11" x14ac:dyDescent="0.2">
      <c r="J693" s="106">
        <f t="shared" si="89"/>
        <v>0</v>
      </c>
      <c r="K693" s="106">
        <f t="shared" si="90"/>
        <v>0</v>
      </c>
    </row>
    <row r="694" spans="10:11" x14ac:dyDescent="0.2">
      <c r="J694" s="106">
        <f t="shared" si="89"/>
        <v>0</v>
      </c>
      <c r="K694" s="106">
        <f t="shared" si="90"/>
        <v>0</v>
      </c>
    </row>
    <row r="695" spans="10:11" x14ac:dyDescent="0.2">
      <c r="J695" s="106">
        <f t="shared" si="89"/>
        <v>0</v>
      </c>
      <c r="K695" s="106">
        <f t="shared" si="90"/>
        <v>0</v>
      </c>
    </row>
    <row r="696" spans="10:11" x14ac:dyDescent="0.2">
      <c r="J696" s="106">
        <f t="shared" si="89"/>
        <v>0</v>
      </c>
      <c r="K696" s="106">
        <f t="shared" si="90"/>
        <v>0</v>
      </c>
    </row>
    <row r="697" spans="10:11" x14ac:dyDescent="0.2">
      <c r="J697" s="106">
        <f t="shared" si="89"/>
        <v>0</v>
      </c>
      <c r="K697" s="106">
        <f t="shared" si="90"/>
        <v>0</v>
      </c>
    </row>
    <row r="698" spans="10:11" x14ac:dyDescent="0.2">
      <c r="J698" s="106">
        <f t="shared" si="89"/>
        <v>0</v>
      </c>
      <c r="K698" s="106">
        <f t="shared" si="90"/>
        <v>0</v>
      </c>
    </row>
    <row r="699" spans="10:11" x14ac:dyDescent="0.2">
      <c r="J699" s="106">
        <f t="shared" si="89"/>
        <v>0</v>
      </c>
      <c r="K699" s="106">
        <f t="shared" si="90"/>
        <v>0</v>
      </c>
    </row>
    <row r="700" spans="10:11" x14ac:dyDescent="0.2">
      <c r="J700" s="106">
        <f t="shared" si="89"/>
        <v>0</v>
      </c>
      <c r="K700" s="106">
        <f t="shared" si="90"/>
        <v>0</v>
      </c>
    </row>
    <row r="701" spans="10:11" x14ac:dyDescent="0.2">
      <c r="J701" s="106">
        <f t="shared" si="89"/>
        <v>0</v>
      </c>
      <c r="K701" s="106">
        <f t="shared" si="90"/>
        <v>0</v>
      </c>
    </row>
    <row r="702" spans="10:11" x14ac:dyDescent="0.2">
      <c r="J702" s="106">
        <f t="shared" si="89"/>
        <v>0</v>
      </c>
      <c r="K702" s="106">
        <f t="shared" si="90"/>
        <v>0</v>
      </c>
    </row>
    <row r="703" spans="10:11" x14ac:dyDescent="0.2">
      <c r="J703" s="106">
        <f t="shared" si="89"/>
        <v>0</v>
      </c>
      <c r="K703" s="106">
        <f t="shared" si="90"/>
        <v>0</v>
      </c>
    </row>
    <row r="704" spans="10:11" x14ac:dyDescent="0.2">
      <c r="J704" s="106">
        <f t="shared" si="89"/>
        <v>0</v>
      </c>
      <c r="K704" s="106">
        <f t="shared" si="90"/>
        <v>0</v>
      </c>
    </row>
    <row r="705" spans="10:11" x14ac:dyDescent="0.2">
      <c r="J705" s="106">
        <f t="shared" si="89"/>
        <v>0</v>
      </c>
      <c r="K705" s="106">
        <f t="shared" si="90"/>
        <v>0</v>
      </c>
    </row>
    <row r="706" spans="10:11" x14ac:dyDescent="0.2">
      <c r="J706" s="106">
        <f t="shared" si="89"/>
        <v>0</v>
      </c>
      <c r="K706" s="106">
        <f t="shared" si="90"/>
        <v>0</v>
      </c>
    </row>
    <row r="707" spans="10:11" x14ac:dyDescent="0.2">
      <c r="J707" s="106">
        <f t="shared" si="89"/>
        <v>0</v>
      </c>
      <c r="K707" s="106">
        <f t="shared" si="90"/>
        <v>0</v>
      </c>
    </row>
    <row r="708" spans="10:11" x14ac:dyDescent="0.2">
      <c r="J708" s="106">
        <f t="shared" ref="J708:J771" si="91">+ROUND(J707-I707,100)</f>
        <v>0</v>
      </c>
      <c r="K708" s="106">
        <f t="shared" ref="K708:K771" si="92">+SIGN(ROUND(J708,0))</f>
        <v>0</v>
      </c>
    </row>
    <row r="709" spans="10:11" x14ac:dyDescent="0.2">
      <c r="J709" s="106">
        <f t="shared" si="91"/>
        <v>0</v>
      </c>
      <c r="K709" s="106">
        <f t="shared" si="92"/>
        <v>0</v>
      </c>
    </row>
    <row r="710" spans="10:11" x14ac:dyDescent="0.2">
      <c r="J710" s="106">
        <f t="shared" si="91"/>
        <v>0</v>
      </c>
      <c r="K710" s="106">
        <f t="shared" si="92"/>
        <v>0</v>
      </c>
    </row>
    <row r="711" spans="10:11" x14ac:dyDescent="0.2">
      <c r="J711" s="106">
        <f t="shared" si="91"/>
        <v>0</v>
      </c>
      <c r="K711" s="106">
        <f t="shared" si="92"/>
        <v>0</v>
      </c>
    </row>
    <row r="712" spans="10:11" x14ac:dyDescent="0.2">
      <c r="J712" s="106">
        <f t="shared" si="91"/>
        <v>0</v>
      </c>
      <c r="K712" s="106">
        <f t="shared" si="92"/>
        <v>0</v>
      </c>
    </row>
    <row r="713" spans="10:11" x14ac:dyDescent="0.2">
      <c r="J713" s="106">
        <f t="shared" si="91"/>
        <v>0</v>
      </c>
      <c r="K713" s="106">
        <f t="shared" si="92"/>
        <v>0</v>
      </c>
    </row>
    <row r="714" spans="10:11" x14ac:dyDescent="0.2">
      <c r="J714" s="106">
        <f t="shared" si="91"/>
        <v>0</v>
      </c>
      <c r="K714" s="106">
        <f t="shared" si="92"/>
        <v>0</v>
      </c>
    </row>
    <row r="715" spans="10:11" x14ac:dyDescent="0.2">
      <c r="J715" s="106">
        <f t="shared" si="91"/>
        <v>0</v>
      </c>
      <c r="K715" s="106">
        <f t="shared" si="92"/>
        <v>0</v>
      </c>
    </row>
    <row r="716" spans="10:11" x14ac:dyDescent="0.2">
      <c r="J716" s="106">
        <f t="shared" si="91"/>
        <v>0</v>
      </c>
      <c r="K716" s="106">
        <f t="shared" si="92"/>
        <v>0</v>
      </c>
    </row>
    <row r="717" spans="10:11" x14ac:dyDescent="0.2">
      <c r="J717" s="106">
        <f t="shared" si="91"/>
        <v>0</v>
      </c>
      <c r="K717" s="106">
        <f t="shared" si="92"/>
        <v>0</v>
      </c>
    </row>
    <row r="718" spans="10:11" x14ac:dyDescent="0.2">
      <c r="J718" s="106">
        <f t="shared" si="91"/>
        <v>0</v>
      </c>
      <c r="K718" s="106">
        <f t="shared" si="92"/>
        <v>0</v>
      </c>
    </row>
    <row r="719" spans="10:11" x14ac:dyDescent="0.2">
      <c r="J719" s="106">
        <f t="shared" si="91"/>
        <v>0</v>
      </c>
      <c r="K719" s="106">
        <f t="shared" si="92"/>
        <v>0</v>
      </c>
    </row>
    <row r="720" spans="10:11" x14ac:dyDescent="0.2">
      <c r="J720" s="106">
        <f t="shared" si="91"/>
        <v>0</v>
      </c>
      <c r="K720" s="106">
        <f t="shared" si="92"/>
        <v>0</v>
      </c>
    </row>
    <row r="721" spans="10:11" x14ac:dyDescent="0.2">
      <c r="J721" s="106">
        <f t="shared" si="91"/>
        <v>0</v>
      </c>
      <c r="K721" s="106">
        <f t="shared" si="92"/>
        <v>0</v>
      </c>
    </row>
    <row r="722" spans="10:11" x14ac:dyDescent="0.2">
      <c r="J722" s="106">
        <f t="shared" si="91"/>
        <v>0</v>
      </c>
      <c r="K722" s="106">
        <f t="shared" si="92"/>
        <v>0</v>
      </c>
    </row>
    <row r="723" spans="10:11" x14ac:dyDescent="0.2">
      <c r="J723" s="106">
        <f t="shared" si="91"/>
        <v>0</v>
      </c>
      <c r="K723" s="106">
        <f t="shared" si="92"/>
        <v>0</v>
      </c>
    </row>
    <row r="724" spans="10:11" x14ac:dyDescent="0.2">
      <c r="J724" s="106">
        <f t="shared" si="91"/>
        <v>0</v>
      </c>
      <c r="K724" s="106">
        <f t="shared" si="92"/>
        <v>0</v>
      </c>
    </row>
    <row r="725" spans="10:11" x14ac:dyDescent="0.2">
      <c r="J725" s="106">
        <f t="shared" si="91"/>
        <v>0</v>
      </c>
      <c r="K725" s="106">
        <f t="shared" si="92"/>
        <v>0</v>
      </c>
    </row>
    <row r="726" spans="10:11" x14ac:dyDescent="0.2">
      <c r="J726" s="106">
        <f t="shared" si="91"/>
        <v>0</v>
      </c>
      <c r="K726" s="106">
        <f t="shared" si="92"/>
        <v>0</v>
      </c>
    </row>
    <row r="727" spans="10:11" x14ac:dyDescent="0.2">
      <c r="J727" s="106">
        <f t="shared" si="91"/>
        <v>0</v>
      </c>
      <c r="K727" s="106">
        <f t="shared" si="92"/>
        <v>0</v>
      </c>
    </row>
    <row r="728" spans="10:11" x14ac:dyDescent="0.2">
      <c r="J728" s="106">
        <f t="shared" si="91"/>
        <v>0</v>
      </c>
      <c r="K728" s="106">
        <f t="shared" si="92"/>
        <v>0</v>
      </c>
    </row>
    <row r="729" spans="10:11" x14ac:dyDescent="0.2">
      <c r="J729" s="106">
        <f t="shared" si="91"/>
        <v>0</v>
      </c>
      <c r="K729" s="106">
        <f t="shared" si="92"/>
        <v>0</v>
      </c>
    </row>
    <row r="730" spans="10:11" x14ac:dyDescent="0.2">
      <c r="J730" s="106">
        <f t="shared" si="91"/>
        <v>0</v>
      </c>
      <c r="K730" s="106">
        <f t="shared" si="92"/>
        <v>0</v>
      </c>
    </row>
    <row r="731" spans="10:11" x14ac:dyDescent="0.2">
      <c r="J731" s="106">
        <f t="shared" si="91"/>
        <v>0</v>
      </c>
      <c r="K731" s="106">
        <f t="shared" si="92"/>
        <v>0</v>
      </c>
    </row>
    <row r="732" spans="10:11" x14ac:dyDescent="0.2">
      <c r="J732" s="106">
        <f t="shared" si="91"/>
        <v>0</v>
      </c>
      <c r="K732" s="106">
        <f t="shared" si="92"/>
        <v>0</v>
      </c>
    </row>
    <row r="733" spans="10:11" x14ac:dyDescent="0.2">
      <c r="J733" s="106">
        <f t="shared" si="91"/>
        <v>0</v>
      </c>
      <c r="K733" s="106">
        <f t="shared" si="92"/>
        <v>0</v>
      </c>
    </row>
    <row r="734" spans="10:11" x14ac:dyDescent="0.2">
      <c r="J734" s="106">
        <f t="shared" si="91"/>
        <v>0</v>
      </c>
      <c r="K734" s="106">
        <f t="shared" si="92"/>
        <v>0</v>
      </c>
    </row>
    <row r="735" spans="10:11" x14ac:dyDescent="0.2">
      <c r="J735" s="106">
        <f t="shared" si="91"/>
        <v>0</v>
      </c>
      <c r="K735" s="106">
        <f t="shared" si="92"/>
        <v>0</v>
      </c>
    </row>
    <row r="736" spans="10:11" x14ac:dyDescent="0.2">
      <c r="J736" s="106">
        <f t="shared" si="91"/>
        <v>0</v>
      </c>
      <c r="K736" s="106">
        <f t="shared" si="92"/>
        <v>0</v>
      </c>
    </row>
    <row r="737" spans="10:11" x14ac:dyDescent="0.2">
      <c r="J737" s="106">
        <f t="shared" si="91"/>
        <v>0</v>
      </c>
      <c r="K737" s="106">
        <f t="shared" si="92"/>
        <v>0</v>
      </c>
    </row>
    <row r="738" spans="10:11" x14ac:dyDescent="0.2">
      <c r="J738" s="106">
        <f t="shared" si="91"/>
        <v>0</v>
      </c>
      <c r="K738" s="106">
        <f t="shared" si="92"/>
        <v>0</v>
      </c>
    </row>
    <row r="739" spans="10:11" x14ac:dyDescent="0.2">
      <c r="J739" s="106">
        <f t="shared" si="91"/>
        <v>0</v>
      </c>
      <c r="K739" s="106">
        <f t="shared" si="92"/>
        <v>0</v>
      </c>
    </row>
    <row r="740" spans="10:11" x14ac:dyDescent="0.2">
      <c r="J740" s="106">
        <f t="shared" si="91"/>
        <v>0</v>
      </c>
      <c r="K740" s="106">
        <f t="shared" si="92"/>
        <v>0</v>
      </c>
    </row>
    <row r="741" spans="10:11" x14ac:dyDescent="0.2">
      <c r="J741" s="106">
        <f t="shared" si="91"/>
        <v>0</v>
      </c>
      <c r="K741" s="106">
        <f t="shared" si="92"/>
        <v>0</v>
      </c>
    </row>
    <row r="742" spans="10:11" x14ac:dyDescent="0.2">
      <c r="J742" s="106">
        <f t="shared" si="91"/>
        <v>0</v>
      </c>
      <c r="K742" s="106">
        <f t="shared" si="92"/>
        <v>0</v>
      </c>
    </row>
    <row r="743" spans="10:11" x14ac:dyDescent="0.2">
      <c r="J743" s="106">
        <f t="shared" si="91"/>
        <v>0</v>
      </c>
      <c r="K743" s="106">
        <f t="shared" si="92"/>
        <v>0</v>
      </c>
    </row>
    <row r="744" spans="10:11" x14ac:dyDescent="0.2">
      <c r="J744" s="106">
        <f t="shared" si="91"/>
        <v>0</v>
      </c>
      <c r="K744" s="106">
        <f t="shared" si="92"/>
        <v>0</v>
      </c>
    </row>
    <row r="745" spans="10:11" x14ac:dyDescent="0.2">
      <c r="J745" s="106">
        <f t="shared" si="91"/>
        <v>0</v>
      </c>
      <c r="K745" s="106">
        <f t="shared" si="92"/>
        <v>0</v>
      </c>
    </row>
    <row r="746" spans="10:11" x14ac:dyDescent="0.2">
      <c r="J746" s="106">
        <f t="shared" si="91"/>
        <v>0</v>
      </c>
      <c r="K746" s="106">
        <f t="shared" si="92"/>
        <v>0</v>
      </c>
    </row>
    <row r="747" spans="10:11" x14ac:dyDescent="0.2">
      <c r="J747" s="106">
        <f t="shared" si="91"/>
        <v>0</v>
      </c>
      <c r="K747" s="106">
        <f t="shared" si="92"/>
        <v>0</v>
      </c>
    </row>
    <row r="748" spans="10:11" x14ac:dyDescent="0.2">
      <c r="J748" s="106">
        <f t="shared" si="91"/>
        <v>0</v>
      </c>
      <c r="K748" s="106">
        <f t="shared" si="92"/>
        <v>0</v>
      </c>
    </row>
    <row r="749" spans="10:11" x14ac:dyDescent="0.2">
      <c r="J749" s="106">
        <f t="shared" si="91"/>
        <v>0</v>
      </c>
      <c r="K749" s="106">
        <f t="shared" si="92"/>
        <v>0</v>
      </c>
    </row>
    <row r="750" spans="10:11" x14ac:dyDescent="0.2">
      <c r="J750" s="106">
        <f t="shared" si="91"/>
        <v>0</v>
      </c>
      <c r="K750" s="106">
        <f t="shared" si="92"/>
        <v>0</v>
      </c>
    </row>
    <row r="751" spans="10:11" x14ac:dyDescent="0.2">
      <c r="J751" s="106">
        <f t="shared" si="91"/>
        <v>0</v>
      </c>
      <c r="K751" s="106">
        <f t="shared" si="92"/>
        <v>0</v>
      </c>
    </row>
    <row r="752" spans="10:11" x14ac:dyDescent="0.2">
      <c r="J752" s="106">
        <f t="shared" si="91"/>
        <v>0</v>
      </c>
      <c r="K752" s="106">
        <f t="shared" si="92"/>
        <v>0</v>
      </c>
    </row>
    <row r="753" spans="10:11" x14ac:dyDescent="0.2">
      <c r="J753" s="106">
        <f t="shared" si="91"/>
        <v>0</v>
      </c>
      <c r="K753" s="106">
        <f t="shared" si="92"/>
        <v>0</v>
      </c>
    </row>
    <row r="754" spans="10:11" x14ac:dyDescent="0.2">
      <c r="J754" s="106">
        <f t="shared" si="91"/>
        <v>0</v>
      </c>
      <c r="K754" s="106">
        <f t="shared" si="92"/>
        <v>0</v>
      </c>
    </row>
    <row r="755" spans="10:11" x14ac:dyDescent="0.2">
      <c r="J755" s="106">
        <f t="shared" si="91"/>
        <v>0</v>
      </c>
      <c r="K755" s="106">
        <f t="shared" si="92"/>
        <v>0</v>
      </c>
    </row>
    <row r="756" spans="10:11" x14ac:dyDescent="0.2">
      <c r="J756" s="106">
        <f t="shared" si="91"/>
        <v>0</v>
      </c>
      <c r="K756" s="106">
        <f t="shared" si="92"/>
        <v>0</v>
      </c>
    </row>
    <row r="757" spans="10:11" x14ac:dyDescent="0.2">
      <c r="J757" s="106">
        <f t="shared" si="91"/>
        <v>0</v>
      </c>
      <c r="K757" s="106">
        <f t="shared" si="92"/>
        <v>0</v>
      </c>
    </row>
    <row r="758" spans="10:11" x14ac:dyDescent="0.2">
      <c r="J758" s="106">
        <f t="shared" si="91"/>
        <v>0</v>
      </c>
      <c r="K758" s="106">
        <f t="shared" si="92"/>
        <v>0</v>
      </c>
    </row>
    <row r="759" spans="10:11" x14ac:dyDescent="0.2">
      <c r="J759" s="106">
        <f t="shared" si="91"/>
        <v>0</v>
      </c>
      <c r="K759" s="106">
        <f t="shared" si="92"/>
        <v>0</v>
      </c>
    </row>
    <row r="760" spans="10:11" x14ac:dyDescent="0.2">
      <c r="J760" s="106">
        <f t="shared" si="91"/>
        <v>0</v>
      </c>
      <c r="K760" s="106">
        <f t="shared" si="92"/>
        <v>0</v>
      </c>
    </row>
    <row r="761" spans="10:11" x14ac:dyDescent="0.2">
      <c r="J761" s="106">
        <f t="shared" si="91"/>
        <v>0</v>
      </c>
      <c r="K761" s="106">
        <f t="shared" si="92"/>
        <v>0</v>
      </c>
    </row>
    <row r="762" spans="10:11" x14ac:dyDescent="0.2">
      <c r="J762" s="106">
        <f t="shared" si="91"/>
        <v>0</v>
      </c>
      <c r="K762" s="106">
        <f t="shared" si="92"/>
        <v>0</v>
      </c>
    </row>
    <row r="763" spans="10:11" x14ac:dyDescent="0.2">
      <c r="J763" s="106">
        <f t="shared" si="91"/>
        <v>0</v>
      </c>
      <c r="K763" s="106">
        <f t="shared" si="92"/>
        <v>0</v>
      </c>
    </row>
    <row r="764" spans="10:11" x14ac:dyDescent="0.2">
      <c r="J764" s="106">
        <f t="shared" si="91"/>
        <v>0</v>
      </c>
      <c r="K764" s="106">
        <f t="shared" si="92"/>
        <v>0</v>
      </c>
    </row>
    <row r="765" spans="10:11" x14ac:dyDescent="0.2">
      <c r="J765" s="106">
        <f t="shared" si="91"/>
        <v>0</v>
      </c>
      <c r="K765" s="106">
        <f t="shared" si="92"/>
        <v>0</v>
      </c>
    </row>
    <row r="766" spans="10:11" x14ac:dyDescent="0.2">
      <c r="J766" s="106">
        <f t="shared" si="91"/>
        <v>0</v>
      </c>
      <c r="K766" s="106">
        <f t="shared" si="92"/>
        <v>0</v>
      </c>
    </row>
    <row r="767" spans="10:11" x14ac:dyDescent="0.2">
      <c r="J767" s="106">
        <f t="shared" si="91"/>
        <v>0</v>
      </c>
      <c r="K767" s="106">
        <f t="shared" si="92"/>
        <v>0</v>
      </c>
    </row>
    <row r="768" spans="10:11" x14ac:dyDescent="0.2">
      <c r="J768" s="106">
        <f t="shared" si="91"/>
        <v>0</v>
      </c>
      <c r="K768" s="106">
        <f t="shared" si="92"/>
        <v>0</v>
      </c>
    </row>
    <row r="769" spans="10:11" x14ac:dyDescent="0.2">
      <c r="J769" s="106">
        <f t="shared" si="91"/>
        <v>0</v>
      </c>
      <c r="K769" s="106">
        <f t="shared" si="92"/>
        <v>0</v>
      </c>
    </row>
    <row r="770" spans="10:11" x14ac:dyDescent="0.2">
      <c r="J770" s="106">
        <f t="shared" si="91"/>
        <v>0</v>
      </c>
      <c r="K770" s="106">
        <f t="shared" si="92"/>
        <v>0</v>
      </c>
    </row>
    <row r="771" spans="10:11" x14ac:dyDescent="0.2">
      <c r="J771" s="106">
        <f t="shared" si="91"/>
        <v>0</v>
      </c>
      <c r="K771" s="106">
        <f t="shared" si="92"/>
        <v>0</v>
      </c>
    </row>
    <row r="772" spans="10:11" x14ac:dyDescent="0.2">
      <c r="J772" s="106">
        <f t="shared" ref="J772:J835" si="93">+ROUND(J771-I771,100)</f>
        <v>0</v>
      </c>
      <c r="K772" s="106">
        <f t="shared" ref="K772:K835" si="94">+SIGN(ROUND(J772,0))</f>
        <v>0</v>
      </c>
    </row>
    <row r="773" spans="10:11" x14ac:dyDescent="0.2">
      <c r="J773" s="106">
        <f t="shared" si="93"/>
        <v>0</v>
      </c>
      <c r="K773" s="106">
        <f t="shared" si="94"/>
        <v>0</v>
      </c>
    </row>
    <row r="774" spans="10:11" x14ac:dyDescent="0.2">
      <c r="J774" s="106">
        <f t="shared" si="93"/>
        <v>0</v>
      </c>
      <c r="K774" s="106">
        <f t="shared" si="94"/>
        <v>0</v>
      </c>
    </row>
    <row r="775" spans="10:11" x14ac:dyDescent="0.2">
      <c r="J775" s="106">
        <f t="shared" si="93"/>
        <v>0</v>
      </c>
      <c r="K775" s="106">
        <f t="shared" si="94"/>
        <v>0</v>
      </c>
    </row>
    <row r="776" spans="10:11" x14ac:dyDescent="0.2">
      <c r="J776" s="106">
        <f t="shared" si="93"/>
        <v>0</v>
      </c>
      <c r="K776" s="106">
        <f t="shared" si="94"/>
        <v>0</v>
      </c>
    </row>
    <row r="777" spans="10:11" x14ac:dyDescent="0.2">
      <c r="J777" s="106">
        <f t="shared" si="93"/>
        <v>0</v>
      </c>
      <c r="K777" s="106">
        <f t="shared" si="94"/>
        <v>0</v>
      </c>
    </row>
    <row r="778" spans="10:11" x14ac:dyDescent="0.2">
      <c r="J778" s="106">
        <f t="shared" si="93"/>
        <v>0</v>
      </c>
      <c r="K778" s="106">
        <f t="shared" si="94"/>
        <v>0</v>
      </c>
    </row>
    <row r="779" spans="10:11" x14ac:dyDescent="0.2">
      <c r="J779" s="106">
        <f t="shared" si="93"/>
        <v>0</v>
      </c>
      <c r="K779" s="106">
        <f t="shared" si="94"/>
        <v>0</v>
      </c>
    </row>
    <row r="780" spans="10:11" x14ac:dyDescent="0.2">
      <c r="J780" s="106">
        <f t="shared" si="93"/>
        <v>0</v>
      </c>
      <c r="K780" s="106">
        <f t="shared" si="94"/>
        <v>0</v>
      </c>
    </row>
    <row r="781" spans="10:11" x14ac:dyDescent="0.2">
      <c r="J781" s="106">
        <f t="shared" si="93"/>
        <v>0</v>
      </c>
      <c r="K781" s="106">
        <f t="shared" si="94"/>
        <v>0</v>
      </c>
    </row>
    <row r="782" spans="10:11" x14ac:dyDescent="0.2">
      <c r="J782" s="106">
        <f t="shared" si="93"/>
        <v>0</v>
      </c>
      <c r="K782" s="106">
        <f t="shared" si="94"/>
        <v>0</v>
      </c>
    </row>
    <row r="783" spans="10:11" x14ac:dyDescent="0.2">
      <c r="J783" s="106">
        <f t="shared" si="93"/>
        <v>0</v>
      </c>
      <c r="K783" s="106">
        <f t="shared" si="94"/>
        <v>0</v>
      </c>
    </row>
    <row r="784" spans="10:11" x14ac:dyDescent="0.2">
      <c r="J784" s="106">
        <f t="shared" si="93"/>
        <v>0</v>
      </c>
      <c r="K784" s="106">
        <f t="shared" si="94"/>
        <v>0</v>
      </c>
    </row>
    <row r="785" spans="10:11" x14ac:dyDescent="0.2">
      <c r="J785" s="106">
        <f t="shared" si="93"/>
        <v>0</v>
      </c>
      <c r="K785" s="106">
        <f t="shared" si="94"/>
        <v>0</v>
      </c>
    </row>
    <row r="786" spans="10:11" x14ac:dyDescent="0.2">
      <c r="J786" s="106">
        <f t="shared" si="93"/>
        <v>0</v>
      </c>
      <c r="K786" s="106">
        <f t="shared" si="94"/>
        <v>0</v>
      </c>
    </row>
    <row r="787" spans="10:11" x14ac:dyDescent="0.2">
      <c r="J787" s="106">
        <f t="shared" si="93"/>
        <v>0</v>
      </c>
      <c r="K787" s="106">
        <f t="shared" si="94"/>
        <v>0</v>
      </c>
    </row>
    <row r="788" spans="10:11" x14ac:dyDescent="0.2">
      <c r="J788" s="106">
        <f t="shared" si="93"/>
        <v>0</v>
      </c>
      <c r="K788" s="106">
        <f t="shared" si="94"/>
        <v>0</v>
      </c>
    </row>
    <row r="789" spans="10:11" x14ac:dyDescent="0.2">
      <c r="J789" s="106">
        <f t="shared" si="93"/>
        <v>0</v>
      </c>
      <c r="K789" s="106">
        <f t="shared" si="94"/>
        <v>0</v>
      </c>
    </row>
    <row r="790" spans="10:11" x14ac:dyDescent="0.2">
      <c r="J790" s="106">
        <f t="shared" si="93"/>
        <v>0</v>
      </c>
      <c r="K790" s="106">
        <f t="shared" si="94"/>
        <v>0</v>
      </c>
    </row>
    <row r="791" spans="10:11" x14ac:dyDescent="0.2">
      <c r="J791" s="106">
        <f t="shared" si="93"/>
        <v>0</v>
      </c>
      <c r="K791" s="106">
        <f t="shared" si="94"/>
        <v>0</v>
      </c>
    </row>
    <row r="792" spans="10:11" x14ac:dyDescent="0.2">
      <c r="J792" s="106">
        <f t="shared" si="93"/>
        <v>0</v>
      </c>
      <c r="K792" s="106">
        <f t="shared" si="94"/>
        <v>0</v>
      </c>
    </row>
    <row r="793" spans="10:11" x14ac:dyDescent="0.2">
      <c r="J793" s="106">
        <f t="shared" si="93"/>
        <v>0</v>
      </c>
      <c r="K793" s="106">
        <f t="shared" si="94"/>
        <v>0</v>
      </c>
    </row>
    <row r="794" spans="10:11" x14ac:dyDescent="0.2">
      <c r="J794" s="106">
        <f t="shared" si="93"/>
        <v>0</v>
      </c>
      <c r="K794" s="106">
        <f t="shared" si="94"/>
        <v>0</v>
      </c>
    </row>
    <row r="795" spans="10:11" x14ac:dyDescent="0.2">
      <c r="J795" s="106">
        <f t="shared" si="93"/>
        <v>0</v>
      </c>
      <c r="K795" s="106">
        <f t="shared" si="94"/>
        <v>0</v>
      </c>
    </row>
    <row r="796" spans="10:11" x14ac:dyDescent="0.2">
      <c r="J796" s="106">
        <f t="shared" si="93"/>
        <v>0</v>
      </c>
      <c r="K796" s="106">
        <f t="shared" si="94"/>
        <v>0</v>
      </c>
    </row>
    <row r="797" spans="10:11" x14ac:dyDescent="0.2">
      <c r="J797" s="106">
        <f t="shared" si="93"/>
        <v>0</v>
      </c>
      <c r="K797" s="106">
        <f t="shared" si="94"/>
        <v>0</v>
      </c>
    </row>
    <row r="798" spans="10:11" x14ac:dyDescent="0.2">
      <c r="J798" s="106">
        <f t="shared" si="93"/>
        <v>0</v>
      </c>
      <c r="K798" s="106">
        <f t="shared" si="94"/>
        <v>0</v>
      </c>
    </row>
    <row r="799" spans="10:11" x14ac:dyDescent="0.2">
      <c r="J799" s="106">
        <f t="shared" si="93"/>
        <v>0</v>
      </c>
      <c r="K799" s="106">
        <f t="shared" si="94"/>
        <v>0</v>
      </c>
    </row>
    <row r="800" spans="10:11" x14ac:dyDescent="0.2">
      <c r="J800" s="106">
        <f t="shared" si="93"/>
        <v>0</v>
      </c>
      <c r="K800" s="106">
        <f t="shared" si="94"/>
        <v>0</v>
      </c>
    </row>
    <row r="801" spans="10:11" x14ac:dyDescent="0.2">
      <c r="J801" s="106">
        <f t="shared" si="93"/>
        <v>0</v>
      </c>
      <c r="K801" s="106">
        <f t="shared" si="94"/>
        <v>0</v>
      </c>
    </row>
    <row r="802" spans="10:11" x14ac:dyDescent="0.2">
      <c r="J802" s="106">
        <f t="shared" si="93"/>
        <v>0</v>
      </c>
      <c r="K802" s="106">
        <f t="shared" si="94"/>
        <v>0</v>
      </c>
    </row>
    <row r="803" spans="10:11" x14ac:dyDescent="0.2">
      <c r="J803" s="106">
        <f t="shared" si="93"/>
        <v>0</v>
      </c>
      <c r="K803" s="106">
        <f t="shared" si="94"/>
        <v>0</v>
      </c>
    </row>
    <row r="804" spans="10:11" x14ac:dyDescent="0.2">
      <c r="J804" s="106">
        <f t="shared" si="93"/>
        <v>0</v>
      </c>
      <c r="K804" s="106">
        <f t="shared" si="94"/>
        <v>0</v>
      </c>
    </row>
    <row r="805" spans="10:11" x14ac:dyDescent="0.2">
      <c r="J805" s="106">
        <f t="shared" si="93"/>
        <v>0</v>
      </c>
      <c r="K805" s="106">
        <f t="shared" si="94"/>
        <v>0</v>
      </c>
    </row>
    <row r="806" spans="10:11" x14ac:dyDescent="0.2">
      <c r="J806" s="106">
        <f t="shared" si="93"/>
        <v>0</v>
      </c>
      <c r="K806" s="106">
        <f t="shared" si="94"/>
        <v>0</v>
      </c>
    </row>
    <row r="807" spans="10:11" x14ac:dyDescent="0.2">
      <c r="J807" s="106">
        <f t="shared" si="93"/>
        <v>0</v>
      </c>
      <c r="K807" s="106">
        <f t="shared" si="94"/>
        <v>0</v>
      </c>
    </row>
    <row r="808" spans="10:11" x14ac:dyDescent="0.2">
      <c r="J808" s="106">
        <f t="shared" si="93"/>
        <v>0</v>
      </c>
      <c r="K808" s="106">
        <f t="shared" si="94"/>
        <v>0</v>
      </c>
    </row>
    <row r="809" spans="10:11" x14ac:dyDescent="0.2">
      <c r="J809" s="106">
        <f t="shared" si="93"/>
        <v>0</v>
      </c>
      <c r="K809" s="106">
        <f t="shared" si="94"/>
        <v>0</v>
      </c>
    </row>
    <row r="810" spans="10:11" x14ac:dyDescent="0.2">
      <c r="J810" s="106">
        <f t="shared" si="93"/>
        <v>0</v>
      </c>
      <c r="K810" s="106">
        <f t="shared" si="94"/>
        <v>0</v>
      </c>
    </row>
    <row r="811" spans="10:11" x14ac:dyDescent="0.2">
      <c r="J811" s="106">
        <f t="shared" si="93"/>
        <v>0</v>
      </c>
      <c r="K811" s="106">
        <f t="shared" si="94"/>
        <v>0</v>
      </c>
    </row>
    <row r="812" spans="10:11" x14ac:dyDescent="0.2">
      <c r="J812" s="106">
        <f t="shared" si="93"/>
        <v>0</v>
      </c>
      <c r="K812" s="106">
        <f t="shared" si="94"/>
        <v>0</v>
      </c>
    </row>
    <row r="813" spans="10:11" x14ac:dyDescent="0.2">
      <c r="J813" s="106">
        <f t="shared" si="93"/>
        <v>0</v>
      </c>
      <c r="K813" s="106">
        <f t="shared" si="94"/>
        <v>0</v>
      </c>
    </row>
    <row r="814" spans="10:11" x14ac:dyDescent="0.2">
      <c r="J814" s="106">
        <f t="shared" si="93"/>
        <v>0</v>
      </c>
      <c r="K814" s="106">
        <f t="shared" si="94"/>
        <v>0</v>
      </c>
    </row>
    <row r="815" spans="10:11" x14ac:dyDescent="0.2">
      <c r="J815" s="106">
        <f t="shared" si="93"/>
        <v>0</v>
      </c>
      <c r="K815" s="106">
        <f t="shared" si="94"/>
        <v>0</v>
      </c>
    </row>
    <row r="816" spans="10:11" x14ac:dyDescent="0.2">
      <c r="J816" s="106">
        <f t="shared" si="93"/>
        <v>0</v>
      </c>
      <c r="K816" s="106">
        <f t="shared" si="94"/>
        <v>0</v>
      </c>
    </row>
    <row r="817" spans="10:11" x14ac:dyDescent="0.2">
      <c r="J817" s="106">
        <f t="shared" si="93"/>
        <v>0</v>
      </c>
      <c r="K817" s="106">
        <f t="shared" si="94"/>
        <v>0</v>
      </c>
    </row>
    <row r="818" spans="10:11" x14ac:dyDescent="0.2">
      <c r="J818" s="106">
        <f t="shared" si="93"/>
        <v>0</v>
      </c>
      <c r="K818" s="106">
        <f t="shared" si="94"/>
        <v>0</v>
      </c>
    </row>
    <row r="819" spans="10:11" x14ac:dyDescent="0.2">
      <c r="J819" s="106">
        <f t="shared" si="93"/>
        <v>0</v>
      </c>
      <c r="K819" s="106">
        <f t="shared" si="94"/>
        <v>0</v>
      </c>
    </row>
    <row r="820" spans="10:11" x14ac:dyDescent="0.2">
      <c r="J820" s="106">
        <f t="shared" si="93"/>
        <v>0</v>
      </c>
      <c r="K820" s="106">
        <f t="shared" si="94"/>
        <v>0</v>
      </c>
    </row>
    <row r="821" spans="10:11" x14ac:dyDescent="0.2">
      <c r="J821" s="106">
        <f t="shared" si="93"/>
        <v>0</v>
      </c>
      <c r="K821" s="106">
        <f t="shared" si="94"/>
        <v>0</v>
      </c>
    </row>
    <row r="822" spans="10:11" x14ac:dyDescent="0.2">
      <c r="J822" s="106">
        <f t="shared" si="93"/>
        <v>0</v>
      </c>
      <c r="K822" s="106">
        <f t="shared" si="94"/>
        <v>0</v>
      </c>
    </row>
    <row r="823" spans="10:11" x14ac:dyDescent="0.2">
      <c r="J823" s="106">
        <f t="shared" si="93"/>
        <v>0</v>
      </c>
      <c r="K823" s="106">
        <f t="shared" si="94"/>
        <v>0</v>
      </c>
    </row>
    <row r="824" spans="10:11" x14ac:dyDescent="0.2">
      <c r="J824" s="106">
        <f t="shared" si="93"/>
        <v>0</v>
      </c>
      <c r="K824" s="106">
        <f t="shared" si="94"/>
        <v>0</v>
      </c>
    </row>
    <row r="825" spans="10:11" x14ac:dyDescent="0.2">
      <c r="J825" s="106">
        <f t="shared" si="93"/>
        <v>0</v>
      </c>
      <c r="K825" s="106">
        <f t="shared" si="94"/>
        <v>0</v>
      </c>
    </row>
    <row r="826" spans="10:11" x14ac:dyDescent="0.2">
      <c r="J826" s="106">
        <f t="shared" si="93"/>
        <v>0</v>
      </c>
      <c r="K826" s="106">
        <f t="shared" si="94"/>
        <v>0</v>
      </c>
    </row>
    <row r="827" spans="10:11" x14ac:dyDescent="0.2">
      <c r="J827" s="106">
        <f t="shared" si="93"/>
        <v>0</v>
      </c>
      <c r="K827" s="106">
        <f t="shared" si="94"/>
        <v>0</v>
      </c>
    </row>
    <row r="828" spans="10:11" x14ac:dyDescent="0.2">
      <c r="J828" s="106">
        <f t="shared" si="93"/>
        <v>0</v>
      </c>
      <c r="K828" s="106">
        <f t="shared" si="94"/>
        <v>0</v>
      </c>
    </row>
    <row r="829" spans="10:11" x14ac:dyDescent="0.2">
      <c r="J829" s="106">
        <f t="shared" si="93"/>
        <v>0</v>
      </c>
      <c r="K829" s="106">
        <f t="shared" si="94"/>
        <v>0</v>
      </c>
    </row>
    <row r="830" spans="10:11" x14ac:dyDescent="0.2">
      <c r="J830" s="106">
        <f t="shared" si="93"/>
        <v>0</v>
      </c>
      <c r="K830" s="106">
        <f t="shared" si="94"/>
        <v>0</v>
      </c>
    </row>
    <row r="831" spans="10:11" x14ac:dyDescent="0.2">
      <c r="J831" s="106">
        <f t="shared" si="93"/>
        <v>0</v>
      </c>
      <c r="K831" s="106">
        <f t="shared" si="94"/>
        <v>0</v>
      </c>
    </row>
    <row r="832" spans="10:11" x14ac:dyDescent="0.2">
      <c r="J832" s="106">
        <f t="shared" si="93"/>
        <v>0</v>
      </c>
      <c r="K832" s="106">
        <f t="shared" si="94"/>
        <v>0</v>
      </c>
    </row>
    <row r="833" spans="10:11" x14ac:dyDescent="0.2">
      <c r="J833" s="106">
        <f t="shared" si="93"/>
        <v>0</v>
      </c>
      <c r="K833" s="106">
        <f t="shared" si="94"/>
        <v>0</v>
      </c>
    </row>
    <row r="834" spans="10:11" x14ac:dyDescent="0.2">
      <c r="J834" s="106">
        <f t="shared" si="93"/>
        <v>0</v>
      </c>
      <c r="K834" s="106">
        <f t="shared" si="94"/>
        <v>0</v>
      </c>
    </row>
    <row r="835" spans="10:11" x14ac:dyDescent="0.2">
      <c r="J835" s="106">
        <f t="shared" si="93"/>
        <v>0</v>
      </c>
      <c r="K835" s="106">
        <f t="shared" si="94"/>
        <v>0</v>
      </c>
    </row>
    <row r="836" spans="10:11" x14ac:dyDescent="0.2">
      <c r="J836" s="106">
        <f t="shared" ref="J836:J899" si="95">+ROUND(J835-I835,100)</f>
        <v>0</v>
      </c>
      <c r="K836" s="106">
        <f t="shared" ref="K836:K899" si="96">+SIGN(ROUND(J836,0))</f>
        <v>0</v>
      </c>
    </row>
    <row r="837" spans="10:11" x14ac:dyDescent="0.2">
      <c r="J837" s="106">
        <f t="shared" si="95"/>
        <v>0</v>
      </c>
      <c r="K837" s="106">
        <f t="shared" si="96"/>
        <v>0</v>
      </c>
    </row>
    <row r="838" spans="10:11" x14ac:dyDescent="0.2">
      <c r="J838" s="106">
        <f t="shared" si="95"/>
        <v>0</v>
      </c>
      <c r="K838" s="106">
        <f t="shared" si="96"/>
        <v>0</v>
      </c>
    </row>
    <row r="839" spans="10:11" x14ac:dyDescent="0.2">
      <c r="J839" s="106">
        <f t="shared" si="95"/>
        <v>0</v>
      </c>
      <c r="K839" s="106">
        <f t="shared" si="96"/>
        <v>0</v>
      </c>
    </row>
    <row r="840" spans="10:11" x14ac:dyDescent="0.2">
      <c r="J840" s="106">
        <f t="shared" si="95"/>
        <v>0</v>
      </c>
      <c r="K840" s="106">
        <f t="shared" si="96"/>
        <v>0</v>
      </c>
    </row>
    <row r="841" spans="10:11" x14ac:dyDescent="0.2">
      <c r="J841" s="106">
        <f t="shared" si="95"/>
        <v>0</v>
      </c>
      <c r="K841" s="106">
        <f t="shared" si="96"/>
        <v>0</v>
      </c>
    </row>
    <row r="842" spans="10:11" x14ac:dyDescent="0.2">
      <c r="J842" s="106">
        <f t="shared" si="95"/>
        <v>0</v>
      </c>
      <c r="K842" s="106">
        <f t="shared" si="96"/>
        <v>0</v>
      </c>
    </row>
    <row r="843" spans="10:11" x14ac:dyDescent="0.2">
      <c r="J843" s="106">
        <f t="shared" si="95"/>
        <v>0</v>
      </c>
      <c r="K843" s="106">
        <f t="shared" si="96"/>
        <v>0</v>
      </c>
    </row>
    <row r="844" spans="10:11" x14ac:dyDescent="0.2">
      <c r="J844" s="106">
        <f t="shared" si="95"/>
        <v>0</v>
      </c>
      <c r="K844" s="106">
        <f t="shared" si="96"/>
        <v>0</v>
      </c>
    </row>
    <row r="845" spans="10:11" x14ac:dyDescent="0.2">
      <c r="J845" s="106">
        <f t="shared" si="95"/>
        <v>0</v>
      </c>
      <c r="K845" s="106">
        <f t="shared" si="96"/>
        <v>0</v>
      </c>
    </row>
    <row r="846" spans="10:11" x14ac:dyDescent="0.2">
      <c r="J846" s="106">
        <f t="shared" si="95"/>
        <v>0</v>
      </c>
      <c r="K846" s="106">
        <f t="shared" si="96"/>
        <v>0</v>
      </c>
    </row>
    <row r="847" spans="10:11" x14ac:dyDescent="0.2">
      <c r="J847" s="106">
        <f t="shared" si="95"/>
        <v>0</v>
      </c>
      <c r="K847" s="106">
        <f t="shared" si="96"/>
        <v>0</v>
      </c>
    </row>
    <row r="848" spans="10:11" x14ac:dyDescent="0.2">
      <c r="J848" s="106">
        <f t="shared" si="95"/>
        <v>0</v>
      </c>
      <c r="K848" s="106">
        <f t="shared" si="96"/>
        <v>0</v>
      </c>
    </row>
    <row r="849" spans="10:11" x14ac:dyDescent="0.2">
      <c r="J849" s="106">
        <f t="shared" si="95"/>
        <v>0</v>
      </c>
      <c r="K849" s="106">
        <f t="shared" si="96"/>
        <v>0</v>
      </c>
    </row>
    <row r="850" spans="10:11" x14ac:dyDescent="0.2">
      <c r="J850" s="106">
        <f t="shared" si="95"/>
        <v>0</v>
      </c>
      <c r="K850" s="106">
        <f t="shared" si="96"/>
        <v>0</v>
      </c>
    </row>
    <row r="851" spans="10:11" x14ac:dyDescent="0.2">
      <c r="J851" s="106">
        <f t="shared" si="95"/>
        <v>0</v>
      </c>
      <c r="K851" s="106">
        <f t="shared" si="96"/>
        <v>0</v>
      </c>
    </row>
    <row r="852" spans="10:11" x14ac:dyDescent="0.2">
      <c r="J852" s="106">
        <f t="shared" si="95"/>
        <v>0</v>
      </c>
      <c r="K852" s="106">
        <f t="shared" si="96"/>
        <v>0</v>
      </c>
    </row>
    <row r="853" spans="10:11" x14ac:dyDescent="0.2">
      <c r="J853" s="106">
        <f t="shared" si="95"/>
        <v>0</v>
      </c>
      <c r="K853" s="106">
        <f t="shared" si="96"/>
        <v>0</v>
      </c>
    </row>
    <row r="854" spans="10:11" x14ac:dyDescent="0.2">
      <c r="J854" s="106">
        <f t="shared" si="95"/>
        <v>0</v>
      </c>
      <c r="K854" s="106">
        <f t="shared" si="96"/>
        <v>0</v>
      </c>
    </row>
    <row r="855" spans="10:11" x14ac:dyDescent="0.2">
      <c r="J855" s="106">
        <f t="shared" si="95"/>
        <v>0</v>
      </c>
      <c r="K855" s="106">
        <f t="shared" si="96"/>
        <v>0</v>
      </c>
    </row>
    <row r="856" spans="10:11" x14ac:dyDescent="0.2">
      <c r="J856" s="106">
        <f t="shared" si="95"/>
        <v>0</v>
      </c>
      <c r="K856" s="106">
        <f t="shared" si="96"/>
        <v>0</v>
      </c>
    </row>
    <row r="857" spans="10:11" x14ac:dyDescent="0.2">
      <c r="J857" s="106">
        <f t="shared" si="95"/>
        <v>0</v>
      </c>
      <c r="K857" s="106">
        <f t="shared" si="96"/>
        <v>0</v>
      </c>
    </row>
    <row r="858" spans="10:11" x14ac:dyDescent="0.2">
      <c r="J858" s="106">
        <f t="shared" si="95"/>
        <v>0</v>
      </c>
      <c r="K858" s="106">
        <f t="shared" si="96"/>
        <v>0</v>
      </c>
    </row>
    <row r="859" spans="10:11" x14ac:dyDescent="0.2">
      <c r="J859" s="106">
        <f t="shared" si="95"/>
        <v>0</v>
      </c>
      <c r="K859" s="106">
        <f t="shared" si="96"/>
        <v>0</v>
      </c>
    </row>
    <row r="860" spans="10:11" x14ac:dyDescent="0.2">
      <c r="J860" s="106">
        <f t="shared" si="95"/>
        <v>0</v>
      </c>
      <c r="K860" s="106">
        <f t="shared" si="96"/>
        <v>0</v>
      </c>
    </row>
    <row r="861" spans="10:11" x14ac:dyDescent="0.2">
      <c r="J861" s="106">
        <f t="shared" si="95"/>
        <v>0</v>
      </c>
      <c r="K861" s="106">
        <f t="shared" si="96"/>
        <v>0</v>
      </c>
    </row>
    <row r="862" spans="10:11" x14ac:dyDescent="0.2">
      <c r="J862" s="106">
        <f t="shared" si="95"/>
        <v>0</v>
      </c>
      <c r="K862" s="106">
        <f t="shared" si="96"/>
        <v>0</v>
      </c>
    </row>
    <row r="863" spans="10:11" x14ac:dyDescent="0.2">
      <c r="J863" s="106">
        <f t="shared" si="95"/>
        <v>0</v>
      </c>
      <c r="K863" s="106">
        <f t="shared" si="96"/>
        <v>0</v>
      </c>
    </row>
    <row r="864" spans="10:11" x14ac:dyDescent="0.2">
      <c r="J864" s="106">
        <f t="shared" si="95"/>
        <v>0</v>
      </c>
      <c r="K864" s="106">
        <f t="shared" si="96"/>
        <v>0</v>
      </c>
    </row>
    <row r="865" spans="10:11" x14ac:dyDescent="0.2">
      <c r="J865" s="106">
        <f t="shared" si="95"/>
        <v>0</v>
      </c>
      <c r="K865" s="106">
        <f t="shared" si="96"/>
        <v>0</v>
      </c>
    </row>
    <row r="866" spans="10:11" x14ac:dyDescent="0.2">
      <c r="J866" s="106">
        <f t="shared" si="95"/>
        <v>0</v>
      </c>
      <c r="K866" s="106">
        <f t="shared" si="96"/>
        <v>0</v>
      </c>
    </row>
    <row r="867" spans="10:11" x14ac:dyDescent="0.2">
      <c r="J867" s="106">
        <f t="shared" si="95"/>
        <v>0</v>
      </c>
      <c r="K867" s="106">
        <f t="shared" si="96"/>
        <v>0</v>
      </c>
    </row>
    <row r="868" spans="10:11" x14ac:dyDescent="0.2">
      <c r="J868" s="106">
        <f t="shared" si="95"/>
        <v>0</v>
      </c>
      <c r="K868" s="106">
        <f t="shared" si="96"/>
        <v>0</v>
      </c>
    </row>
    <row r="869" spans="10:11" x14ac:dyDescent="0.2">
      <c r="J869" s="106">
        <f t="shared" si="95"/>
        <v>0</v>
      </c>
      <c r="K869" s="106">
        <f t="shared" si="96"/>
        <v>0</v>
      </c>
    </row>
    <row r="870" spans="10:11" x14ac:dyDescent="0.2">
      <c r="J870" s="106">
        <f t="shared" si="95"/>
        <v>0</v>
      </c>
      <c r="K870" s="106">
        <f t="shared" si="96"/>
        <v>0</v>
      </c>
    </row>
    <row r="871" spans="10:11" x14ac:dyDescent="0.2">
      <c r="J871" s="106">
        <f t="shared" si="95"/>
        <v>0</v>
      </c>
      <c r="K871" s="106">
        <f t="shared" si="96"/>
        <v>0</v>
      </c>
    </row>
    <row r="872" spans="10:11" x14ac:dyDescent="0.2">
      <c r="J872" s="106">
        <f t="shared" si="95"/>
        <v>0</v>
      </c>
      <c r="K872" s="106">
        <f t="shared" si="96"/>
        <v>0</v>
      </c>
    </row>
    <row r="873" spans="10:11" x14ac:dyDescent="0.2">
      <c r="J873" s="106">
        <f t="shared" si="95"/>
        <v>0</v>
      </c>
      <c r="K873" s="106">
        <f t="shared" si="96"/>
        <v>0</v>
      </c>
    </row>
    <row r="874" spans="10:11" x14ac:dyDescent="0.2">
      <c r="J874" s="106">
        <f t="shared" si="95"/>
        <v>0</v>
      </c>
      <c r="K874" s="106">
        <f t="shared" si="96"/>
        <v>0</v>
      </c>
    </row>
    <row r="875" spans="10:11" x14ac:dyDescent="0.2">
      <c r="J875" s="106">
        <f t="shared" si="95"/>
        <v>0</v>
      </c>
      <c r="K875" s="106">
        <f t="shared" si="96"/>
        <v>0</v>
      </c>
    </row>
    <row r="876" spans="10:11" x14ac:dyDescent="0.2">
      <c r="J876" s="106">
        <f t="shared" si="95"/>
        <v>0</v>
      </c>
      <c r="K876" s="106">
        <f t="shared" si="96"/>
        <v>0</v>
      </c>
    </row>
    <row r="877" spans="10:11" x14ac:dyDescent="0.2">
      <c r="J877" s="106">
        <f t="shared" si="95"/>
        <v>0</v>
      </c>
      <c r="K877" s="106">
        <f t="shared" si="96"/>
        <v>0</v>
      </c>
    </row>
    <row r="878" spans="10:11" x14ac:dyDescent="0.2">
      <c r="J878" s="106">
        <f t="shared" si="95"/>
        <v>0</v>
      </c>
      <c r="K878" s="106">
        <f t="shared" si="96"/>
        <v>0</v>
      </c>
    </row>
    <row r="879" spans="10:11" x14ac:dyDescent="0.2">
      <c r="J879" s="106">
        <f t="shared" si="95"/>
        <v>0</v>
      </c>
      <c r="K879" s="106">
        <f t="shared" si="96"/>
        <v>0</v>
      </c>
    </row>
    <row r="880" spans="10:11" x14ac:dyDescent="0.2">
      <c r="J880" s="106">
        <f t="shared" si="95"/>
        <v>0</v>
      </c>
      <c r="K880" s="106">
        <f t="shared" si="96"/>
        <v>0</v>
      </c>
    </row>
    <row r="881" spans="10:11" x14ac:dyDescent="0.2">
      <c r="J881" s="106">
        <f t="shared" si="95"/>
        <v>0</v>
      </c>
      <c r="K881" s="106">
        <f t="shared" si="96"/>
        <v>0</v>
      </c>
    </row>
    <row r="882" spans="10:11" x14ac:dyDescent="0.2">
      <c r="J882" s="106">
        <f t="shared" si="95"/>
        <v>0</v>
      </c>
      <c r="K882" s="106">
        <f t="shared" si="96"/>
        <v>0</v>
      </c>
    </row>
    <row r="883" spans="10:11" x14ac:dyDescent="0.2">
      <c r="J883" s="106">
        <f t="shared" si="95"/>
        <v>0</v>
      </c>
      <c r="K883" s="106">
        <f t="shared" si="96"/>
        <v>0</v>
      </c>
    </row>
    <row r="884" spans="10:11" x14ac:dyDescent="0.2">
      <c r="J884" s="106">
        <f t="shared" si="95"/>
        <v>0</v>
      </c>
      <c r="K884" s="106">
        <f t="shared" si="96"/>
        <v>0</v>
      </c>
    </row>
    <row r="885" spans="10:11" x14ac:dyDescent="0.2">
      <c r="J885" s="106">
        <f t="shared" si="95"/>
        <v>0</v>
      </c>
      <c r="K885" s="106">
        <f t="shared" si="96"/>
        <v>0</v>
      </c>
    </row>
    <row r="886" spans="10:11" x14ac:dyDescent="0.2">
      <c r="J886" s="106">
        <f t="shared" si="95"/>
        <v>0</v>
      </c>
      <c r="K886" s="106">
        <f t="shared" si="96"/>
        <v>0</v>
      </c>
    </row>
    <row r="887" spans="10:11" x14ac:dyDescent="0.2">
      <c r="J887" s="106">
        <f t="shared" si="95"/>
        <v>0</v>
      </c>
      <c r="K887" s="106">
        <f t="shared" si="96"/>
        <v>0</v>
      </c>
    </row>
    <row r="888" spans="10:11" x14ac:dyDescent="0.2">
      <c r="J888" s="106">
        <f t="shared" si="95"/>
        <v>0</v>
      </c>
      <c r="K888" s="106">
        <f t="shared" si="96"/>
        <v>0</v>
      </c>
    </row>
    <row r="889" spans="10:11" x14ac:dyDescent="0.2">
      <c r="J889" s="106">
        <f t="shared" si="95"/>
        <v>0</v>
      </c>
      <c r="K889" s="106">
        <f t="shared" si="96"/>
        <v>0</v>
      </c>
    </row>
    <row r="890" spans="10:11" x14ac:dyDescent="0.2">
      <c r="J890" s="106">
        <f t="shared" si="95"/>
        <v>0</v>
      </c>
      <c r="K890" s="106">
        <f t="shared" si="96"/>
        <v>0</v>
      </c>
    </row>
    <row r="891" spans="10:11" x14ac:dyDescent="0.2">
      <c r="J891" s="106">
        <f t="shared" si="95"/>
        <v>0</v>
      </c>
      <c r="K891" s="106">
        <f t="shared" si="96"/>
        <v>0</v>
      </c>
    </row>
    <row r="892" spans="10:11" x14ac:dyDescent="0.2">
      <c r="J892" s="106">
        <f t="shared" si="95"/>
        <v>0</v>
      </c>
      <c r="K892" s="106">
        <f t="shared" si="96"/>
        <v>0</v>
      </c>
    </row>
    <row r="893" spans="10:11" x14ac:dyDescent="0.2">
      <c r="J893" s="106">
        <f t="shared" si="95"/>
        <v>0</v>
      </c>
      <c r="K893" s="106">
        <f t="shared" si="96"/>
        <v>0</v>
      </c>
    </row>
    <row r="894" spans="10:11" x14ac:dyDescent="0.2">
      <c r="J894" s="106">
        <f t="shared" si="95"/>
        <v>0</v>
      </c>
      <c r="K894" s="106">
        <f t="shared" si="96"/>
        <v>0</v>
      </c>
    </row>
    <row r="895" spans="10:11" x14ac:dyDescent="0.2">
      <c r="J895" s="106">
        <f t="shared" si="95"/>
        <v>0</v>
      </c>
      <c r="K895" s="106">
        <f t="shared" si="96"/>
        <v>0</v>
      </c>
    </row>
    <row r="896" spans="10:11" x14ac:dyDescent="0.2">
      <c r="J896" s="106">
        <f t="shared" si="95"/>
        <v>0</v>
      </c>
      <c r="K896" s="106">
        <f t="shared" si="96"/>
        <v>0</v>
      </c>
    </row>
    <row r="897" spans="10:11" x14ac:dyDescent="0.2">
      <c r="J897" s="106">
        <f t="shared" si="95"/>
        <v>0</v>
      </c>
      <c r="K897" s="106">
        <f t="shared" si="96"/>
        <v>0</v>
      </c>
    </row>
    <row r="898" spans="10:11" x14ac:dyDescent="0.2">
      <c r="J898" s="106">
        <f t="shared" si="95"/>
        <v>0</v>
      </c>
      <c r="K898" s="106">
        <f t="shared" si="96"/>
        <v>0</v>
      </c>
    </row>
    <row r="899" spans="10:11" x14ac:dyDescent="0.2">
      <c r="J899" s="106">
        <f t="shared" si="95"/>
        <v>0</v>
      </c>
      <c r="K899" s="106">
        <f t="shared" si="96"/>
        <v>0</v>
      </c>
    </row>
    <row r="900" spans="10:11" x14ac:dyDescent="0.2">
      <c r="J900" s="106">
        <f t="shared" ref="J900:J963" si="97">+ROUND(J899-I899,100)</f>
        <v>0</v>
      </c>
      <c r="K900" s="106">
        <f t="shared" ref="K900:K963" si="98">+SIGN(ROUND(J900,0))</f>
        <v>0</v>
      </c>
    </row>
    <row r="901" spans="10:11" x14ac:dyDescent="0.2">
      <c r="J901" s="106">
        <f t="shared" si="97"/>
        <v>0</v>
      </c>
      <c r="K901" s="106">
        <f t="shared" si="98"/>
        <v>0</v>
      </c>
    </row>
    <row r="902" spans="10:11" x14ac:dyDescent="0.2">
      <c r="J902" s="106">
        <f t="shared" si="97"/>
        <v>0</v>
      </c>
      <c r="K902" s="106">
        <f t="shared" si="98"/>
        <v>0</v>
      </c>
    </row>
    <row r="903" spans="10:11" x14ac:dyDescent="0.2">
      <c r="J903" s="106">
        <f t="shared" si="97"/>
        <v>0</v>
      </c>
      <c r="K903" s="106">
        <f t="shared" si="98"/>
        <v>0</v>
      </c>
    </row>
    <row r="904" spans="10:11" x14ac:dyDescent="0.2">
      <c r="J904" s="106">
        <f t="shared" si="97"/>
        <v>0</v>
      </c>
      <c r="K904" s="106">
        <f t="shared" si="98"/>
        <v>0</v>
      </c>
    </row>
    <row r="905" spans="10:11" x14ac:dyDescent="0.2">
      <c r="J905" s="106">
        <f t="shared" si="97"/>
        <v>0</v>
      </c>
      <c r="K905" s="106">
        <f t="shared" si="98"/>
        <v>0</v>
      </c>
    </row>
    <row r="906" spans="10:11" x14ac:dyDescent="0.2">
      <c r="J906" s="106">
        <f t="shared" si="97"/>
        <v>0</v>
      </c>
      <c r="K906" s="106">
        <f t="shared" si="98"/>
        <v>0</v>
      </c>
    </row>
    <row r="907" spans="10:11" x14ac:dyDescent="0.2">
      <c r="J907" s="106">
        <f t="shared" si="97"/>
        <v>0</v>
      </c>
      <c r="K907" s="106">
        <f t="shared" si="98"/>
        <v>0</v>
      </c>
    </row>
    <row r="908" spans="10:11" x14ac:dyDescent="0.2">
      <c r="J908" s="106">
        <f t="shared" si="97"/>
        <v>0</v>
      </c>
      <c r="K908" s="106">
        <f t="shared" si="98"/>
        <v>0</v>
      </c>
    </row>
    <row r="909" spans="10:11" x14ac:dyDescent="0.2">
      <c r="J909" s="106">
        <f t="shared" si="97"/>
        <v>0</v>
      </c>
      <c r="K909" s="106">
        <f t="shared" si="98"/>
        <v>0</v>
      </c>
    </row>
    <row r="910" spans="10:11" x14ac:dyDescent="0.2">
      <c r="J910" s="106">
        <f t="shared" si="97"/>
        <v>0</v>
      </c>
      <c r="K910" s="106">
        <f t="shared" si="98"/>
        <v>0</v>
      </c>
    </row>
    <row r="911" spans="10:11" x14ac:dyDescent="0.2">
      <c r="J911" s="106">
        <f t="shared" si="97"/>
        <v>0</v>
      </c>
      <c r="K911" s="106">
        <f t="shared" si="98"/>
        <v>0</v>
      </c>
    </row>
    <row r="912" spans="10:11" x14ac:dyDescent="0.2">
      <c r="J912" s="106">
        <f t="shared" si="97"/>
        <v>0</v>
      </c>
      <c r="K912" s="106">
        <f t="shared" si="98"/>
        <v>0</v>
      </c>
    </row>
    <row r="913" spans="10:11" x14ac:dyDescent="0.2">
      <c r="J913" s="106">
        <f t="shared" si="97"/>
        <v>0</v>
      </c>
      <c r="K913" s="106">
        <f t="shared" si="98"/>
        <v>0</v>
      </c>
    </row>
    <row r="914" spans="10:11" x14ac:dyDescent="0.2">
      <c r="J914" s="106">
        <f t="shared" si="97"/>
        <v>0</v>
      </c>
      <c r="K914" s="106">
        <f t="shared" si="98"/>
        <v>0</v>
      </c>
    </row>
    <row r="915" spans="10:11" x14ac:dyDescent="0.2">
      <c r="J915" s="106">
        <f t="shared" si="97"/>
        <v>0</v>
      </c>
      <c r="K915" s="106">
        <f t="shared" si="98"/>
        <v>0</v>
      </c>
    </row>
    <row r="916" spans="10:11" x14ac:dyDescent="0.2">
      <c r="J916" s="106">
        <f t="shared" si="97"/>
        <v>0</v>
      </c>
      <c r="K916" s="106">
        <f t="shared" si="98"/>
        <v>0</v>
      </c>
    </row>
    <row r="917" spans="10:11" x14ac:dyDescent="0.2">
      <c r="J917" s="106">
        <f t="shared" si="97"/>
        <v>0</v>
      </c>
      <c r="K917" s="106">
        <f t="shared" si="98"/>
        <v>0</v>
      </c>
    </row>
    <row r="918" spans="10:11" x14ac:dyDescent="0.2">
      <c r="J918" s="106">
        <f t="shared" si="97"/>
        <v>0</v>
      </c>
      <c r="K918" s="106">
        <f t="shared" si="98"/>
        <v>0</v>
      </c>
    </row>
    <row r="919" spans="10:11" x14ac:dyDescent="0.2">
      <c r="J919" s="106">
        <f t="shared" si="97"/>
        <v>0</v>
      </c>
      <c r="K919" s="106">
        <f t="shared" si="98"/>
        <v>0</v>
      </c>
    </row>
    <row r="920" spans="10:11" x14ac:dyDescent="0.2">
      <c r="J920" s="106">
        <f t="shared" si="97"/>
        <v>0</v>
      </c>
      <c r="K920" s="106">
        <f t="shared" si="98"/>
        <v>0</v>
      </c>
    </row>
    <row r="921" spans="10:11" x14ac:dyDescent="0.2">
      <c r="J921" s="106">
        <f t="shared" si="97"/>
        <v>0</v>
      </c>
      <c r="K921" s="106">
        <f t="shared" si="98"/>
        <v>0</v>
      </c>
    </row>
    <row r="922" spans="10:11" x14ac:dyDescent="0.2">
      <c r="J922" s="106">
        <f t="shared" si="97"/>
        <v>0</v>
      </c>
      <c r="K922" s="106">
        <f t="shared" si="98"/>
        <v>0</v>
      </c>
    </row>
    <row r="923" spans="10:11" x14ac:dyDescent="0.2">
      <c r="J923" s="106">
        <f t="shared" si="97"/>
        <v>0</v>
      </c>
      <c r="K923" s="106">
        <f t="shared" si="98"/>
        <v>0</v>
      </c>
    </row>
    <row r="924" spans="10:11" x14ac:dyDescent="0.2">
      <c r="J924" s="106">
        <f t="shared" si="97"/>
        <v>0</v>
      </c>
      <c r="K924" s="106">
        <f t="shared" si="98"/>
        <v>0</v>
      </c>
    </row>
    <row r="925" spans="10:11" x14ac:dyDescent="0.2">
      <c r="J925" s="106">
        <f t="shared" si="97"/>
        <v>0</v>
      </c>
      <c r="K925" s="106">
        <f t="shared" si="98"/>
        <v>0</v>
      </c>
    </row>
    <row r="926" spans="10:11" x14ac:dyDescent="0.2">
      <c r="J926" s="106">
        <f t="shared" si="97"/>
        <v>0</v>
      </c>
      <c r="K926" s="106">
        <f t="shared" si="98"/>
        <v>0</v>
      </c>
    </row>
    <row r="927" spans="10:11" x14ac:dyDescent="0.2">
      <c r="J927" s="106">
        <f t="shared" si="97"/>
        <v>0</v>
      </c>
      <c r="K927" s="106">
        <f t="shared" si="98"/>
        <v>0</v>
      </c>
    </row>
    <row r="928" spans="10:11" x14ac:dyDescent="0.2">
      <c r="J928" s="106">
        <f t="shared" si="97"/>
        <v>0</v>
      </c>
      <c r="K928" s="106">
        <f t="shared" si="98"/>
        <v>0</v>
      </c>
    </row>
    <row r="929" spans="10:11" x14ac:dyDescent="0.2">
      <c r="J929" s="106">
        <f t="shared" si="97"/>
        <v>0</v>
      </c>
      <c r="K929" s="106">
        <f t="shared" si="98"/>
        <v>0</v>
      </c>
    </row>
    <row r="930" spans="10:11" x14ac:dyDescent="0.2">
      <c r="J930" s="106">
        <f t="shared" si="97"/>
        <v>0</v>
      </c>
      <c r="K930" s="106">
        <f t="shared" si="98"/>
        <v>0</v>
      </c>
    </row>
    <row r="931" spans="10:11" x14ac:dyDescent="0.2">
      <c r="J931" s="106">
        <f t="shared" si="97"/>
        <v>0</v>
      </c>
      <c r="K931" s="106">
        <f t="shared" si="98"/>
        <v>0</v>
      </c>
    </row>
    <row r="932" spans="10:11" x14ac:dyDescent="0.2">
      <c r="J932" s="106">
        <f t="shared" si="97"/>
        <v>0</v>
      </c>
      <c r="K932" s="106">
        <f t="shared" si="98"/>
        <v>0</v>
      </c>
    </row>
    <row r="933" spans="10:11" x14ac:dyDescent="0.2">
      <c r="J933" s="106">
        <f t="shared" si="97"/>
        <v>0</v>
      </c>
      <c r="K933" s="106">
        <f t="shared" si="98"/>
        <v>0</v>
      </c>
    </row>
    <row r="934" spans="10:11" x14ac:dyDescent="0.2">
      <c r="J934" s="106">
        <f t="shared" si="97"/>
        <v>0</v>
      </c>
      <c r="K934" s="106">
        <f t="shared" si="98"/>
        <v>0</v>
      </c>
    </row>
    <row r="935" spans="10:11" x14ac:dyDescent="0.2">
      <c r="J935" s="106">
        <f t="shared" si="97"/>
        <v>0</v>
      </c>
      <c r="K935" s="106">
        <f t="shared" si="98"/>
        <v>0</v>
      </c>
    </row>
    <row r="936" spans="10:11" x14ac:dyDescent="0.2">
      <c r="J936" s="106">
        <f t="shared" si="97"/>
        <v>0</v>
      </c>
      <c r="K936" s="106">
        <f t="shared" si="98"/>
        <v>0</v>
      </c>
    </row>
    <row r="937" spans="10:11" x14ac:dyDescent="0.2">
      <c r="J937" s="106">
        <f t="shared" si="97"/>
        <v>0</v>
      </c>
      <c r="K937" s="106">
        <f t="shared" si="98"/>
        <v>0</v>
      </c>
    </row>
    <row r="938" spans="10:11" x14ac:dyDescent="0.2">
      <c r="J938" s="106">
        <f t="shared" si="97"/>
        <v>0</v>
      </c>
      <c r="K938" s="106">
        <f t="shared" si="98"/>
        <v>0</v>
      </c>
    </row>
    <row r="939" spans="10:11" x14ac:dyDescent="0.2">
      <c r="J939" s="106">
        <f t="shared" si="97"/>
        <v>0</v>
      </c>
      <c r="K939" s="106">
        <f t="shared" si="98"/>
        <v>0</v>
      </c>
    </row>
    <row r="940" spans="10:11" x14ac:dyDescent="0.2">
      <c r="J940" s="106">
        <f t="shared" si="97"/>
        <v>0</v>
      </c>
      <c r="K940" s="106">
        <f t="shared" si="98"/>
        <v>0</v>
      </c>
    </row>
    <row r="941" spans="10:11" x14ac:dyDescent="0.2">
      <c r="J941" s="106">
        <f t="shared" si="97"/>
        <v>0</v>
      </c>
      <c r="K941" s="106">
        <f t="shared" si="98"/>
        <v>0</v>
      </c>
    </row>
    <row r="942" spans="10:11" x14ac:dyDescent="0.2">
      <c r="J942" s="106">
        <f t="shared" si="97"/>
        <v>0</v>
      </c>
      <c r="K942" s="106">
        <f t="shared" si="98"/>
        <v>0</v>
      </c>
    </row>
    <row r="943" spans="10:11" x14ac:dyDescent="0.2">
      <c r="J943" s="106">
        <f t="shared" si="97"/>
        <v>0</v>
      </c>
      <c r="K943" s="106">
        <f t="shared" si="98"/>
        <v>0</v>
      </c>
    </row>
    <row r="944" spans="10:11" x14ac:dyDescent="0.2">
      <c r="J944" s="106">
        <f t="shared" si="97"/>
        <v>0</v>
      </c>
      <c r="K944" s="106">
        <f t="shared" si="98"/>
        <v>0</v>
      </c>
    </row>
    <row r="945" spans="10:11" x14ac:dyDescent="0.2">
      <c r="J945" s="106">
        <f t="shared" si="97"/>
        <v>0</v>
      </c>
      <c r="K945" s="106">
        <f t="shared" si="98"/>
        <v>0</v>
      </c>
    </row>
    <row r="946" spans="10:11" x14ac:dyDescent="0.2">
      <c r="J946" s="106">
        <f t="shared" si="97"/>
        <v>0</v>
      </c>
      <c r="K946" s="106">
        <f t="shared" si="98"/>
        <v>0</v>
      </c>
    </row>
    <row r="947" spans="10:11" x14ac:dyDescent="0.2">
      <c r="J947" s="106">
        <f t="shared" si="97"/>
        <v>0</v>
      </c>
      <c r="K947" s="106">
        <f t="shared" si="98"/>
        <v>0</v>
      </c>
    </row>
    <row r="948" spans="10:11" x14ac:dyDescent="0.2">
      <c r="J948" s="106">
        <f t="shared" si="97"/>
        <v>0</v>
      </c>
      <c r="K948" s="106">
        <f t="shared" si="98"/>
        <v>0</v>
      </c>
    </row>
    <row r="949" spans="10:11" x14ac:dyDescent="0.2">
      <c r="J949" s="106">
        <f t="shared" si="97"/>
        <v>0</v>
      </c>
      <c r="K949" s="106">
        <f t="shared" si="98"/>
        <v>0</v>
      </c>
    </row>
    <row r="950" spans="10:11" x14ac:dyDescent="0.2">
      <c r="J950" s="106">
        <f t="shared" si="97"/>
        <v>0</v>
      </c>
      <c r="K950" s="106">
        <f t="shared" si="98"/>
        <v>0</v>
      </c>
    </row>
    <row r="951" spans="10:11" x14ac:dyDescent="0.2">
      <c r="J951" s="106">
        <f t="shared" si="97"/>
        <v>0</v>
      </c>
      <c r="K951" s="106">
        <f t="shared" si="98"/>
        <v>0</v>
      </c>
    </row>
    <row r="952" spans="10:11" x14ac:dyDescent="0.2">
      <c r="J952" s="106">
        <f t="shared" si="97"/>
        <v>0</v>
      </c>
      <c r="K952" s="106">
        <f t="shared" si="98"/>
        <v>0</v>
      </c>
    </row>
    <row r="953" spans="10:11" x14ac:dyDescent="0.2">
      <c r="J953" s="106">
        <f t="shared" si="97"/>
        <v>0</v>
      </c>
      <c r="K953" s="106">
        <f t="shared" si="98"/>
        <v>0</v>
      </c>
    </row>
    <row r="954" spans="10:11" x14ac:dyDescent="0.2">
      <c r="J954" s="106">
        <f t="shared" si="97"/>
        <v>0</v>
      </c>
      <c r="K954" s="106">
        <f t="shared" si="98"/>
        <v>0</v>
      </c>
    </row>
    <row r="955" spans="10:11" x14ac:dyDescent="0.2">
      <c r="J955" s="106">
        <f t="shared" si="97"/>
        <v>0</v>
      </c>
      <c r="K955" s="106">
        <f t="shared" si="98"/>
        <v>0</v>
      </c>
    </row>
    <row r="956" spans="10:11" x14ac:dyDescent="0.2">
      <c r="J956" s="106">
        <f t="shared" si="97"/>
        <v>0</v>
      </c>
      <c r="K956" s="106">
        <f t="shared" si="98"/>
        <v>0</v>
      </c>
    </row>
    <row r="957" spans="10:11" x14ac:dyDescent="0.2">
      <c r="J957" s="106">
        <f t="shared" si="97"/>
        <v>0</v>
      </c>
      <c r="K957" s="106">
        <f t="shared" si="98"/>
        <v>0</v>
      </c>
    </row>
    <row r="958" spans="10:11" x14ac:dyDescent="0.2">
      <c r="J958" s="106">
        <f t="shared" si="97"/>
        <v>0</v>
      </c>
      <c r="K958" s="106">
        <f t="shared" si="98"/>
        <v>0</v>
      </c>
    </row>
    <row r="959" spans="10:11" x14ac:dyDescent="0.2">
      <c r="J959" s="106">
        <f t="shared" si="97"/>
        <v>0</v>
      </c>
      <c r="K959" s="106">
        <f t="shared" si="98"/>
        <v>0</v>
      </c>
    </row>
    <row r="960" spans="10:11" x14ac:dyDescent="0.2">
      <c r="J960" s="106">
        <f t="shared" si="97"/>
        <v>0</v>
      </c>
      <c r="K960" s="106">
        <f t="shared" si="98"/>
        <v>0</v>
      </c>
    </row>
    <row r="961" spans="10:11" x14ac:dyDescent="0.2">
      <c r="J961" s="106">
        <f t="shared" si="97"/>
        <v>0</v>
      </c>
      <c r="K961" s="106">
        <f t="shared" si="98"/>
        <v>0</v>
      </c>
    </row>
    <row r="962" spans="10:11" x14ac:dyDescent="0.2">
      <c r="J962" s="106">
        <f t="shared" si="97"/>
        <v>0</v>
      </c>
      <c r="K962" s="106">
        <f t="shared" si="98"/>
        <v>0</v>
      </c>
    </row>
    <row r="963" spans="10:11" x14ac:dyDescent="0.2">
      <c r="J963" s="106">
        <f t="shared" si="97"/>
        <v>0</v>
      </c>
      <c r="K963" s="106">
        <f t="shared" si="98"/>
        <v>0</v>
      </c>
    </row>
    <row r="964" spans="10:11" x14ac:dyDescent="0.2">
      <c r="J964" s="106">
        <f t="shared" ref="J964:J1027" si="99">+ROUND(J963-I963,100)</f>
        <v>0</v>
      </c>
      <c r="K964" s="106">
        <f t="shared" ref="K964:K1027" si="100">+SIGN(ROUND(J964,0))</f>
        <v>0</v>
      </c>
    </row>
    <row r="965" spans="10:11" x14ac:dyDescent="0.2">
      <c r="J965" s="106">
        <f t="shared" si="99"/>
        <v>0</v>
      </c>
      <c r="K965" s="106">
        <f t="shared" si="100"/>
        <v>0</v>
      </c>
    </row>
    <row r="966" spans="10:11" x14ac:dyDescent="0.2">
      <c r="J966" s="106">
        <f t="shared" si="99"/>
        <v>0</v>
      </c>
      <c r="K966" s="106">
        <f t="shared" si="100"/>
        <v>0</v>
      </c>
    </row>
    <row r="967" spans="10:11" x14ac:dyDescent="0.2">
      <c r="J967" s="106">
        <f t="shared" si="99"/>
        <v>0</v>
      </c>
      <c r="K967" s="106">
        <f t="shared" si="100"/>
        <v>0</v>
      </c>
    </row>
    <row r="968" spans="10:11" x14ac:dyDescent="0.2">
      <c r="J968" s="106">
        <f t="shared" si="99"/>
        <v>0</v>
      </c>
      <c r="K968" s="106">
        <f t="shared" si="100"/>
        <v>0</v>
      </c>
    </row>
    <row r="969" spans="10:11" x14ac:dyDescent="0.2">
      <c r="J969" s="106">
        <f t="shared" si="99"/>
        <v>0</v>
      </c>
      <c r="K969" s="106">
        <f t="shared" si="100"/>
        <v>0</v>
      </c>
    </row>
    <row r="970" spans="10:11" x14ac:dyDescent="0.2">
      <c r="J970" s="106">
        <f t="shared" si="99"/>
        <v>0</v>
      </c>
      <c r="K970" s="106">
        <f t="shared" si="100"/>
        <v>0</v>
      </c>
    </row>
    <row r="971" spans="10:11" x14ac:dyDescent="0.2">
      <c r="J971" s="106">
        <f t="shared" si="99"/>
        <v>0</v>
      </c>
      <c r="K971" s="106">
        <f t="shared" si="100"/>
        <v>0</v>
      </c>
    </row>
    <row r="972" spans="10:11" x14ac:dyDescent="0.2">
      <c r="J972" s="106">
        <f t="shared" si="99"/>
        <v>0</v>
      </c>
      <c r="K972" s="106">
        <f t="shared" si="100"/>
        <v>0</v>
      </c>
    </row>
    <row r="973" spans="10:11" x14ac:dyDescent="0.2">
      <c r="J973" s="106">
        <f t="shared" si="99"/>
        <v>0</v>
      </c>
      <c r="K973" s="106">
        <f t="shared" si="100"/>
        <v>0</v>
      </c>
    </row>
    <row r="974" spans="10:11" x14ac:dyDescent="0.2">
      <c r="J974" s="106">
        <f t="shared" si="99"/>
        <v>0</v>
      </c>
      <c r="K974" s="106">
        <f t="shared" si="100"/>
        <v>0</v>
      </c>
    </row>
    <row r="975" spans="10:11" x14ac:dyDescent="0.2">
      <c r="J975" s="106">
        <f t="shared" si="99"/>
        <v>0</v>
      </c>
      <c r="K975" s="106">
        <f t="shared" si="100"/>
        <v>0</v>
      </c>
    </row>
    <row r="976" spans="10:11" x14ac:dyDescent="0.2">
      <c r="J976" s="106">
        <f t="shared" si="99"/>
        <v>0</v>
      </c>
      <c r="K976" s="106">
        <f t="shared" si="100"/>
        <v>0</v>
      </c>
    </row>
    <row r="977" spans="10:11" x14ac:dyDescent="0.2">
      <c r="J977" s="106">
        <f t="shared" si="99"/>
        <v>0</v>
      </c>
      <c r="K977" s="106">
        <f t="shared" si="100"/>
        <v>0</v>
      </c>
    </row>
    <row r="978" spans="10:11" x14ac:dyDescent="0.2">
      <c r="J978" s="106">
        <f t="shared" si="99"/>
        <v>0</v>
      </c>
      <c r="K978" s="106">
        <f t="shared" si="100"/>
        <v>0</v>
      </c>
    </row>
    <row r="979" spans="10:11" x14ac:dyDescent="0.2">
      <c r="J979" s="106">
        <f t="shared" si="99"/>
        <v>0</v>
      </c>
      <c r="K979" s="106">
        <f t="shared" si="100"/>
        <v>0</v>
      </c>
    </row>
    <row r="980" spans="10:11" x14ac:dyDescent="0.2">
      <c r="J980" s="106">
        <f t="shared" si="99"/>
        <v>0</v>
      </c>
      <c r="K980" s="106">
        <f t="shared" si="100"/>
        <v>0</v>
      </c>
    </row>
    <row r="981" spans="10:11" x14ac:dyDescent="0.2">
      <c r="J981" s="106">
        <f t="shared" si="99"/>
        <v>0</v>
      </c>
      <c r="K981" s="106">
        <f t="shared" si="100"/>
        <v>0</v>
      </c>
    </row>
    <row r="982" spans="10:11" x14ac:dyDescent="0.2">
      <c r="J982" s="106">
        <f t="shared" si="99"/>
        <v>0</v>
      </c>
      <c r="K982" s="106">
        <f t="shared" si="100"/>
        <v>0</v>
      </c>
    </row>
    <row r="983" spans="10:11" x14ac:dyDescent="0.2">
      <c r="J983" s="106">
        <f t="shared" si="99"/>
        <v>0</v>
      </c>
      <c r="K983" s="106">
        <f t="shared" si="100"/>
        <v>0</v>
      </c>
    </row>
    <row r="984" spans="10:11" x14ac:dyDescent="0.2">
      <c r="J984" s="106">
        <f t="shared" si="99"/>
        <v>0</v>
      </c>
      <c r="K984" s="106">
        <f t="shared" si="100"/>
        <v>0</v>
      </c>
    </row>
    <row r="985" spans="10:11" x14ac:dyDescent="0.2">
      <c r="J985" s="106">
        <f t="shared" si="99"/>
        <v>0</v>
      </c>
      <c r="K985" s="106">
        <f t="shared" si="100"/>
        <v>0</v>
      </c>
    </row>
    <row r="986" spans="10:11" x14ac:dyDescent="0.2">
      <c r="J986" s="106">
        <f t="shared" si="99"/>
        <v>0</v>
      </c>
      <c r="K986" s="106">
        <f t="shared" si="100"/>
        <v>0</v>
      </c>
    </row>
    <row r="987" spans="10:11" x14ac:dyDescent="0.2">
      <c r="J987" s="106">
        <f t="shared" si="99"/>
        <v>0</v>
      </c>
      <c r="K987" s="106">
        <f t="shared" si="100"/>
        <v>0</v>
      </c>
    </row>
    <row r="988" spans="10:11" x14ac:dyDescent="0.2">
      <c r="J988" s="106">
        <f t="shared" si="99"/>
        <v>0</v>
      </c>
      <c r="K988" s="106">
        <f t="shared" si="100"/>
        <v>0</v>
      </c>
    </row>
    <row r="989" spans="10:11" x14ac:dyDescent="0.2">
      <c r="J989" s="106">
        <f t="shared" si="99"/>
        <v>0</v>
      </c>
      <c r="K989" s="106">
        <f t="shared" si="100"/>
        <v>0</v>
      </c>
    </row>
    <row r="990" spans="10:11" x14ac:dyDescent="0.2">
      <c r="J990" s="106">
        <f t="shared" si="99"/>
        <v>0</v>
      </c>
      <c r="K990" s="106">
        <f t="shared" si="100"/>
        <v>0</v>
      </c>
    </row>
    <row r="991" spans="10:11" x14ac:dyDescent="0.2">
      <c r="J991" s="106">
        <f t="shared" si="99"/>
        <v>0</v>
      </c>
      <c r="K991" s="106">
        <f t="shared" si="100"/>
        <v>0</v>
      </c>
    </row>
    <row r="992" spans="10:11" x14ac:dyDescent="0.2">
      <c r="J992" s="106">
        <f t="shared" si="99"/>
        <v>0</v>
      </c>
      <c r="K992" s="106">
        <f t="shared" si="100"/>
        <v>0</v>
      </c>
    </row>
    <row r="993" spans="10:11" x14ac:dyDescent="0.2">
      <c r="J993" s="106">
        <f t="shared" si="99"/>
        <v>0</v>
      </c>
      <c r="K993" s="106">
        <f t="shared" si="100"/>
        <v>0</v>
      </c>
    </row>
    <row r="994" spans="10:11" x14ac:dyDescent="0.2">
      <c r="J994" s="106">
        <f t="shared" si="99"/>
        <v>0</v>
      </c>
      <c r="K994" s="106">
        <f t="shared" si="100"/>
        <v>0</v>
      </c>
    </row>
    <row r="995" spans="10:11" x14ac:dyDescent="0.2">
      <c r="J995" s="106">
        <f t="shared" si="99"/>
        <v>0</v>
      </c>
      <c r="K995" s="106">
        <f t="shared" si="100"/>
        <v>0</v>
      </c>
    </row>
    <row r="996" spans="10:11" x14ac:dyDescent="0.2">
      <c r="J996" s="106">
        <f t="shared" si="99"/>
        <v>0</v>
      </c>
      <c r="K996" s="106">
        <f t="shared" si="100"/>
        <v>0</v>
      </c>
    </row>
    <row r="997" spans="10:11" x14ac:dyDescent="0.2">
      <c r="J997" s="106">
        <f t="shared" si="99"/>
        <v>0</v>
      </c>
      <c r="K997" s="106">
        <f t="shared" si="100"/>
        <v>0</v>
      </c>
    </row>
    <row r="998" spans="10:11" x14ac:dyDescent="0.2">
      <c r="J998" s="106">
        <f t="shared" si="99"/>
        <v>0</v>
      </c>
      <c r="K998" s="106">
        <f t="shared" si="100"/>
        <v>0</v>
      </c>
    </row>
    <row r="999" spans="10:11" x14ac:dyDescent="0.2">
      <c r="J999" s="106">
        <f t="shared" si="99"/>
        <v>0</v>
      </c>
      <c r="K999" s="106">
        <f t="shared" si="100"/>
        <v>0</v>
      </c>
    </row>
    <row r="1000" spans="10:11" x14ac:dyDescent="0.2">
      <c r="J1000" s="106">
        <f t="shared" si="99"/>
        <v>0</v>
      </c>
      <c r="K1000" s="106">
        <f t="shared" si="100"/>
        <v>0</v>
      </c>
    </row>
    <row r="1001" spans="10:11" x14ac:dyDescent="0.2">
      <c r="J1001" s="106">
        <f t="shared" si="99"/>
        <v>0</v>
      </c>
      <c r="K1001" s="106">
        <f t="shared" si="100"/>
        <v>0</v>
      </c>
    </row>
    <row r="1002" spans="10:11" x14ac:dyDescent="0.2">
      <c r="J1002" s="106">
        <f t="shared" si="99"/>
        <v>0</v>
      </c>
      <c r="K1002" s="106">
        <f t="shared" si="100"/>
        <v>0</v>
      </c>
    </row>
    <row r="1003" spans="10:11" x14ac:dyDescent="0.2">
      <c r="J1003" s="106">
        <f t="shared" si="99"/>
        <v>0</v>
      </c>
      <c r="K1003" s="106">
        <f t="shared" si="100"/>
        <v>0</v>
      </c>
    </row>
    <row r="1004" spans="10:11" x14ac:dyDescent="0.2">
      <c r="J1004" s="106">
        <f t="shared" si="99"/>
        <v>0</v>
      </c>
      <c r="K1004" s="106">
        <f t="shared" si="100"/>
        <v>0</v>
      </c>
    </row>
    <row r="1005" spans="10:11" x14ac:dyDescent="0.2">
      <c r="J1005" s="106">
        <f t="shared" si="99"/>
        <v>0</v>
      </c>
      <c r="K1005" s="106">
        <f t="shared" si="100"/>
        <v>0</v>
      </c>
    </row>
    <row r="1006" spans="10:11" x14ac:dyDescent="0.2">
      <c r="J1006" s="106">
        <f t="shared" si="99"/>
        <v>0</v>
      </c>
      <c r="K1006" s="106">
        <f t="shared" si="100"/>
        <v>0</v>
      </c>
    </row>
    <row r="1007" spans="10:11" x14ac:dyDescent="0.2">
      <c r="J1007" s="106">
        <f t="shared" si="99"/>
        <v>0</v>
      </c>
      <c r="K1007" s="106">
        <f t="shared" si="100"/>
        <v>0</v>
      </c>
    </row>
    <row r="1008" spans="10:11" x14ac:dyDescent="0.2">
      <c r="J1008" s="106">
        <f t="shared" si="99"/>
        <v>0</v>
      </c>
      <c r="K1008" s="106">
        <f t="shared" si="100"/>
        <v>0</v>
      </c>
    </row>
    <row r="1009" spans="10:11" x14ac:dyDescent="0.2">
      <c r="J1009" s="106">
        <f t="shared" si="99"/>
        <v>0</v>
      </c>
      <c r="K1009" s="106">
        <f t="shared" si="100"/>
        <v>0</v>
      </c>
    </row>
    <row r="1010" spans="10:11" x14ac:dyDescent="0.2">
      <c r="J1010" s="106">
        <f t="shared" si="99"/>
        <v>0</v>
      </c>
      <c r="K1010" s="106">
        <f t="shared" si="100"/>
        <v>0</v>
      </c>
    </row>
    <row r="1011" spans="10:11" x14ac:dyDescent="0.2">
      <c r="J1011" s="106">
        <f t="shared" si="99"/>
        <v>0</v>
      </c>
      <c r="K1011" s="106">
        <f t="shared" si="100"/>
        <v>0</v>
      </c>
    </row>
    <row r="1012" spans="10:11" x14ac:dyDescent="0.2">
      <c r="J1012" s="106">
        <f t="shared" si="99"/>
        <v>0</v>
      </c>
      <c r="K1012" s="106">
        <f t="shared" si="100"/>
        <v>0</v>
      </c>
    </row>
    <row r="1013" spans="10:11" x14ac:dyDescent="0.2">
      <c r="J1013" s="106">
        <f t="shared" si="99"/>
        <v>0</v>
      </c>
      <c r="K1013" s="106">
        <f t="shared" si="100"/>
        <v>0</v>
      </c>
    </row>
    <row r="1014" spans="10:11" x14ac:dyDescent="0.2">
      <c r="J1014" s="106">
        <f t="shared" si="99"/>
        <v>0</v>
      </c>
      <c r="K1014" s="106">
        <f t="shared" si="100"/>
        <v>0</v>
      </c>
    </row>
    <row r="1015" spans="10:11" x14ac:dyDescent="0.2">
      <c r="J1015" s="106">
        <f t="shared" si="99"/>
        <v>0</v>
      </c>
      <c r="K1015" s="106">
        <f t="shared" si="100"/>
        <v>0</v>
      </c>
    </row>
    <row r="1016" spans="10:11" x14ac:dyDescent="0.2">
      <c r="J1016" s="106">
        <f t="shared" si="99"/>
        <v>0</v>
      </c>
      <c r="K1016" s="106">
        <f t="shared" si="100"/>
        <v>0</v>
      </c>
    </row>
    <row r="1017" spans="10:11" x14ac:dyDescent="0.2">
      <c r="J1017" s="106">
        <f t="shared" si="99"/>
        <v>0</v>
      </c>
      <c r="K1017" s="106">
        <f t="shared" si="100"/>
        <v>0</v>
      </c>
    </row>
    <row r="1018" spans="10:11" x14ac:dyDescent="0.2">
      <c r="J1018" s="106">
        <f t="shared" si="99"/>
        <v>0</v>
      </c>
      <c r="K1018" s="106">
        <f t="shared" si="100"/>
        <v>0</v>
      </c>
    </row>
    <row r="1019" spans="10:11" x14ac:dyDescent="0.2">
      <c r="J1019" s="106">
        <f t="shared" si="99"/>
        <v>0</v>
      </c>
      <c r="K1019" s="106">
        <f t="shared" si="100"/>
        <v>0</v>
      </c>
    </row>
    <row r="1020" spans="10:11" x14ac:dyDescent="0.2">
      <c r="J1020" s="106">
        <f t="shared" si="99"/>
        <v>0</v>
      </c>
      <c r="K1020" s="106">
        <f t="shared" si="100"/>
        <v>0</v>
      </c>
    </row>
    <row r="1021" spans="10:11" x14ac:dyDescent="0.2">
      <c r="J1021" s="106">
        <f t="shared" si="99"/>
        <v>0</v>
      </c>
      <c r="K1021" s="106">
        <f t="shared" si="100"/>
        <v>0</v>
      </c>
    </row>
    <row r="1022" spans="10:11" x14ac:dyDescent="0.2">
      <c r="J1022" s="106">
        <f t="shared" si="99"/>
        <v>0</v>
      </c>
      <c r="K1022" s="106">
        <f t="shared" si="100"/>
        <v>0</v>
      </c>
    </row>
    <row r="1023" spans="10:11" x14ac:dyDescent="0.2">
      <c r="J1023" s="106">
        <f t="shared" si="99"/>
        <v>0</v>
      </c>
      <c r="K1023" s="106">
        <f t="shared" si="100"/>
        <v>0</v>
      </c>
    </row>
    <row r="1024" spans="10:11" x14ac:dyDescent="0.2">
      <c r="J1024" s="106">
        <f t="shared" si="99"/>
        <v>0</v>
      </c>
      <c r="K1024" s="106">
        <f t="shared" si="100"/>
        <v>0</v>
      </c>
    </row>
    <row r="1025" spans="10:11" x14ac:dyDescent="0.2">
      <c r="J1025" s="106">
        <f t="shared" si="99"/>
        <v>0</v>
      </c>
      <c r="K1025" s="106">
        <f t="shared" si="100"/>
        <v>0</v>
      </c>
    </row>
    <row r="1026" spans="10:11" x14ac:dyDescent="0.2">
      <c r="J1026" s="106">
        <f t="shared" si="99"/>
        <v>0</v>
      </c>
      <c r="K1026" s="106">
        <f t="shared" si="100"/>
        <v>0</v>
      </c>
    </row>
    <row r="1027" spans="10:11" x14ac:dyDescent="0.2">
      <c r="J1027" s="106">
        <f t="shared" si="99"/>
        <v>0</v>
      </c>
      <c r="K1027" s="106">
        <f t="shared" si="100"/>
        <v>0</v>
      </c>
    </row>
    <row r="1028" spans="10:11" x14ac:dyDescent="0.2">
      <c r="J1028" s="106">
        <f t="shared" ref="J1028:J1091" si="101">+ROUND(J1027-I1027,100)</f>
        <v>0</v>
      </c>
      <c r="K1028" s="106">
        <f t="shared" ref="K1028:K1091" si="102">+SIGN(ROUND(J1028,0))</f>
        <v>0</v>
      </c>
    </row>
    <row r="1029" spans="10:11" x14ac:dyDescent="0.2">
      <c r="J1029" s="106">
        <f t="shared" si="101"/>
        <v>0</v>
      </c>
      <c r="K1029" s="106">
        <f t="shared" si="102"/>
        <v>0</v>
      </c>
    </row>
    <row r="1030" spans="10:11" x14ac:dyDescent="0.2">
      <c r="J1030" s="106">
        <f t="shared" si="101"/>
        <v>0</v>
      </c>
      <c r="K1030" s="106">
        <f t="shared" si="102"/>
        <v>0</v>
      </c>
    </row>
    <row r="1031" spans="10:11" x14ac:dyDescent="0.2">
      <c r="J1031" s="106">
        <f t="shared" si="101"/>
        <v>0</v>
      </c>
      <c r="K1031" s="106">
        <f t="shared" si="102"/>
        <v>0</v>
      </c>
    </row>
    <row r="1032" spans="10:11" x14ac:dyDescent="0.2">
      <c r="J1032" s="106">
        <f t="shared" si="101"/>
        <v>0</v>
      </c>
      <c r="K1032" s="106">
        <f t="shared" si="102"/>
        <v>0</v>
      </c>
    </row>
    <row r="1033" spans="10:11" x14ac:dyDescent="0.2">
      <c r="J1033" s="106">
        <f t="shared" si="101"/>
        <v>0</v>
      </c>
      <c r="K1033" s="106">
        <f t="shared" si="102"/>
        <v>0</v>
      </c>
    </row>
    <row r="1034" spans="10:11" x14ac:dyDescent="0.2">
      <c r="J1034" s="106">
        <f t="shared" si="101"/>
        <v>0</v>
      </c>
      <c r="K1034" s="106">
        <f t="shared" si="102"/>
        <v>0</v>
      </c>
    </row>
    <row r="1035" spans="10:11" x14ac:dyDescent="0.2">
      <c r="J1035" s="106">
        <f t="shared" si="101"/>
        <v>0</v>
      </c>
      <c r="K1035" s="106">
        <f t="shared" si="102"/>
        <v>0</v>
      </c>
    </row>
    <row r="1036" spans="10:11" x14ac:dyDescent="0.2">
      <c r="J1036" s="106">
        <f t="shared" si="101"/>
        <v>0</v>
      </c>
      <c r="K1036" s="106">
        <f t="shared" si="102"/>
        <v>0</v>
      </c>
    </row>
    <row r="1037" spans="10:11" x14ac:dyDescent="0.2">
      <c r="J1037" s="106">
        <f t="shared" si="101"/>
        <v>0</v>
      </c>
      <c r="K1037" s="106">
        <f t="shared" si="102"/>
        <v>0</v>
      </c>
    </row>
    <row r="1038" spans="10:11" x14ac:dyDescent="0.2">
      <c r="J1038" s="106">
        <f t="shared" si="101"/>
        <v>0</v>
      </c>
      <c r="K1038" s="106">
        <f t="shared" si="102"/>
        <v>0</v>
      </c>
    </row>
    <row r="1039" spans="10:11" x14ac:dyDescent="0.2">
      <c r="J1039" s="106">
        <f t="shared" si="101"/>
        <v>0</v>
      </c>
      <c r="K1039" s="106">
        <f t="shared" si="102"/>
        <v>0</v>
      </c>
    </row>
    <row r="1040" spans="10:11" x14ac:dyDescent="0.2">
      <c r="J1040" s="106">
        <f t="shared" si="101"/>
        <v>0</v>
      </c>
      <c r="K1040" s="106">
        <f t="shared" si="102"/>
        <v>0</v>
      </c>
    </row>
    <row r="1041" spans="10:11" x14ac:dyDescent="0.2">
      <c r="J1041" s="106">
        <f t="shared" si="101"/>
        <v>0</v>
      </c>
      <c r="K1041" s="106">
        <f t="shared" si="102"/>
        <v>0</v>
      </c>
    </row>
    <row r="1042" spans="10:11" x14ac:dyDescent="0.2">
      <c r="J1042" s="106">
        <f t="shared" si="101"/>
        <v>0</v>
      </c>
      <c r="K1042" s="106">
        <f t="shared" si="102"/>
        <v>0</v>
      </c>
    </row>
    <row r="1043" spans="10:11" x14ac:dyDescent="0.2">
      <c r="J1043" s="106">
        <f t="shared" si="101"/>
        <v>0</v>
      </c>
      <c r="K1043" s="106">
        <f t="shared" si="102"/>
        <v>0</v>
      </c>
    </row>
    <row r="1044" spans="10:11" x14ac:dyDescent="0.2">
      <c r="J1044" s="106">
        <f t="shared" si="101"/>
        <v>0</v>
      </c>
      <c r="K1044" s="106">
        <f t="shared" si="102"/>
        <v>0</v>
      </c>
    </row>
    <row r="1045" spans="10:11" x14ac:dyDescent="0.2">
      <c r="J1045" s="106">
        <f t="shared" si="101"/>
        <v>0</v>
      </c>
      <c r="K1045" s="106">
        <f t="shared" si="102"/>
        <v>0</v>
      </c>
    </row>
    <row r="1046" spans="10:11" x14ac:dyDescent="0.2">
      <c r="J1046" s="106">
        <f t="shared" si="101"/>
        <v>0</v>
      </c>
      <c r="K1046" s="106">
        <f t="shared" si="102"/>
        <v>0</v>
      </c>
    </row>
    <row r="1047" spans="10:11" x14ac:dyDescent="0.2">
      <c r="J1047" s="106">
        <f t="shared" si="101"/>
        <v>0</v>
      </c>
      <c r="K1047" s="106">
        <f t="shared" si="102"/>
        <v>0</v>
      </c>
    </row>
    <row r="1048" spans="10:11" x14ac:dyDescent="0.2">
      <c r="J1048" s="106">
        <f t="shared" si="101"/>
        <v>0</v>
      </c>
      <c r="K1048" s="106">
        <f t="shared" si="102"/>
        <v>0</v>
      </c>
    </row>
    <row r="1049" spans="10:11" x14ac:dyDescent="0.2">
      <c r="J1049" s="106">
        <f t="shared" si="101"/>
        <v>0</v>
      </c>
      <c r="K1049" s="106">
        <f t="shared" si="102"/>
        <v>0</v>
      </c>
    </row>
    <row r="1050" spans="10:11" x14ac:dyDescent="0.2">
      <c r="J1050" s="106">
        <f t="shared" si="101"/>
        <v>0</v>
      </c>
      <c r="K1050" s="106">
        <f t="shared" si="102"/>
        <v>0</v>
      </c>
    </row>
    <row r="1051" spans="10:11" x14ac:dyDescent="0.2">
      <c r="J1051" s="106">
        <f t="shared" si="101"/>
        <v>0</v>
      </c>
      <c r="K1051" s="106">
        <f t="shared" si="102"/>
        <v>0</v>
      </c>
    </row>
    <row r="1052" spans="10:11" x14ac:dyDescent="0.2">
      <c r="J1052" s="106">
        <f t="shared" si="101"/>
        <v>0</v>
      </c>
      <c r="K1052" s="106">
        <f t="shared" si="102"/>
        <v>0</v>
      </c>
    </row>
    <row r="1053" spans="10:11" x14ac:dyDescent="0.2">
      <c r="J1053" s="106">
        <f t="shared" si="101"/>
        <v>0</v>
      </c>
      <c r="K1053" s="106">
        <f t="shared" si="102"/>
        <v>0</v>
      </c>
    </row>
    <row r="1054" spans="10:11" x14ac:dyDescent="0.2">
      <c r="J1054" s="106">
        <f t="shared" si="101"/>
        <v>0</v>
      </c>
      <c r="K1054" s="106">
        <f t="shared" si="102"/>
        <v>0</v>
      </c>
    </row>
    <row r="1055" spans="10:11" x14ac:dyDescent="0.2">
      <c r="J1055" s="106">
        <f t="shared" si="101"/>
        <v>0</v>
      </c>
      <c r="K1055" s="106">
        <f t="shared" si="102"/>
        <v>0</v>
      </c>
    </row>
    <row r="1056" spans="10:11" x14ac:dyDescent="0.2">
      <c r="J1056" s="106">
        <f t="shared" si="101"/>
        <v>0</v>
      </c>
      <c r="K1056" s="106">
        <f t="shared" si="102"/>
        <v>0</v>
      </c>
    </row>
    <row r="1057" spans="10:11" x14ac:dyDescent="0.2">
      <c r="J1057" s="106">
        <f t="shared" si="101"/>
        <v>0</v>
      </c>
      <c r="K1057" s="106">
        <f t="shared" si="102"/>
        <v>0</v>
      </c>
    </row>
    <row r="1058" spans="10:11" x14ac:dyDescent="0.2">
      <c r="J1058" s="106">
        <f t="shared" si="101"/>
        <v>0</v>
      </c>
      <c r="K1058" s="106">
        <f t="shared" si="102"/>
        <v>0</v>
      </c>
    </row>
    <row r="1059" spans="10:11" x14ac:dyDescent="0.2">
      <c r="J1059" s="106">
        <f t="shared" si="101"/>
        <v>0</v>
      </c>
      <c r="K1059" s="106">
        <f t="shared" si="102"/>
        <v>0</v>
      </c>
    </row>
    <row r="1060" spans="10:11" x14ac:dyDescent="0.2">
      <c r="J1060" s="106">
        <f t="shared" si="101"/>
        <v>0</v>
      </c>
      <c r="K1060" s="106">
        <f t="shared" si="102"/>
        <v>0</v>
      </c>
    </row>
    <row r="1061" spans="10:11" x14ac:dyDescent="0.2">
      <c r="J1061" s="106">
        <f t="shared" si="101"/>
        <v>0</v>
      </c>
      <c r="K1061" s="106">
        <f t="shared" si="102"/>
        <v>0</v>
      </c>
    </row>
    <row r="1062" spans="10:11" x14ac:dyDescent="0.2">
      <c r="J1062" s="106">
        <f t="shared" si="101"/>
        <v>0</v>
      </c>
      <c r="K1062" s="106">
        <f t="shared" si="102"/>
        <v>0</v>
      </c>
    </row>
    <row r="1063" spans="10:11" x14ac:dyDescent="0.2">
      <c r="J1063" s="106">
        <f t="shared" si="101"/>
        <v>0</v>
      </c>
      <c r="K1063" s="106">
        <f t="shared" si="102"/>
        <v>0</v>
      </c>
    </row>
    <row r="1064" spans="10:11" x14ac:dyDescent="0.2">
      <c r="J1064" s="106">
        <f t="shared" si="101"/>
        <v>0</v>
      </c>
      <c r="K1064" s="106">
        <f t="shared" si="102"/>
        <v>0</v>
      </c>
    </row>
    <row r="1065" spans="10:11" x14ac:dyDescent="0.2">
      <c r="J1065" s="106">
        <f t="shared" si="101"/>
        <v>0</v>
      </c>
      <c r="K1065" s="106">
        <f t="shared" si="102"/>
        <v>0</v>
      </c>
    </row>
    <row r="1066" spans="10:11" x14ac:dyDescent="0.2">
      <c r="J1066" s="106">
        <f t="shared" si="101"/>
        <v>0</v>
      </c>
      <c r="K1066" s="106">
        <f t="shared" si="102"/>
        <v>0</v>
      </c>
    </row>
    <row r="1067" spans="10:11" x14ac:dyDescent="0.2">
      <c r="J1067" s="106">
        <f t="shared" si="101"/>
        <v>0</v>
      </c>
      <c r="K1067" s="106">
        <f t="shared" si="102"/>
        <v>0</v>
      </c>
    </row>
    <row r="1068" spans="10:11" x14ac:dyDescent="0.2">
      <c r="J1068" s="106">
        <f t="shared" si="101"/>
        <v>0</v>
      </c>
      <c r="K1068" s="106">
        <f t="shared" si="102"/>
        <v>0</v>
      </c>
    </row>
    <row r="1069" spans="10:11" x14ac:dyDescent="0.2">
      <c r="J1069" s="106">
        <f t="shared" si="101"/>
        <v>0</v>
      </c>
      <c r="K1069" s="106">
        <f t="shared" si="102"/>
        <v>0</v>
      </c>
    </row>
    <row r="1070" spans="10:11" x14ac:dyDescent="0.2">
      <c r="J1070" s="106">
        <f t="shared" si="101"/>
        <v>0</v>
      </c>
      <c r="K1070" s="106">
        <f t="shared" si="102"/>
        <v>0</v>
      </c>
    </row>
    <row r="1071" spans="10:11" x14ac:dyDescent="0.2">
      <c r="J1071" s="106">
        <f t="shared" si="101"/>
        <v>0</v>
      </c>
      <c r="K1071" s="106">
        <f t="shared" si="102"/>
        <v>0</v>
      </c>
    </row>
    <row r="1072" spans="10:11" x14ac:dyDescent="0.2">
      <c r="J1072" s="106">
        <f t="shared" si="101"/>
        <v>0</v>
      </c>
      <c r="K1072" s="106">
        <f t="shared" si="102"/>
        <v>0</v>
      </c>
    </row>
    <row r="1073" spans="10:11" x14ac:dyDescent="0.2">
      <c r="J1073" s="106">
        <f t="shared" si="101"/>
        <v>0</v>
      </c>
      <c r="K1073" s="106">
        <f t="shared" si="102"/>
        <v>0</v>
      </c>
    </row>
    <row r="1074" spans="10:11" x14ac:dyDescent="0.2">
      <c r="J1074" s="106">
        <f t="shared" si="101"/>
        <v>0</v>
      </c>
      <c r="K1074" s="106">
        <f t="shared" si="102"/>
        <v>0</v>
      </c>
    </row>
    <row r="1075" spans="10:11" x14ac:dyDescent="0.2">
      <c r="J1075" s="106">
        <f t="shared" si="101"/>
        <v>0</v>
      </c>
      <c r="K1075" s="106">
        <f t="shared" si="102"/>
        <v>0</v>
      </c>
    </row>
    <row r="1076" spans="10:11" x14ac:dyDescent="0.2">
      <c r="J1076" s="106">
        <f t="shared" si="101"/>
        <v>0</v>
      </c>
      <c r="K1076" s="106">
        <f t="shared" si="102"/>
        <v>0</v>
      </c>
    </row>
    <row r="1077" spans="10:11" x14ac:dyDescent="0.2">
      <c r="J1077" s="106">
        <f t="shared" si="101"/>
        <v>0</v>
      </c>
      <c r="K1077" s="106">
        <f t="shared" si="102"/>
        <v>0</v>
      </c>
    </row>
    <row r="1078" spans="10:11" x14ac:dyDescent="0.2">
      <c r="J1078" s="106">
        <f t="shared" si="101"/>
        <v>0</v>
      </c>
      <c r="K1078" s="106">
        <f t="shared" si="102"/>
        <v>0</v>
      </c>
    </row>
    <row r="1079" spans="10:11" x14ac:dyDescent="0.2">
      <c r="J1079" s="106">
        <f t="shared" si="101"/>
        <v>0</v>
      </c>
      <c r="K1079" s="106">
        <f t="shared" si="102"/>
        <v>0</v>
      </c>
    </row>
    <row r="1080" spans="10:11" x14ac:dyDescent="0.2">
      <c r="J1080" s="106">
        <f t="shared" si="101"/>
        <v>0</v>
      </c>
      <c r="K1080" s="106">
        <f t="shared" si="102"/>
        <v>0</v>
      </c>
    </row>
    <row r="1081" spans="10:11" x14ac:dyDescent="0.2">
      <c r="J1081" s="106">
        <f t="shared" si="101"/>
        <v>0</v>
      </c>
      <c r="K1081" s="106">
        <f t="shared" si="102"/>
        <v>0</v>
      </c>
    </row>
    <row r="1082" spans="10:11" x14ac:dyDescent="0.2">
      <c r="J1082" s="106">
        <f t="shared" si="101"/>
        <v>0</v>
      </c>
      <c r="K1082" s="106">
        <f t="shared" si="102"/>
        <v>0</v>
      </c>
    </row>
    <row r="1083" spans="10:11" x14ac:dyDescent="0.2">
      <c r="J1083" s="106">
        <f t="shared" si="101"/>
        <v>0</v>
      </c>
      <c r="K1083" s="106">
        <f t="shared" si="102"/>
        <v>0</v>
      </c>
    </row>
    <row r="1084" spans="10:11" x14ac:dyDescent="0.2">
      <c r="J1084" s="106">
        <f t="shared" si="101"/>
        <v>0</v>
      </c>
      <c r="K1084" s="106">
        <f t="shared" si="102"/>
        <v>0</v>
      </c>
    </row>
    <row r="1085" spans="10:11" x14ac:dyDescent="0.2">
      <c r="J1085" s="106">
        <f t="shared" si="101"/>
        <v>0</v>
      </c>
      <c r="K1085" s="106">
        <f t="shared" si="102"/>
        <v>0</v>
      </c>
    </row>
    <row r="1086" spans="10:11" x14ac:dyDescent="0.2">
      <c r="J1086" s="106">
        <f t="shared" si="101"/>
        <v>0</v>
      </c>
      <c r="K1086" s="106">
        <f t="shared" si="102"/>
        <v>0</v>
      </c>
    </row>
    <row r="1087" spans="10:11" x14ac:dyDescent="0.2">
      <c r="J1087" s="106">
        <f t="shared" si="101"/>
        <v>0</v>
      </c>
      <c r="K1087" s="106">
        <f t="shared" si="102"/>
        <v>0</v>
      </c>
    </row>
    <row r="1088" spans="10:11" x14ac:dyDescent="0.2">
      <c r="J1088" s="106">
        <f t="shared" si="101"/>
        <v>0</v>
      </c>
      <c r="K1088" s="106">
        <f t="shared" si="102"/>
        <v>0</v>
      </c>
    </row>
    <row r="1089" spans="10:11" x14ac:dyDescent="0.2">
      <c r="J1089" s="106">
        <f t="shared" si="101"/>
        <v>0</v>
      </c>
      <c r="K1089" s="106">
        <f t="shared" si="102"/>
        <v>0</v>
      </c>
    </row>
    <row r="1090" spans="10:11" x14ac:dyDescent="0.2">
      <c r="J1090" s="106">
        <f t="shared" si="101"/>
        <v>0</v>
      </c>
      <c r="K1090" s="106">
        <f t="shared" si="102"/>
        <v>0</v>
      </c>
    </row>
    <row r="1091" spans="10:11" x14ac:dyDescent="0.2">
      <c r="J1091" s="106">
        <f t="shared" si="101"/>
        <v>0</v>
      </c>
      <c r="K1091" s="106">
        <f t="shared" si="102"/>
        <v>0</v>
      </c>
    </row>
    <row r="1092" spans="10:11" x14ac:dyDescent="0.2">
      <c r="J1092" s="106">
        <f t="shared" ref="J1092:J1155" si="103">+ROUND(J1091-I1091,100)</f>
        <v>0</v>
      </c>
      <c r="K1092" s="106">
        <f t="shared" ref="K1092:K1155" si="104">+SIGN(ROUND(J1092,0))</f>
        <v>0</v>
      </c>
    </row>
    <row r="1093" spans="10:11" x14ac:dyDescent="0.2">
      <c r="J1093" s="106">
        <f t="shared" si="103"/>
        <v>0</v>
      </c>
      <c r="K1093" s="106">
        <f t="shared" si="104"/>
        <v>0</v>
      </c>
    </row>
    <row r="1094" spans="10:11" x14ac:dyDescent="0.2">
      <c r="J1094" s="106">
        <f t="shared" si="103"/>
        <v>0</v>
      </c>
      <c r="K1094" s="106">
        <f t="shared" si="104"/>
        <v>0</v>
      </c>
    </row>
    <row r="1095" spans="10:11" x14ac:dyDescent="0.2">
      <c r="J1095" s="106">
        <f t="shared" si="103"/>
        <v>0</v>
      </c>
      <c r="K1095" s="106">
        <f t="shared" si="104"/>
        <v>0</v>
      </c>
    </row>
    <row r="1096" spans="10:11" x14ac:dyDescent="0.2">
      <c r="J1096" s="106">
        <f t="shared" si="103"/>
        <v>0</v>
      </c>
      <c r="K1096" s="106">
        <f t="shared" si="104"/>
        <v>0</v>
      </c>
    </row>
    <row r="1097" spans="10:11" x14ac:dyDescent="0.2">
      <c r="J1097" s="106">
        <f t="shared" si="103"/>
        <v>0</v>
      </c>
      <c r="K1097" s="106">
        <f t="shared" si="104"/>
        <v>0</v>
      </c>
    </row>
    <row r="1098" spans="10:11" x14ac:dyDescent="0.2">
      <c r="J1098" s="106">
        <f t="shared" si="103"/>
        <v>0</v>
      </c>
      <c r="K1098" s="106">
        <f t="shared" si="104"/>
        <v>0</v>
      </c>
    </row>
    <row r="1099" spans="10:11" x14ac:dyDescent="0.2">
      <c r="J1099" s="106">
        <f t="shared" si="103"/>
        <v>0</v>
      </c>
      <c r="K1099" s="106">
        <f t="shared" si="104"/>
        <v>0</v>
      </c>
    </row>
    <row r="1100" spans="10:11" x14ac:dyDescent="0.2">
      <c r="J1100" s="106">
        <f t="shared" si="103"/>
        <v>0</v>
      </c>
      <c r="K1100" s="106">
        <f t="shared" si="104"/>
        <v>0</v>
      </c>
    </row>
    <row r="1101" spans="10:11" x14ac:dyDescent="0.2">
      <c r="J1101" s="106">
        <f t="shared" si="103"/>
        <v>0</v>
      </c>
      <c r="K1101" s="106">
        <f t="shared" si="104"/>
        <v>0</v>
      </c>
    </row>
    <row r="1102" spans="10:11" x14ac:dyDescent="0.2">
      <c r="J1102" s="106">
        <f t="shared" si="103"/>
        <v>0</v>
      </c>
      <c r="K1102" s="106">
        <f t="shared" si="104"/>
        <v>0</v>
      </c>
    </row>
    <row r="1103" spans="10:11" x14ac:dyDescent="0.2">
      <c r="J1103" s="106">
        <f t="shared" si="103"/>
        <v>0</v>
      </c>
      <c r="K1103" s="106">
        <f t="shared" si="104"/>
        <v>0</v>
      </c>
    </row>
    <row r="1104" spans="10:11" x14ac:dyDescent="0.2">
      <c r="J1104" s="106">
        <f t="shared" si="103"/>
        <v>0</v>
      </c>
      <c r="K1104" s="106">
        <f t="shared" si="104"/>
        <v>0</v>
      </c>
    </row>
    <row r="1105" spans="10:11" x14ac:dyDescent="0.2">
      <c r="J1105" s="106">
        <f t="shared" si="103"/>
        <v>0</v>
      </c>
      <c r="K1105" s="106">
        <f t="shared" si="104"/>
        <v>0</v>
      </c>
    </row>
    <row r="1106" spans="10:11" x14ac:dyDescent="0.2">
      <c r="J1106" s="106">
        <f t="shared" si="103"/>
        <v>0</v>
      </c>
      <c r="K1106" s="106">
        <f t="shared" si="104"/>
        <v>0</v>
      </c>
    </row>
    <row r="1107" spans="10:11" x14ac:dyDescent="0.2">
      <c r="J1107" s="106">
        <f t="shared" si="103"/>
        <v>0</v>
      </c>
      <c r="K1107" s="106">
        <f t="shared" si="104"/>
        <v>0</v>
      </c>
    </row>
    <row r="1108" spans="10:11" x14ac:dyDescent="0.2">
      <c r="J1108" s="106">
        <f t="shared" si="103"/>
        <v>0</v>
      </c>
      <c r="K1108" s="106">
        <f t="shared" si="104"/>
        <v>0</v>
      </c>
    </row>
    <row r="1109" spans="10:11" x14ac:dyDescent="0.2">
      <c r="J1109" s="106">
        <f t="shared" si="103"/>
        <v>0</v>
      </c>
      <c r="K1109" s="106">
        <f t="shared" si="104"/>
        <v>0</v>
      </c>
    </row>
    <row r="1110" spans="10:11" x14ac:dyDescent="0.2">
      <c r="J1110" s="106">
        <f t="shared" si="103"/>
        <v>0</v>
      </c>
      <c r="K1110" s="106">
        <f t="shared" si="104"/>
        <v>0</v>
      </c>
    </row>
    <row r="1111" spans="10:11" x14ac:dyDescent="0.2">
      <c r="J1111" s="106">
        <f t="shared" si="103"/>
        <v>0</v>
      </c>
      <c r="K1111" s="106">
        <f t="shared" si="104"/>
        <v>0</v>
      </c>
    </row>
    <row r="1112" spans="10:11" x14ac:dyDescent="0.2">
      <c r="J1112" s="106">
        <f t="shared" si="103"/>
        <v>0</v>
      </c>
      <c r="K1112" s="106">
        <f t="shared" si="104"/>
        <v>0</v>
      </c>
    </row>
    <row r="1113" spans="10:11" x14ac:dyDescent="0.2">
      <c r="J1113" s="106">
        <f t="shared" si="103"/>
        <v>0</v>
      </c>
      <c r="K1113" s="106">
        <f t="shared" si="104"/>
        <v>0</v>
      </c>
    </row>
    <row r="1114" spans="10:11" x14ac:dyDescent="0.2">
      <c r="J1114" s="106">
        <f t="shared" si="103"/>
        <v>0</v>
      </c>
      <c r="K1114" s="106">
        <f t="shared" si="104"/>
        <v>0</v>
      </c>
    </row>
    <row r="1115" spans="10:11" x14ac:dyDescent="0.2">
      <c r="J1115" s="106">
        <f t="shared" si="103"/>
        <v>0</v>
      </c>
      <c r="K1115" s="106">
        <f t="shared" si="104"/>
        <v>0</v>
      </c>
    </row>
    <row r="1116" spans="10:11" x14ac:dyDescent="0.2">
      <c r="J1116" s="106">
        <f t="shared" si="103"/>
        <v>0</v>
      </c>
      <c r="K1116" s="106">
        <f t="shared" si="104"/>
        <v>0</v>
      </c>
    </row>
    <row r="1117" spans="10:11" x14ac:dyDescent="0.2">
      <c r="J1117" s="106">
        <f t="shared" si="103"/>
        <v>0</v>
      </c>
      <c r="K1117" s="106">
        <f t="shared" si="104"/>
        <v>0</v>
      </c>
    </row>
    <row r="1118" spans="10:11" x14ac:dyDescent="0.2">
      <c r="J1118" s="106">
        <f t="shared" si="103"/>
        <v>0</v>
      </c>
      <c r="K1118" s="106">
        <f t="shared" si="104"/>
        <v>0</v>
      </c>
    </row>
    <row r="1119" spans="10:11" x14ac:dyDescent="0.2">
      <c r="J1119" s="106">
        <f t="shared" si="103"/>
        <v>0</v>
      </c>
      <c r="K1119" s="106">
        <f t="shared" si="104"/>
        <v>0</v>
      </c>
    </row>
    <row r="1120" spans="10:11" x14ac:dyDescent="0.2">
      <c r="J1120" s="106">
        <f t="shared" si="103"/>
        <v>0</v>
      </c>
      <c r="K1120" s="106">
        <f t="shared" si="104"/>
        <v>0</v>
      </c>
    </row>
    <row r="1121" spans="10:11" x14ac:dyDescent="0.2">
      <c r="J1121" s="106">
        <f t="shared" si="103"/>
        <v>0</v>
      </c>
      <c r="K1121" s="106">
        <f t="shared" si="104"/>
        <v>0</v>
      </c>
    </row>
    <row r="1122" spans="10:11" x14ac:dyDescent="0.2">
      <c r="J1122" s="106">
        <f t="shared" si="103"/>
        <v>0</v>
      </c>
      <c r="K1122" s="106">
        <f t="shared" si="104"/>
        <v>0</v>
      </c>
    </row>
    <row r="1123" spans="10:11" x14ac:dyDescent="0.2">
      <c r="J1123" s="106">
        <f t="shared" si="103"/>
        <v>0</v>
      </c>
      <c r="K1123" s="106">
        <f t="shared" si="104"/>
        <v>0</v>
      </c>
    </row>
    <row r="1124" spans="10:11" x14ac:dyDescent="0.2">
      <c r="J1124" s="106">
        <f t="shared" si="103"/>
        <v>0</v>
      </c>
      <c r="K1124" s="106">
        <f t="shared" si="104"/>
        <v>0</v>
      </c>
    </row>
    <row r="1125" spans="10:11" x14ac:dyDescent="0.2">
      <c r="J1125" s="106">
        <f t="shared" si="103"/>
        <v>0</v>
      </c>
      <c r="K1125" s="106">
        <f t="shared" si="104"/>
        <v>0</v>
      </c>
    </row>
    <row r="1126" spans="10:11" x14ac:dyDescent="0.2">
      <c r="J1126" s="106">
        <f t="shared" si="103"/>
        <v>0</v>
      </c>
      <c r="K1126" s="106">
        <f t="shared" si="104"/>
        <v>0</v>
      </c>
    </row>
    <row r="1127" spans="10:11" x14ac:dyDescent="0.2">
      <c r="J1127" s="106">
        <f t="shared" si="103"/>
        <v>0</v>
      </c>
      <c r="K1127" s="106">
        <f t="shared" si="104"/>
        <v>0</v>
      </c>
    </row>
    <row r="1128" spans="10:11" x14ac:dyDescent="0.2">
      <c r="J1128" s="106">
        <f t="shared" si="103"/>
        <v>0</v>
      </c>
      <c r="K1128" s="106">
        <f t="shared" si="104"/>
        <v>0</v>
      </c>
    </row>
    <row r="1129" spans="10:11" x14ac:dyDescent="0.2">
      <c r="J1129" s="106">
        <f t="shared" si="103"/>
        <v>0</v>
      </c>
      <c r="K1129" s="106">
        <f t="shared" si="104"/>
        <v>0</v>
      </c>
    </row>
    <row r="1130" spans="10:11" x14ac:dyDescent="0.2">
      <c r="J1130" s="106">
        <f t="shared" si="103"/>
        <v>0</v>
      </c>
      <c r="K1130" s="106">
        <f t="shared" si="104"/>
        <v>0</v>
      </c>
    </row>
    <row r="1131" spans="10:11" x14ac:dyDescent="0.2">
      <c r="J1131" s="106">
        <f t="shared" si="103"/>
        <v>0</v>
      </c>
      <c r="K1131" s="106">
        <f t="shared" si="104"/>
        <v>0</v>
      </c>
    </row>
    <row r="1132" spans="10:11" x14ac:dyDescent="0.2">
      <c r="J1132" s="106">
        <f t="shared" si="103"/>
        <v>0</v>
      </c>
      <c r="K1132" s="106">
        <f t="shared" si="104"/>
        <v>0</v>
      </c>
    </row>
    <row r="1133" spans="10:11" x14ac:dyDescent="0.2">
      <c r="J1133" s="106">
        <f t="shared" si="103"/>
        <v>0</v>
      </c>
      <c r="K1133" s="106">
        <f t="shared" si="104"/>
        <v>0</v>
      </c>
    </row>
    <row r="1134" spans="10:11" x14ac:dyDescent="0.2">
      <c r="J1134" s="106">
        <f t="shared" si="103"/>
        <v>0</v>
      </c>
      <c r="K1134" s="106">
        <f t="shared" si="104"/>
        <v>0</v>
      </c>
    </row>
    <row r="1135" spans="10:11" x14ac:dyDescent="0.2">
      <c r="J1135" s="106">
        <f t="shared" si="103"/>
        <v>0</v>
      </c>
      <c r="K1135" s="106">
        <f t="shared" si="104"/>
        <v>0</v>
      </c>
    </row>
    <row r="1136" spans="10:11" x14ac:dyDescent="0.2">
      <c r="J1136" s="106">
        <f t="shared" si="103"/>
        <v>0</v>
      </c>
      <c r="K1136" s="106">
        <f t="shared" si="104"/>
        <v>0</v>
      </c>
    </row>
    <row r="1137" spans="10:11" x14ac:dyDescent="0.2">
      <c r="J1137" s="106">
        <f t="shared" si="103"/>
        <v>0</v>
      </c>
      <c r="K1137" s="106">
        <f t="shared" si="104"/>
        <v>0</v>
      </c>
    </row>
    <row r="1138" spans="10:11" x14ac:dyDescent="0.2">
      <c r="J1138" s="106">
        <f t="shared" si="103"/>
        <v>0</v>
      </c>
      <c r="K1138" s="106">
        <f t="shared" si="104"/>
        <v>0</v>
      </c>
    </row>
    <row r="1139" spans="10:11" x14ac:dyDescent="0.2">
      <c r="J1139" s="106">
        <f t="shared" si="103"/>
        <v>0</v>
      </c>
      <c r="K1139" s="106">
        <f t="shared" si="104"/>
        <v>0</v>
      </c>
    </row>
    <row r="1140" spans="10:11" x14ac:dyDescent="0.2">
      <c r="J1140" s="106">
        <f t="shared" si="103"/>
        <v>0</v>
      </c>
      <c r="K1140" s="106">
        <f t="shared" si="104"/>
        <v>0</v>
      </c>
    </row>
    <row r="1141" spans="10:11" x14ac:dyDescent="0.2">
      <c r="J1141" s="106">
        <f t="shared" si="103"/>
        <v>0</v>
      </c>
      <c r="K1141" s="106">
        <f t="shared" si="104"/>
        <v>0</v>
      </c>
    </row>
    <row r="1142" spans="10:11" x14ac:dyDescent="0.2">
      <c r="J1142" s="106">
        <f t="shared" si="103"/>
        <v>0</v>
      </c>
      <c r="K1142" s="106">
        <f t="shared" si="104"/>
        <v>0</v>
      </c>
    </row>
    <row r="1143" spans="10:11" x14ac:dyDescent="0.2">
      <c r="J1143" s="106">
        <f t="shared" si="103"/>
        <v>0</v>
      </c>
      <c r="K1143" s="106">
        <f t="shared" si="104"/>
        <v>0</v>
      </c>
    </row>
    <row r="1144" spans="10:11" x14ac:dyDescent="0.2">
      <c r="J1144" s="106">
        <f t="shared" si="103"/>
        <v>0</v>
      </c>
      <c r="K1144" s="106">
        <f t="shared" si="104"/>
        <v>0</v>
      </c>
    </row>
    <row r="1145" spans="10:11" x14ac:dyDescent="0.2">
      <c r="J1145" s="106">
        <f t="shared" si="103"/>
        <v>0</v>
      </c>
      <c r="K1145" s="106">
        <f t="shared" si="104"/>
        <v>0</v>
      </c>
    </row>
    <row r="1146" spans="10:11" x14ac:dyDescent="0.2">
      <c r="J1146" s="106">
        <f t="shared" si="103"/>
        <v>0</v>
      </c>
      <c r="K1146" s="106">
        <f t="shared" si="104"/>
        <v>0</v>
      </c>
    </row>
    <row r="1147" spans="10:11" x14ac:dyDescent="0.2">
      <c r="J1147" s="106">
        <f t="shared" si="103"/>
        <v>0</v>
      </c>
      <c r="K1147" s="106">
        <f t="shared" si="104"/>
        <v>0</v>
      </c>
    </row>
    <row r="1148" spans="10:11" x14ac:dyDescent="0.2">
      <c r="J1148" s="106">
        <f t="shared" si="103"/>
        <v>0</v>
      </c>
      <c r="K1148" s="106">
        <f t="shared" si="104"/>
        <v>0</v>
      </c>
    </row>
    <row r="1149" spans="10:11" x14ac:dyDescent="0.2">
      <c r="J1149" s="106">
        <f t="shared" si="103"/>
        <v>0</v>
      </c>
      <c r="K1149" s="106">
        <f t="shared" si="104"/>
        <v>0</v>
      </c>
    </row>
    <row r="1150" spans="10:11" x14ac:dyDescent="0.2">
      <c r="J1150" s="106">
        <f t="shared" si="103"/>
        <v>0</v>
      </c>
      <c r="K1150" s="106">
        <f t="shared" si="104"/>
        <v>0</v>
      </c>
    </row>
    <row r="1151" spans="10:11" x14ac:dyDescent="0.2">
      <c r="J1151" s="106">
        <f t="shared" si="103"/>
        <v>0</v>
      </c>
      <c r="K1151" s="106">
        <f t="shared" si="104"/>
        <v>0</v>
      </c>
    </row>
    <row r="1152" spans="10:11" x14ac:dyDescent="0.2">
      <c r="J1152" s="106">
        <f t="shared" si="103"/>
        <v>0</v>
      </c>
      <c r="K1152" s="106">
        <f t="shared" si="104"/>
        <v>0</v>
      </c>
    </row>
    <row r="1153" spans="10:11" x14ac:dyDescent="0.2">
      <c r="J1153" s="106">
        <f t="shared" si="103"/>
        <v>0</v>
      </c>
      <c r="K1153" s="106">
        <f t="shared" si="104"/>
        <v>0</v>
      </c>
    </row>
    <row r="1154" spans="10:11" x14ac:dyDescent="0.2">
      <c r="J1154" s="106">
        <f t="shared" si="103"/>
        <v>0</v>
      </c>
      <c r="K1154" s="106">
        <f t="shared" si="104"/>
        <v>0</v>
      </c>
    </row>
    <row r="1155" spans="10:11" x14ac:dyDescent="0.2">
      <c r="J1155" s="106">
        <f t="shared" si="103"/>
        <v>0</v>
      </c>
      <c r="K1155" s="106">
        <f t="shared" si="104"/>
        <v>0</v>
      </c>
    </row>
    <row r="1156" spans="10:11" x14ac:dyDescent="0.2">
      <c r="J1156" s="106">
        <f t="shared" ref="J1156:J1219" si="105">+ROUND(J1155-I1155,100)</f>
        <v>0</v>
      </c>
      <c r="K1156" s="106">
        <f t="shared" ref="K1156:K1219" si="106">+SIGN(ROUND(J1156,0))</f>
        <v>0</v>
      </c>
    </row>
    <row r="1157" spans="10:11" x14ac:dyDescent="0.2">
      <c r="J1157" s="106">
        <f t="shared" si="105"/>
        <v>0</v>
      </c>
      <c r="K1157" s="106">
        <f t="shared" si="106"/>
        <v>0</v>
      </c>
    </row>
    <row r="1158" spans="10:11" x14ac:dyDescent="0.2">
      <c r="J1158" s="106">
        <f t="shared" si="105"/>
        <v>0</v>
      </c>
      <c r="K1158" s="106">
        <f t="shared" si="106"/>
        <v>0</v>
      </c>
    </row>
    <row r="1159" spans="10:11" x14ac:dyDescent="0.2">
      <c r="J1159" s="106">
        <f t="shared" si="105"/>
        <v>0</v>
      </c>
      <c r="K1159" s="106">
        <f t="shared" si="106"/>
        <v>0</v>
      </c>
    </row>
    <row r="1160" spans="10:11" x14ac:dyDescent="0.2">
      <c r="J1160" s="106">
        <f t="shared" si="105"/>
        <v>0</v>
      </c>
      <c r="K1160" s="106">
        <f t="shared" si="106"/>
        <v>0</v>
      </c>
    </row>
    <row r="1161" spans="10:11" x14ac:dyDescent="0.2">
      <c r="J1161" s="106">
        <f t="shared" si="105"/>
        <v>0</v>
      </c>
      <c r="K1161" s="106">
        <f t="shared" si="106"/>
        <v>0</v>
      </c>
    </row>
    <row r="1162" spans="10:11" x14ac:dyDescent="0.2">
      <c r="J1162" s="106">
        <f t="shared" si="105"/>
        <v>0</v>
      </c>
      <c r="K1162" s="106">
        <f t="shared" si="106"/>
        <v>0</v>
      </c>
    </row>
    <row r="1163" spans="10:11" x14ac:dyDescent="0.2">
      <c r="J1163" s="106">
        <f t="shared" si="105"/>
        <v>0</v>
      </c>
      <c r="K1163" s="106">
        <f t="shared" si="106"/>
        <v>0</v>
      </c>
    </row>
    <row r="1164" spans="10:11" x14ac:dyDescent="0.2">
      <c r="J1164" s="106">
        <f t="shared" si="105"/>
        <v>0</v>
      </c>
      <c r="K1164" s="106">
        <f t="shared" si="106"/>
        <v>0</v>
      </c>
    </row>
    <row r="1165" spans="10:11" x14ac:dyDescent="0.2">
      <c r="J1165" s="106">
        <f t="shared" si="105"/>
        <v>0</v>
      </c>
      <c r="K1165" s="106">
        <f t="shared" si="106"/>
        <v>0</v>
      </c>
    </row>
    <row r="1166" spans="10:11" x14ac:dyDescent="0.2">
      <c r="J1166" s="106">
        <f t="shared" si="105"/>
        <v>0</v>
      </c>
      <c r="K1166" s="106">
        <f t="shared" si="106"/>
        <v>0</v>
      </c>
    </row>
    <row r="1167" spans="10:11" x14ac:dyDescent="0.2">
      <c r="J1167" s="106">
        <f t="shared" si="105"/>
        <v>0</v>
      </c>
      <c r="K1167" s="106">
        <f t="shared" si="106"/>
        <v>0</v>
      </c>
    </row>
    <row r="1168" spans="10:11" x14ac:dyDescent="0.2">
      <c r="J1168" s="106">
        <f t="shared" si="105"/>
        <v>0</v>
      </c>
      <c r="K1168" s="106">
        <f t="shared" si="106"/>
        <v>0</v>
      </c>
    </row>
    <row r="1169" spans="10:11" x14ac:dyDescent="0.2">
      <c r="J1169" s="106">
        <f t="shared" si="105"/>
        <v>0</v>
      </c>
      <c r="K1169" s="106">
        <f t="shared" si="106"/>
        <v>0</v>
      </c>
    </row>
    <row r="1170" spans="10:11" x14ac:dyDescent="0.2">
      <c r="J1170" s="106">
        <f t="shared" si="105"/>
        <v>0</v>
      </c>
      <c r="K1170" s="106">
        <f t="shared" si="106"/>
        <v>0</v>
      </c>
    </row>
    <row r="1171" spans="10:11" x14ac:dyDescent="0.2">
      <c r="J1171" s="106">
        <f t="shared" si="105"/>
        <v>0</v>
      </c>
      <c r="K1171" s="106">
        <f t="shared" si="106"/>
        <v>0</v>
      </c>
    </row>
    <row r="1172" spans="10:11" x14ac:dyDescent="0.2">
      <c r="J1172" s="106">
        <f t="shared" si="105"/>
        <v>0</v>
      </c>
      <c r="K1172" s="106">
        <f t="shared" si="106"/>
        <v>0</v>
      </c>
    </row>
    <row r="1173" spans="10:11" x14ac:dyDescent="0.2">
      <c r="J1173" s="106">
        <f t="shared" si="105"/>
        <v>0</v>
      </c>
      <c r="K1173" s="106">
        <f t="shared" si="106"/>
        <v>0</v>
      </c>
    </row>
    <row r="1174" spans="10:11" x14ac:dyDescent="0.2">
      <c r="J1174" s="106">
        <f t="shared" si="105"/>
        <v>0</v>
      </c>
      <c r="K1174" s="106">
        <f t="shared" si="106"/>
        <v>0</v>
      </c>
    </row>
    <row r="1175" spans="10:11" x14ac:dyDescent="0.2">
      <c r="J1175" s="106">
        <f t="shared" si="105"/>
        <v>0</v>
      </c>
      <c r="K1175" s="106">
        <f t="shared" si="106"/>
        <v>0</v>
      </c>
    </row>
    <row r="1176" spans="10:11" x14ac:dyDescent="0.2">
      <c r="J1176" s="106">
        <f t="shared" si="105"/>
        <v>0</v>
      </c>
      <c r="K1176" s="106">
        <f t="shared" si="106"/>
        <v>0</v>
      </c>
    </row>
    <row r="1177" spans="10:11" x14ac:dyDescent="0.2">
      <c r="J1177" s="106">
        <f t="shared" si="105"/>
        <v>0</v>
      </c>
      <c r="K1177" s="106">
        <f t="shared" si="106"/>
        <v>0</v>
      </c>
    </row>
    <row r="1178" spans="10:11" x14ac:dyDescent="0.2">
      <c r="J1178" s="106">
        <f t="shared" si="105"/>
        <v>0</v>
      </c>
      <c r="K1178" s="106">
        <f t="shared" si="106"/>
        <v>0</v>
      </c>
    </row>
    <row r="1179" spans="10:11" x14ac:dyDescent="0.2">
      <c r="J1179" s="106">
        <f t="shared" si="105"/>
        <v>0</v>
      </c>
      <c r="K1179" s="106">
        <f t="shared" si="106"/>
        <v>0</v>
      </c>
    </row>
    <row r="1180" spans="10:11" x14ac:dyDescent="0.2">
      <c r="J1180" s="106">
        <f t="shared" si="105"/>
        <v>0</v>
      </c>
      <c r="K1180" s="106">
        <f t="shared" si="106"/>
        <v>0</v>
      </c>
    </row>
    <row r="1181" spans="10:11" x14ac:dyDescent="0.2">
      <c r="J1181" s="106">
        <f t="shared" si="105"/>
        <v>0</v>
      </c>
      <c r="K1181" s="106">
        <f t="shared" si="106"/>
        <v>0</v>
      </c>
    </row>
    <row r="1182" spans="10:11" x14ac:dyDescent="0.2">
      <c r="J1182" s="106">
        <f t="shared" si="105"/>
        <v>0</v>
      </c>
      <c r="K1182" s="106">
        <f t="shared" si="106"/>
        <v>0</v>
      </c>
    </row>
    <row r="1183" spans="10:11" x14ac:dyDescent="0.2">
      <c r="J1183" s="106">
        <f t="shared" si="105"/>
        <v>0</v>
      </c>
      <c r="K1183" s="106">
        <f t="shared" si="106"/>
        <v>0</v>
      </c>
    </row>
    <row r="1184" spans="10:11" x14ac:dyDescent="0.2">
      <c r="J1184" s="106">
        <f t="shared" si="105"/>
        <v>0</v>
      </c>
      <c r="K1184" s="106">
        <f t="shared" si="106"/>
        <v>0</v>
      </c>
    </row>
    <row r="1185" spans="10:11" x14ac:dyDescent="0.2">
      <c r="J1185" s="106">
        <f t="shared" si="105"/>
        <v>0</v>
      </c>
      <c r="K1185" s="106">
        <f t="shared" si="106"/>
        <v>0</v>
      </c>
    </row>
    <row r="1186" spans="10:11" x14ac:dyDescent="0.2">
      <c r="J1186" s="106">
        <f t="shared" si="105"/>
        <v>0</v>
      </c>
      <c r="K1186" s="106">
        <f t="shared" si="106"/>
        <v>0</v>
      </c>
    </row>
    <row r="1187" spans="10:11" x14ac:dyDescent="0.2">
      <c r="J1187" s="106">
        <f t="shared" si="105"/>
        <v>0</v>
      </c>
      <c r="K1187" s="106">
        <f t="shared" si="106"/>
        <v>0</v>
      </c>
    </row>
    <row r="1188" spans="10:11" x14ac:dyDescent="0.2">
      <c r="J1188" s="106">
        <f t="shared" si="105"/>
        <v>0</v>
      </c>
      <c r="K1188" s="106">
        <f t="shared" si="106"/>
        <v>0</v>
      </c>
    </row>
    <row r="1189" spans="10:11" x14ac:dyDescent="0.2">
      <c r="J1189" s="106">
        <f t="shared" si="105"/>
        <v>0</v>
      </c>
      <c r="K1189" s="106">
        <f t="shared" si="106"/>
        <v>0</v>
      </c>
    </row>
    <row r="1190" spans="10:11" x14ac:dyDescent="0.2">
      <c r="J1190" s="106">
        <f t="shared" si="105"/>
        <v>0</v>
      </c>
      <c r="K1190" s="106">
        <f t="shared" si="106"/>
        <v>0</v>
      </c>
    </row>
    <row r="1191" spans="10:11" x14ac:dyDescent="0.2">
      <c r="J1191" s="106">
        <f t="shared" si="105"/>
        <v>0</v>
      </c>
      <c r="K1191" s="106">
        <f t="shared" si="106"/>
        <v>0</v>
      </c>
    </row>
    <row r="1192" spans="10:11" x14ac:dyDescent="0.2">
      <c r="J1192" s="106">
        <f t="shared" si="105"/>
        <v>0</v>
      </c>
      <c r="K1192" s="106">
        <f t="shared" si="106"/>
        <v>0</v>
      </c>
    </row>
    <row r="1193" spans="10:11" x14ac:dyDescent="0.2">
      <c r="J1193" s="106">
        <f t="shared" si="105"/>
        <v>0</v>
      </c>
      <c r="K1193" s="106">
        <f t="shared" si="106"/>
        <v>0</v>
      </c>
    </row>
    <row r="1194" spans="10:11" x14ac:dyDescent="0.2">
      <c r="J1194" s="106">
        <f t="shared" si="105"/>
        <v>0</v>
      </c>
      <c r="K1194" s="106">
        <f t="shared" si="106"/>
        <v>0</v>
      </c>
    </row>
    <row r="1195" spans="10:11" x14ac:dyDescent="0.2">
      <c r="J1195" s="106">
        <f t="shared" si="105"/>
        <v>0</v>
      </c>
      <c r="K1195" s="106">
        <f t="shared" si="106"/>
        <v>0</v>
      </c>
    </row>
    <row r="1196" spans="10:11" x14ac:dyDescent="0.2">
      <c r="J1196" s="106">
        <f t="shared" si="105"/>
        <v>0</v>
      </c>
      <c r="K1196" s="106">
        <f t="shared" si="106"/>
        <v>0</v>
      </c>
    </row>
    <row r="1197" spans="10:11" x14ac:dyDescent="0.2">
      <c r="J1197" s="106">
        <f t="shared" si="105"/>
        <v>0</v>
      </c>
      <c r="K1197" s="106">
        <f t="shared" si="106"/>
        <v>0</v>
      </c>
    </row>
    <row r="1198" spans="10:11" x14ac:dyDescent="0.2">
      <c r="J1198" s="106">
        <f t="shared" si="105"/>
        <v>0</v>
      </c>
      <c r="K1198" s="106">
        <f t="shared" si="106"/>
        <v>0</v>
      </c>
    </row>
    <row r="1199" spans="10:11" x14ac:dyDescent="0.2">
      <c r="J1199" s="106">
        <f t="shared" si="105"/>
        <v>0</v>
      </c>
      <c r="K1199" s="106">
        <f t="shared" si="106"/>
        <v>0</v>
      </c>
    </row>
    <row r="1200" spans="10:11" x14ac:dyDescent="0.2">
      <c r="J1200" s="106">
        <f t="shared" si="105"/>
        <v>0</v>
      </c>
      <c r="K1200" s="106">
        <f t="shared" si="106"/>
        <v>0</v>
      </c>
    </row>
    <row r="1201" spans="10:11" x14ac:dyDescent="0.2">
      <c r="J1201" s="106">
        <f t="shared" si="105"/>
        <v>0</v>
      </c>
      <c r="K1201" s="106">
        <f t="shared" si="106"/>
        <v>0</v>
      </c>
    </row>
    <row r="1202" spans="10:11" x14ac:dyDescent="0.2">
      <c r="J1202" s="106">
        <f t="shared" si="105"/>
        <v>0</v>
      </c>
      <c r="K1202" s="106">
        <f t="shared" si="106"/>
        <v>0</v>
      </c>
    </row>
    <row r="1203" spans="10:11" x14ac:dyDescent="0.2">
      <c r="J1203" s="106">
        <f t="shared" si="105"/>
        <v>0</v>
      </c>
      <c r="K1203" s="106">
        <f t="shared" si="106"/>
        <v>0</v>
      </c>
    </row>
    <row r="1204" spans="10:11" x14ac:dyDescent="0.2">
      <c r="J1204" s="106">
        <f t="shared" si="105"/>
        <v>0</v>
      </c>
      <c r="K1204" s="106">
        <f t="shared" si="106"/>
        <v>0</v>
      </c>
    </row>
    <row r="1205" spans="10:11" x14ac:dyDescent="0.2">
      <c r="J1205" s="106">
        <f t="shared" si="105"/>
        <v>0</v>
      </c>
      <c r="K1205" s="106">
        <f t="shared" si="106"/>
        <v>0</v>
      </c>
    </row>
    <row r="1206" spans="10:11" x14ac:dyDescent="0.2">
      <c r="J1206" s="106">
        <f t="shared" si="105"/>
        <v>0</v>
      </c>
      <c r="K1206" s="106">
        <f t="shared" si="106"/>
        <v>0</v>
      </c>
    </row>
    <row r="1207" spans="10:11" x14ac:dyDescent="0.2">
      <c r="J1207" s="106">
        <f t="shared" si="105"/>
        <v>0</v>
      </c>
      <c r="K1207" s="106">
        <f t="shared" si="106"/>
        <v>0</v>
      </c>
    </row>
    <row r="1208" spans="10:11" x14ac:dyDescent="0.2">
      <c r="J1208" s="106">
        <f t="shared" si="105"/>
        <v>0</v>
      </c>
      <c r="K1208" s="106">
        <f t="shared" si="106"/>
        <v>0</v>
      </c>
    </row>
    <row r="1209" spans="10:11" x14ac:dyDescent="0.2">
      <c r="J1209" s="106">
        <f t="shared" si="105"/>
        <v>0</v>
      </c>
      <c r="K1209" s="106">
        <f t="shared" si="106"/>
        <v>0</v>
      </c>
    </row>
    <row r="1210" spans="10:11" x14ac:dyDescent="0.2">
      <c r="J1210" s="106">
        <f t="shared" si="105"/>
        <v>0</v>
      </c>
      <c r="K1210" s="106">
        <f t="shared" si="106"/>
        <v>0</v>
      </c>
    </row>
    <row r="1211" spans="10:11" x14ac:dyDescent="0.2">
      <c r="J1211" s="106">
        <f t="shared" si="105"/>
        <v>0</v>
      </c>
      <c r="K1211" s="106">
        <f t="shared" si="106"/>
        <v>0</v>
      </c>
    </row>
    <row r="1212" spans="10:11" x14ac:dyDescent="0.2">
      <c r="J1212" s="106">
        <f t="shared" si="105"/>
        <v>0</v>
      </c>
      <c r="K1212" s="106">
        <f t="shared" si="106"/>
        <v>0</v>
      </c>
    </row>
    <row r="1213" spans="10:11" x14ac:dyDescent="0.2">
      <c r="J1213" s="106">
        <f t="shared" si="105"/>
        <v>0</v>
      </c>
      <c r="K1213" s="106">
        <f t="shared" si="106"/>
        <v>0</v>
      </c>
    </row>
    <row r="1214" spans="10:11" x14ac:dyDescent="0.2">
      <c r="J1214" s="106">
        <f t="shared" si="105"/>
        <v>0</v>
      </c>
      <c r="K1214" s="106">
        <f t="shared" si="106"/>
        <v>0</v>
      </c>
    </row>
    <row r="1215" spans="10:11" x14ac:dyDescent="0.2">
      <c r="J1215" s="106">
        <f t="shared" si="105"/>
        <v>0</v>
      </c>
      <c r="K1215" s="106">
        <f t="shared" si="106"/>
        <v>0</v>
      </c>
    </row>
    <row r="1216" spans="10:11" x14ac:dyDescent="0.2">
      <c r="J1216" s="106">
        <f t="shared" si="105"/>
        <v>0</v>
      </c>
      <c r="K1216" s="106">
        <f t="shared" si="106"/>
        <v>0</v>
      </c>
    </row>
    <row r="1217" spans="10:11" x14ac:dyDescent="0.2">
      <c r="J1217" s="106">
        <f t="shared" si="105"/>
        <v>0</v>
      </c>
      <c r="K1217" s="106">
        <f t="shared" si="106"/>
        <v>0</v>
      </c>
    </row>
    <row r="1218" spans="10:11" x14ac:dyDescent="0.2">
      <c r="J1218" s="106">
        <f t="shared" si="105"/>
        <v>0</v>
      </c>
      <c r="K1218" s="106">
        <f t="shared" si="106"/>
        <v>0</v>
      </c>
    </row>
    <row r="1219" spans="10:11" x14ac:dyDescent="0.2">
      <c r="J1219" s="106">
        <f t="shared" si="105"/>
        <v>0</v>
      </c>
      <c r="K1219" s="106">
        <f t="shared" si="106"/>
        <v>0</v>
      </c>
    </row>
    <row r="1220" spans="10:11" x14ac:dyDescent="0.2">
      <c r="J1220" s="106">
        <f t="shared" ref="J1220:J1283" si="107">+ROUND(J1219-I1219,100)</f>
        <v>0</v>
      </c>
      <c r="K1220" s="106">
        <f t="shared" ref="K1220:K1283" si="108">+SIGN(ROUND(J1220,0))</f>
        <v>0</v>
      </c>
    </row>
    <row r="1221" spans="10:11" x14ac:dyDescent="0.2">
      <c r="J1221" s="106">
        <f t="shared" si="107"/>
        <v>0</v>
      </c>
      <c r="K1221" s="106">
        <f t="shared" si="108"/>
        <v>0</v>
      </c>
    </row>
    <row r="1222" spans="10:11" x14ac:dyDescent="0.2">
      <c r="J1222" s="106">
        <f t="shared" si="107"/>
        <v>0</v>
      </c>
      <c r="K1222" s="106">
        <f t="shared" si="108"/>
        <v>0</v>
      </c>
    </row>
    <row r="1223" spans="10:11" x14ac:dyDescent="0.2">
      <c r="J1223" s="106">
        <f t="shared" si="107"/>
        <v>0</v>
      </c>
      <c r="K1223" s="106">
        <f t="shared" si="108"/>
        <v>0</v>
      </c>
    </row>
    <row r="1224" spans="10:11" x14ac:dyDescent="0.2">
      <c r="J1224" s="106">
        <f t="shared" si="107"/>
        <v>0</v>
      </c>
      <c r="K1224" s="106">
        <f t="shared" si="108"/>
        <v>0</v>
      </c>
    </row>
    <row r="1225" spans="10:11" x14ac:dyDescent="0.2">
      <c r="J1225" s="106">
        <f t="shared" si="107"/>
        <v>0</v>
      </c>
      <c r="K1225" s="106">
        <f t="shared" si="108"/>
        <v>0</v>
      </c>
    </row>
    <row r="1226" spans="10:11" x14ac:dyDescent="0.2">
      <c r="J1226" s="106">
        <f t="shared" si="107"/>
        <v>0</v>
      </c>
      <c r="K1226" s="106">
        <f t="shared" si="108"/>
        <v>0</v>
      </c>
    </row>
    <row r="1227" spans="10:11" x14ac:dyDescent="0.2">
      <c r="J1227" s="106">
        <f t="shared" si="107"/>
        <v>0</v>
      </c>
      <c r="K1227" s="106">
        <f t="shared" si="108"/>
        <v>0</v>
      </c>
    </row>
    <row r="1228" spans="10:11" x14ac:dyDescent="0.2">
      <c r="J1228" s="106">
        <f t="shared" si="107"/>
        <v>0</v>
      </c>
      <c r="K1228" s="106">
        <f t="shared" si="108"/>
        <v>0</v>
      </c>
    </row>
    <row r="1229" spans="10:11" x14ac:dyDescent="0.2">
      <c r="J1229" s="106">
        <f t="shared" si="107"/>
        <v>0</v>
      </c>
      <c r="K1229" s="106">
        <f t="shared" si="108"/>
        <v>0</v>
      </c>
    </row>
    <row r="1230" spans="10:11" x14ac:dyDescent="0.2">
      <c r="J1230" s="106">
        <f t="shared" si="107"/>
        <v>0</v>
      </c>
      <c r="K1230" s="106">
        <f t="shared" si="108"/>
        <v>0</v>
      </c>
    </row>
    <row r="1231" spans="10:11" x14ac:dyDescent="0.2">
      <c r="J1231" s="106">
        <f t="shared" si="107"/>
        <v>0</v>
      </c>
      <c r="K1231" s="106">
        <f t="shared" si="108"/>
        <v>0</v>
      </c>
    </row>
    <row r="1232" spans="10:11" x14ac:dyDescent="0.2">
      <c r="J1232" s="106">
        <f t="shared" si="107"/>
        <v>0</v>
      </c>
      <c r="K1232" s="106">
        <f t="shared" si="108"/>
        <v>0</v>
      </c>
    </row>
    <row r="1233" spans="10:11" x14ac:dyDescent="0.2">
      <c r="J1233" s="106">
        <f t="shared" si="107"/>
        <v>0</v>
      </c>
      <c r="K1233" s="106">
        <f t="shared" si="108"/>
        <v>0</v>
      </c>
    </row>
    <row r="1234" spans="10:11" x14ac:dyDescent="0.2">
      <c r="J1234" s="106">
        <f t="shared" si="107"/>
        <v>0</v>
      </c>
      <c r="K1234" s="106">
        <f t="shared" si="108"/>
        <v>0</v>
      </c>
    </row>
    <row r="1235" spans="10:11" x14ac:dyDescent="0.2">
      <c r="J1235" s="106">
        <f t="shared" si="107"/>
        <v>0</v>
      </c>
      <c r="K1235" s="106">
        <f t="shared" si="108"/>
        <v>0</v>
      </c>
    </row>
    <row r="1236" spans="10:11" x14ac:dyDescent="0.2">
      <c r="J1236" s="106">
        <f t="shared" si="107"/>
        <v>0</v>
      </c>
      <c r="K1236" s="106">
        <f t="shared" si="108"/>
        <v>0</v>
      </c>
    </row>
    <row r="1237" spans="10:11" x14ac:dyDescent="0.2">
      <c r="J1237" s="106">
        <f t="shared" si="107"/>
        <v>0</v>
      </c>
      <c r="K1237" s="106">
        <f t="shared" si="108"/>
        <v>0</v>
      </c>
    </row>
    <row r="1238" spans="10:11" x14ac:dyDescent="0.2">
      <c r="J1238" s="106">
        <f t="shared" si="107"/>
        <v>0</v>
      </c>
      <c r="K1238" s="106">
        <f t="shared" si="108"/>
        <v>0</v>
      </c>
    </row>
    <row r="1239" spans="10:11" x14ac:dyDescent="0.2">
      <c r="J1239" s="106">
        <f t="shared" si="107"/>
        <v>0</v>
      </c>
      <c r="K1239" s="106">
        <f t="shared" si="108"/>
        <v>0</v>
      </c>
    </row>
    <row r="1240" spans="10:11" x14ac:dyDescent="0.2">
      <c r="J1240" s="106">
        <f t="shared" si="107"/>
        <v>0</v>
      </c>
      <c r="K1240" s="106">
        <f t="shared" si="108"/>
        <v>0</v>
      </c>
    </row>
    <row r="1241" spans="10:11" x14ac:dyDescent="0.2">
      <c r="J1241" s="106">
        <f t="shared" si="107"/>
        <v>0</v>
      </c>
      <c r="K1241" s="106">
        <f t="shared" si="108"/>
        <v>0</v>
      </c>
    </row>
    <row r="1242" spans="10:11" x14ac:dyDescent="0.2">
      <c r="J1242" s="106">
        <f t="shared" si="107"/>
        <v>0</v>
      </c>
      <c r="K1242" s="106">
        <f t="shared" si="108"/>
        <v>0</v>
      </c>
    </row>
    <row r="1243" spans="10:11" x14ac:dyDescent="0.2">
      <c r="J1243" s="106">
        <f t="shared" si="107"/>
        <v>0</v>
      </c>
      <c r="K1243" s="106">
        <f t="shared" si="108"/>
        <v>0</v>
      </c>
    </row>
    <row r="1244" spans="10:11" x14ac:dyDescent="0.2">
      <c r="J1244" s="106">
        <f t="shared" si="107"/>
        <v>0</v>
      </c>
      <c r="K1244" s="106">
        <f t="shared" si="108"/>
        <v>0</v>
      </c>
    </row>
    <row r="1245" spans="10:11" x14ac:dyDescent="0.2">
      <c r="J1245" s="106">
        <f t="shared" si="107"/>
        <v>0</v>
      </c>
      <c r="K1245" s="106">
        <f t="shared" si="108"/>
        <v>0</v>
      </c>
    </row>
    <row r="1246" spans="10:11" x14ac:dyDescent="0.2">
      <c r="J1246" s="106">
        <f t="shared" si="107"/>
        <v>0</v>
      </c>
      <c r="K1246" s="106">
        <f t="shared" si="108"/>
        <v>0</v>
      </c>
    </row>
    <row r="1247" spans="10:11" x14ac:dyDescent="0.2">
      <c r="J1247" s="106">
        <f t="shared" si="107"/>
        <v>0</v>
      </c>
      <c r="K1247" s="106">
        <f t="shared" si="108"/>
        <v>0</v>
      </c>
    </row>
    <row r="1248" spans="10:11" x14ac:dyDescent="0.2">
      <c r="J1248" s="106">
        <f t="shared" si="107"/>
        <v>0</v>
      </c>
      <c r="K1248" s="106">
        <f t="shared" si="108"/>
        <v>0</v>
      </c>
    </row>
    <row r="1249" spans="10:11" x14ac:dyDescent="0.2">
      <c r="J1249" s="106">
        <f t="shared" si="107"/>
        <v>0</v>
      </c>
      <c r="K1249" s="106">
        <f t="shared" si="108"/>
        <v>0</v>
      </c>
    </row>
    <row r="1250" spans="10:11" x14ac:dyDescent="0.2">
      <c r="J1250" s="106">
        <f t="shared" si="107"/>
        <v>0</v>
      </c>
      <c r="K1250" s="106">
        <f t="shared" si="108"/>
        <v>0</v>
      </c>
    </row>
    <row r="1251" spans="10:11" x14ac:dyDescent="0.2">
      <c r="J1251" s="106">
        <f t="shared" si="107"/>
        <v>0</v>
      </c>
      <c r="K1251" s="106">
        <f t="shared" si="108"/>
        <v>0</v>
      </c>
    </row>
    <row r="1252" spans="10:11" x14ac:dyDescent="0.2">
      <c r="J1252" s="106">
        <f t="shared" si="107"/>
        <v>0</v>
      </c>
      <c r="K1252" s="106">
        <f t="shared" si="108"/>
        <v>0</v>
      </c>
    </row>
    <row r="1253" spans="10:11" x14ac:dyDescent="0.2">
      <c r="J1253" s="106">
        <f t="shared" si="107"/>
        <v>0</v>
      </c>
      <c r="K1253" s="106">
        <f t="shared" si="108"/>
        <v>0</v>
      </c>
    </row>
    <row r="1254" spans="10:11" x14ac:dyDescent="0.2">
      <c r="J1254" s="106">
        <f t="shared" si="107"/>
        <v>0</v>
      </c>
      <c r="K1254" s="106">
        <f t="shared" si="108"/>
        <v>0</v>
      </c>
    </row>
    <row r="1255" spans="10:11" x14ac:dyDescent="0.2">
      <c r="J1255" s="106">
        <f t="shared" si="107"/>
        <v>0</v>
      </c>
      <c r="K1255" s="106">
        <f t="shared" si="108"/>
        <v>0</v>
      </c>
    </row>
    <row r="1256" spans="10:11" x14ac:dyDescent="0.2">
      <c r="J1256" s="106">
        <f t="shared" si="107"/>
        <v>0</v>
      </c>
      <c r="K1256" s="106">
        <f t="shared" si="108"/>
        <v>0</v>
      </c>
    </row>
    <row r="1257" spans="10:11" x14ac:dyDescent="0.2">
      <c r="J1257" s="106">
        <f t="shared" si="107"/>
        <v>0</v>
      </c>
      <c r="K1257" s="106">
        <f t="shared" si="108"/>
        <v>0</v>
      </c>
    </row>
    <row r="1258" spans="10:11" x14ac:dyDescent="0.2">
      <c r="J1258" s="106">
        <f t="shared" si="107"/>
        <v>0</v>
      </c>
      <c r="K1258" s="106">
        <f t="shared" si="108"/>
        <v>0</v>
      </c>
    </row>
    <row r="1259" spans="10:11" x14ac:dyDescent="0.2">
      <c r="J1259" s="106">
        <f t="shared" si="107"/>
        <v>0</v>
      </c>
      <c r="K1259" s="106">
        <f t="shared" si="108"/>
        <v>0</v>
      </c>
    </row>
    <row r="1260" spans="10:11" x14ac:dyDescent="0.2">
      <c r="J1260" s="106">
        <f t="shared" si="107"/>
        <v>0</v>
      </c>
      <c r="K1260" s="106">
        <f t="shared" si="108"/>
        <v>0</v>
      </c>
    </row>
    <row r="1261" spans="10:11" x14ac:dyDescent="0.2">
      <c r="J1261" s="106">
        <f t="shared" si="107"/>
        <v>0</v>
      </c>
      <c r="K1261" s="106">
        <f t="shared" si="108"/>
        <v>0</v>
      </c>
    </row>
    <row r="1262" spans="10:11" x14ac:dyDescent="0.2">
      <c r="J1262" s="106">
        <f t="shared" si="107"/>
        <v>0</v>
      </c>
      <c r="K1262" s="106">
        <f t="shared" si="108"/>
        <v>0</v>
      </c>
    </row>
    <row r="1263" spans="10:11" x14ac:dyDescent="0.2">
      <c r="J1263" s="106">
        <f t="shared" si="107"/>
        <v>0</v>
      </c>
      <c r="K1263" s="106">
        <f t="shared" si="108"/>
        <v>0</v>
      </c>
    </row>
    <row r="1264" spans="10:11" x14ac:dyDescent="0.2">
      <c r="J1264" s="106">
        <f t="shared" si="107"/>
        <v>0</v>
      </c>
      <c r="K1264" s="106">
        <f t="shared" si="108"/>
        <v>0</v>
      </c>
    </row>
    <row r="1265" spans="10:11" x14ac:dyDescent="0.2">
      <c r="J1265" s="106">
        <f t="shared" si="107"/>
        <v>0</v>
      </c>
      <c r="K1265" s="106">
        <f t="shared" si="108"/>
        <v>0</v>
      </c>
    </row>
    <row r="1266" spans="10:11" x14ac:dyDescent="0.2">
      <c r="J1266" s="106">
        <f t="shared" si="107"/>
        <v>0</v>
      </c>
      <c r="K1266" s="106">
        <f t="shared" si="108"/>
        <v>0</v>
      </c>
    </row>
    <row r="1267" spans="10:11" x14ac:dyDescent="0.2">
      <c r="J1267" s="106">
        <f t="shared" si="107"/>
        <v>0</v>
      </c>
      <c r="K1267" s="106">
        <f t="shared" si="108"/>
        <v>0</v>
      </c>
    </row>
    <row r="1268" spans="10:11" x14ac:dyDescent="0.2">
      <c r="J1268" s="106">
        <f t="shared" si="107"/>
        <v>0</v>
      </c>
      <c r="K1268" s="106">
        <f t="shared" si="108"/>
        <v>0</v>
      </c>
    </row>
    <row r="1269" spans="10:11" x14ac:dyDescent="0.2">
      <c r="J1269" s="106">
        <f t="shared" si="107"/>
        <v>0</v>
      </c>
      <c r="K1269" s="106">
        <f t="shared" si="108"/>
        <v>0</v>
      </c>
    </row>
    <row r="1270" spans="10:11" x14ac:dyDescent="0.2">
      <c r="J1270" s="106">
        <f t="shared" si="107"/>
        <v>0</v>
      </c>
      <c r="K1270" s="106">
        <f t="shared" si="108"/>
        <v>0</v>
      </c>
    </row>
    <row r="1271" spans="10:11" x14ac:dyDescent="0.2">
      <c r="J1271" s="106">
        <f t="shared" si="107"/>
        <v>0</v>
      </c>
      <c r="K1271" s="106">
        <f t="shared" si="108"/>
        <v>0</v>
      </c>
    </row>
    <row r="1272" spans="10:11" x14ac:dyDescent="0.2">
      <c r="J1272" s="106">
        <f t="shared" si="107"/>
        <v>0</v>
      </c>
      <c r="K1272" s="106">
        <f t="shared" si="108"/>
        <v>0</v>
      </c>
    </row>
    <row r="1273" spans="10:11" x14ac:dyDescent="0.2">
      <c r="J1273" s="106">
        <f t="shared" si="107"/>
        <v>0</v>
      </c>
      <c r="K1273" s="106">
        <f t="shared" si="108"/>
        <v>0</v>
      </c>
    </row>
    <row r="1274" spans="10:11" x14ac:dyDescent="0.2">
      <c r="J1274" s="106">
        <f t="shared" si="107"/>
        <v>0</v>
      </c>
      <c r="K1274" s="106">
        <f t="shared" si="108"/>
        <v>0</v>
      </c>
    </row>
    <row r="1275" spans="10:11" x14ac:dyDescent="0.2">
      <c r="J1275" s="106">
        <f t="shared" si="107"/>
        <v>0</v>
      </c>
      <c r="K1275" s="106">
        <f t="shared" si="108"/>
        <v>0</v>
      </c>
    </row>
    <row r="1276" spans="10:11" x14ac:dyDescent="0.2">
      <c r="J1276" s="106">
        <f t="shared" si="107"/>
        <v>0</v>
      </c>
      <c r="K1276" s="106">
        <f t="shared" si="108"/>
        <v>0</v>
      </c>
    </row>
    <row r="1277" spans="10:11" x14ac:dyDescent="0.2">
      <c r="J1277" s="106">
        <f t="shared" si="107"/>
        <v>0</v>
      </c>
      <c r="K1277" s="106">
        <f t="shared" si="108"/>
        <v>0</v>
      </c>
    </row>
    <row r="1278" spans="10:11" x14ac:dyDescent="0.2">
      <c r="J1278" s="106">
        <f t="shared" si="107"/>
        <v>0</v>
      </c>
      <c r="K1278" s="106">
        <f t="shared" si="108"/>
        <v>0</v>
      </c>
    </row>
    <row r="1279" spans="10:11" x14ac:dyDescent="0.2">
      <c r="J1279" s="106">
        <f t="shared" si="107"/>
        <v>0</v>
      </c>
      <c r="K1279" s="106">
        <f t="shared" si="108"/>
        <v>0</v>
      </c>
    </row>
    <row r="1280" spans="10:11" x14ac:dyDescent="0.2">
      <c r="J1280" s="106">
        <f t="shared" si="107"/>
        <v>0</v>
      </c>
      <c r="K1280" s="106">
        <f t="shared" si="108"/>
        <v>0</v>
      </c>
    </row>
    <row r="1281" spans="10:11" x14ac:dyDescent="0.2">
      <c r="J1281" s="106">
        <f t="shared" si="107"/>
        <v>0</v>
      </c>
      <c r="K1281" s="106">
        <f t="shared" si="108"/>
        <v>0</v>
      </c>
    </row>
    <row r="1282" spans="10:11" x14ac:dyDescent="0.2">
      <c r="J1282" s="106">
        <f t="shared" si="107"/>
        <v>0</v>
      </c>
      <c r="K1282" s="106">
        <f t="shared" si="108"/>
        <v>0</v>
      </c>
    </row>
    <row r="1283" spans="10:11" x14ac:dyDescent="0.2">
      <c r="J1283" s="106">
        <f t="shared" si="107"/>
        <v>0</v>
      </c>
      <c r="K1283" s="106">
        <f t="shared" si="108"/>
        <v>0</v>
      </c>
    </row>
    <row r="1284" spans="10:11" x14ac:dyDescent="0.2">
      <c r="J1284" s="106">
        <f t="shared" ref="J1284:J1347" si="109">+ROUND(J1283-I1283,100)</f>
        <v>0</v>
      </c>
      <c r="K1284" s="106">
        <f t="shared" ref="K1284:K1347" si="110">+SIGN(ROUND(J1284,0))</f>
        <v>0</v>
      </c>
    </row>
    <row r="1285" spans="10:11" x14ac:dyDescent="0.2">
      <c r="J1285" s="106">
        <f t="shared" si="109"/>
        <v>0</v>
      </c>
      <c r="K1285" s="106">
        <f t="shared" si="110"/>
        <v>0</v>
      </c>
    </row>
    <row r="1286" spans="10:11" x14ac:dyDescent="0.2">
      <c r="J1286" s="106">
        <f t="shared" si="109"/>
        <v>0</v>
      </c>
      <c r="K1286" s="106">
        <f t="shared" si="110"/>
        <v>0</v>
      </c>
    </row>
    <row r="1287" spans="10:11" x14ac:dyDescent="0.2">
      <c r="J1287" s="106">
        <f t="shared" si="109"/>
        <v>0</v>
      </c>
      <c r="K1287" s="106">
        <f t="shared" si="110"/>
        <v>0</v>
      </c>
    </row>
    <row r="1288" spans="10:11" x14ac:dyDescent="0.2">
      <c r="J1288" s="106">
        <f t="shared" si="109"/>
        <v>0</v>
      </c>
      <c r="K1288" s="106">
        <f t="shared" si="110"/>
        <v>0</v>
      </c>
    </row>
    <row r="1289" spans="10:11" x14ac:dyDescent="0.2">
      <c r="J1289" s="106">
        <f t="shared" si="109"/>
        <v>0</v>
      </c>
      <c r="K1289" s="106">
        <f t="shared" si="110"/>
        <v>0</v>
      </c>
    </row>
    <row r="1290" spans="10:11" x14ac:dyDescent="0.2">
      <c r="J1290" s="106">
        <f t="shared" si="109"/>
        <v>0</v>
      </c>
      <c r="K1290" s="106">
        <f t="shared" si="110"/>
        <v>0</v>
      </c>
    </row>
    <row r="1291" spans="10:11" x14ac:dyDescent="0.2">
      <c r="J1291" s="106">
        <f t="shared" si="109"/>
        <v>0</v>
      </c>
      <c r="K1291" s="106">
        <f t="shared" si="110"/>
        <v>0</v>
      </c>
    </row>
    <row r="1292" spans="10:11" x14ac:dyDescent="0.2">
      <c r="J1292" s="106">
        <f t="shared" si="109"/>
        <v>0</v>
      </c>
      <c r="K1292" s="106">
        <f t="shared" si="110"/>
        <v>0</v>
      </c>
    </row>
    <row r="1293" spans="10:11" x14ac:dyDescent="0.2">
      <c r="J1293" s="106">
        <f t="shared" si="109"/>
        <v>0</v>
      </c>
      <c r="K1293" s="106">
        <f t="shared" si="110"/>
        <v>0</v>
      </c>
    </row>
    <row r="1294" spans="10:11" x14ac:dyDescent="0.2">
      <c r="J1294" s="106">
        <f t="shared" si="109"/>
        <v>0</v>
      </c>
      <c r="K1294" s="106">
        <f t="shared" si="110"/>
        <v>0</v>
      </c>
    </row>
    <row r="1295" spans="10:11" x14ac:dyDescent="0.2">
      <c r="J1295" s="106">
        <f t="shared" si="109"/>
        <v>0</v>
      </c>
      <c r="K1295" s="106">
        <f t="shared" si="110"/>
        <v>0</v>
      </c>
    </row>
    <row r="1296" spans="10:11" x14ac:dyDescent="0.2">
      <c r="J1296" s="106">
        <f t="shared" si="109"/>
        <v>0</v>
      </c>
      <c r="K1296" s="106">
        <f t="shared" si="110"/>
        <v>0</v>
      </c>
    </row>
    <row r="1297" spans="10:11" x14ac:dyDescent="0.2">
      <c r="J1297" s="106">
        <f t="shared" si="109"/>
        <v>0</v>
      </c>
      <c r="K1297" s="106">
        <f t="shared" si="110"/>
        <v>0</v>
      </c>
    </row>
    <row r="1298" spans="10:11" x14ac:dyDescent="0.2">
      <c r="J1298" s="106">
        <f t="shared" si="109"/>
        <v>0</v>
      </c>
      <c r="K1298" s="106">
        <f t="shared" si="110"/>
        <v>0</v>
      </c>
    </row>
    <row r="1299" spans="10:11" x14ac:dyDescent="0.2">
      <c r="J1299" s="106">
        <f t="shared" si="109"/>
        <v>0</v>
      </c>
      <c r="K1299" s="106">
        <f t="shared" si="110"/>
        <v>0</v>
      </c>
    </row>
    <row r="1300" spans="10:11" x14ac:dyDescent="0.2">
      <c r="J1300" s="106">
        <f t="shared" si="109"/>
        <v>0</v>
      </c>
      <c r="K1300" s="106">
        <f t="shared" si="110"/>
        <v>0</v>
      </c>
    </row>
    <row r="1301" spans="10:11" x14ac:dyDescent="0.2">
      <c r="J1301" s="106">
        <f t="shared" si="109"/>
        <v>0</v>
      </c>
      <c r="K1301" s="106">
        <f t="shared" si="110"/>
        <v>0</v>
      </c>
    </row>
    <row r="1302" spans="10:11" x14ac:dyDescent="0.2">
      <c r="J1302" s="106">
        <f t="shared" si="109"/>
        <v>0</v>
      </c>
      <c r="K1302" s="106">
        <f t="shared" si="110"/>
        <v>0</v>
      </c>
    </row>
    <row r="1303" spans="10:11" x14ac:dyDescent="0.2">
      <c r="J1303" s="106">
        <f t="shared" si="109"/>
        <v>0</v>
      </c>
      <c r="K1303" s="106">
        <f t="shared" si="110"/>
        <v>0</v>
      </c>
    </row>
    <row r="1304" spans="10:11" x14ac:dyDescent="0.2">
      <c r="J1304" s="106">
        <f t="shared" si="109"/>
        <v>0</v>
      </c>
      <c r="K1304" s="106">
        <f t="shared" si="110"/>
        <v>0</v>
      </c>
    </row>
    <row r="1305" spans="10:11" x14ac:dyDescent="0.2">
      <c r="J1305" s="106">
        <f t="shared" si="109"/>
        <v>0</v>
      </c>
      <c r="K1305" s="106">
        <f t="shared" si="110"/>
        <v>0</v>
      </c>
    </row>
    <row r="1306" spans="10:11" x14ac:dyDescent="0.2">
      <c r="J1306" s="106">
        <f t="shared" si="109"/>
        <v>0</v>
      </c>
      <c r="K1306" s="106">
        <f t="shared" si="110"/>
        <v>0</v>
      </c>
    </row>
    <row r="1307" spans="10:11" x14ac:dyDescent="0.2">
      <c r="J1307" s="106">
        <f t="shared" si="109"/>
        <v>0</v>
      </c>
      <c r="K1307" s="106">
        <f t="shared" si="110"/>
        <v>0</v>
      </c>
    </row>
    <row r="1308" spans="10:11" x14ac:dyDescent="0.2">
      <c r="J1308" s="106">
        <f t="shared" si="109"/>
        <v>0</v>
      </c>
      <c r="K1308" s="106">
        <f t="shared" si="110"/>
        <v>0</v>
      </c>
    </row>
    <row r="1309" spans="10:11" x14ac:dyDescent="0.2">
      <c r="J1309" s="106">
        <f t="shared" si="109"/>
        <v>0</v>
      </c>
      <c r="K1309" s="106">
        <f t="shared" si="110"/>
        <v>0</v>
      </c>
    </row>
    <row r="1310" spans="10:11" x14ac:dyDescent="0.2">
      <c r="J1310" s="106">
        <f t="shared" si="109"/>
        <v>0</v>
      </c>
      <c r="K1310" s="106">
        <f t="shared" si="110"/>
        <v>0</v>
      </c>
    </row>
    <row r="1311" spans="10:11" x14ac:dyDescent="0.2">
      <c r="J1311" s="106">
        <f t="shared" si="109"/>
        <v>0</v>
      </c>
      <c r="K1311" s="106">
        <f t="shared" si="110"/>
        <v>0</v>
      </c>
    </row>
    <row r="1312" spans="10:11" x14ac:dyDescent="0.2">
      <c r="J1312" s="106">
        <f t="shared" si="109"/>
        <v>0</v>
      </c>
      <c r="K1312" s="106">
        <f t="shared" si="110"/>
        <v>0</v>
      </c>
    </row>
    <row r="1313" spans="10:11" x14ac:dyDescent="0.2">
      <c r="J1313" s="106">
        <f t="shared" si="109"/>
        <v>0</v>
      </c>
      <c r="K1313" s="106">
        <f t="shared" si="110"/>
        <v>0</v>
      </c>
    </row>
    <row r="1314" spans="10:11" x14ac:dyDescent="0.2">
      <c r="J1314" s="106">
        <f t="shared" si="109"/>
        <v>0</v>
      </c>
      <c r="K1314" s="106">
        <f t="shared" si="110"/>
        <v>0</v>
      </c>
    </row>
    <row r="1315" spans="10:11" x14ac:dyDescent="0.2">
      <c r="J1315" s="106">
        <f t="shared" si="109"/>
        <v>0</v>
      </c>
      <c r="K1315" s="106">
        <f t="shared" si="110"/>
        <v>0</v>
      </c>
    </row>
    <row r="1316" spans="10:11" x14ac:dyDescent="0.2">
      <c r="J1316" s="106">
        <f t="shared" si="109"/>
        <v>0</v>
      </c>
      <c r="K1316" s="106">
        <f t="shared" si="110"/>
        <v>0</v>
      </c>
    </row>
    <row r="1317" spans="10:11" x14ac:dyDescent="0.2">
      <c r="J1317" s="106">
        <f t="shared" si="109"/>
        <v>0</v>
      </c>
      <c r="K1317" s="106">
        <f t="shared" si="110"/>
        <v>0</v>
      </c>
    </row>
    <row r="1318" spans="10:11" x14ac:dyDescent="0.2">
      <c r="J1318" s="106">
        <f t="shared" si="109"/>
        <v>0</v>
      </c>
      <c r="K1318" s="106">
        <f t="shared" si="110"/>
        <v>0</v>
      </c>
    </row>
    <row r="1319" spans="10:11" x14ac:dyDescent="0.2">
      <c r="J1319" s="106">
        <f t="shared" si="109"/>
        <v>0</v>
      </c>
      <c r="K1319" s="106">
        <f t="shared" si="110"/>
        <v>0</v>
      </c>
    </row>
    <row r="1320" spans="10:11" x14ac:dyDescent="0.2">
      <c r="J1320" s="106">
        <f t="shared" si="109"/>
        <v>0</v>
      </c>
      <c r="K1320" s="106">
        <f t="shared" si="110"/>
        <v>0</v>
      </c>
    </row>
    <row r="1321" spans="10:11" x14ac:dyDescent="0.2">
      <c r="J1321" s="106">
        <f t="shared" si="109"/>
        <v>0</v>
      </c>
      <c r="K1321" s="106">
        <f t="shared" si="110"/>
        <v>0</v>
      </c>
    </row>
    <row r="1322" spans="10:11" x14ac:dyDescent="0.2">
      <c r="J1322" s="106">
        <f t="shared" si="109"/>
        <v>0</v>
      </c>
      <c r="K1322" s="106">
        <f t="shared" si="110"/>
        <v>0</v>
      </c>
    </row>
    <row r="1323" spans="10:11" x14ac:dyDescent="0.2">
      <c r="J1323" s="106">
        <f t="shared" si="109"/>
        <v>0</v>
      </c>
      <c r="K1323" s="106">
        <f t="shared" si="110"/>
        <v>0</v>
      </c>
    </row>
    <row r="1324" spans="10:11" x14ac:dyDescent="0.2">
      <c r="J1324" s="106">
        <f t="shared" si="109"/>
        <v>0</v>
      </c>
      <c r="K1324" s="106">
        <f t="shared" si="110"/>
        <v>0</v>
      </c>
    </row>
    <row r="1325" spans="10:11" x14ac:dyDescent="0.2">
      <c r="J1325" s="106">
        <f t="shared" si="109"/>
        <v>0</v>
      </c>
      <c r="K1325" s="106">
        <f t="shared" si="110"/>
        <v>0</v>
      </c>
    </row>
    <row r="1326" spans="10:11" x14ac:dyDescent="0.2">
      <c r="J1326" s="106">
        <f t="shared" si="109"/>
        <v>0</v>
      </c>
      <c r="K1326" s="106">
        <f t="shared" si="110"/>
        <v>0</v>
      </c>
    </row>
    <row r="1327" spans="10:11" x14ac:dyDescent="0.2">
      <c r="J1327" s="106">
        <f t="shared" si="109"/>
        <v>0</v>
      </c>
      <c r="K1327" s="106">
        <f t="shared" si="110"/>
        <v>0</v>
      </c>
    </row>
    <row r="1328" spans="10:11" x14ac:dyDescent="0.2">
      <c r="J1328" s="106">
        <f t="shared" si="109"/>
        <v>0</v>
      </c>
      <c r="K1328" s="106">
        <f t="shared" si="110"/>
        <v>0</v>
      </c>
    </row>
    <row r="1329" spans="10:11" x14ac:dyDescent="0.2">
      <c r="J1329" s="106">
        <f t="shared" si="109"/>
        <v>0</v>
      </c>
      <c r="K1329" s="106">
        <f t="shared" si="110"/>
        <v>0</v>
      </c>
    </row>
    <row r="1330" spans="10:11" x14ac:dyDescent="0.2">
      <c r="J1330" s="106">
        <f t="shared" si="109"/>
        <v>0</v>
      </c>
      <c r="K1330" s="106">
        <f t="shared" si="110"/>
        <v>0</v>
      </c>
    </row>
    <row r="1331" spans="10:11" x14ac:dyDescent="0.2">
      <c r="J1331" s="106">
        <f t="shared" si="109"/>
        <v>0</v>
      </c>
      <c r="K1331" s="106">
        <f t="shared" si="110"/>
        <v>0</v>
      </c>
    </row>
    <row r="1332" spans="10:11" x14ac:dyDescent="0.2">
      <c r="J1332" s="106">
        <f t="shared" si="109"/>
        <v>0</v>
      </c>
      <c r="K1332" s="106">
        <f t="shared" si="110"/>
        <v>0</v>
      </c>
    </row>
    <row r="1333" spans="10:11" x14ac:dyDescent="0.2">
      <c r="J1333" s="106">
        <f t="shared" si="109"/>
        <v>0</v>
      </c>
      <c r="K1333" s="106">
        <f t="shared" si="110"/>
        <v>0</v>
      </c>
    </row>
    <row r="1334" spans="10:11" x14ac:dyDescent="0.2">
      <c r="J1334" s="106">
        <f t="shared" si="109"/>
        <v>0</v>
      </c>
      <c r="K1334" s="106">
        <f t="shared" si="110"/>
        <v>0</v>
      </c>
    </row>
    <row r="1335" spans="10:11" x14ac:dyDescent="0.2">
      <c r="J1335" s="106">
        <f t="shared" si="109"/>
        <v>0</v>
      </c>
      <c r="K1335" s="106">
        <f t="shared" si="110"/>
        <v>0</v>
      </c>
    </row>
    <row r="1336" spans="10:11" x14ac:dyDescent="0.2">
      <c r="J1336" s="106">
        <f t="shared" si="109"/>
        <v>0</v>
      </c>
      <c r="K1336" s="106">
        <f t="shared" si="110"/>
        <v>0</v>
      </c>
    </row>
    <row r="1337" spans="10:11" x14ac:dyDescent="0.2">
      <c r="J1337" s="106">
        <f t="shared" si="109"/>
        <v>0</v>
      </c>
      <c r="K1337" s="106">
        <f t="shared" si="110"/>
        <v>0</v>
      </c>
    </row>
    <row r="1338" spans="10:11" x14ac:dyDescent="0.2">
      <c r="J1338" s="106">
        <f t="shared" si="109"/>
        <v>0</v>
      </c>
      <c r="K1338" s="106">
        <f t="shared" si="110"/>
        <v>0</v>
      </c>
    </row>
    <row r="1339" spans="10:11" x14ac:dyDescent="0.2">
      <c r="J1339" s="106">
        <f t="shared" si="109"/>
        <v>0</v>
      </c>
      <c r="K1339" s="106">
        <f t="shared" si="110"/>
        <v>0</v>
      </c>
    </row>
    <row r="1340" spans="10:11" x14ac:dyDescent="0.2">
      <c r="J1340" s="106">
        <f t="shared" si="109"/>
        <v>0</v>
      </c>
      <c r="K1340" s="106">
        <f t="shared" si="110"/>
        <v>0</v>
      </c>
    </row>
    <row r="1341" spans="10:11" x14ac:dyDescent="0.2">
      <c r="J1341" s="106">
        <f t="shared" si="109"/>
        <v>0</v>
      </c>
      <c r="K1341" s="106">
        <f t="shared" si="110"/>
        <v>0</v>
      </c>
    </row>
    <row r="1342" spans="10:11" x14ac:dyDescent="0.2">
      <c r="J1342" s="106">
        <f t="shared" si="109"/>
        <v>0</v>
      </c>
      <c r="K1342" s="106">
        <f t="shared" si="110"/>
        <v>0</v>
      </c>
    </row>
    <row r="1343" spans="10:11" x14ac:dyDescent="0.2">
      <c r="J1343" s="106">
        <f t="shared" si="109"/>
        <v>0</v>
      </c>
      <c r="K1343" s="106">
        <f t="shared" si="110"/>
        <v>0</v>
      </c>
    </row>
    <row r="1344" spans="10:11" x14ac:dyDescent="0.2">
      <c r="J1344" s="106">
        <f t="shared" si="109"/>
        <v>0</v>
      </c>
      <c r="K1344" s="106">
        <f t="shared" si="110"/>
        <v>0</v>
      </c>
    </row>
    <row r="1345" spans="10:11" x14ac:dyDescent="0.2">
      <c r="J1345" s="106">
        <f t="shared" si="109"/>
        <v>0</v>
      </c>
      <c r="K1345" s="106">
        <f t="shared" si="110"/>
        <v>0</v>
      </c>
    </row>
    <row r="1346" spans="10:11" x14ac:dyDescent="0.2">
      <c r="J1346" s="106">
        <f t="shared" si="109"/>
        <v>0</v>
      </c>
      <c r="K1346" s="106">
        <f t="shared" si="110"/>
        <v>0</v>
      </c>
    </row>
    <row r="1347" spans="10:11" x14ac:dyDescent="0.2">
      <c r="J1347" s="106">
        <f t="shared" si="109"/>
        <v>0</v>
      </c>
      <c r="K1347" s="106">
        <f t="shared" si="110"/>
        <v>0</v>
      </c>
    </row>
    <row r="1348" spans="10:11" x14ac:dyDescent="0.2">
      <c r="J1348" s="106">
        <f t="shared" ref="J1348:J1392" si="111">+ROUND(J1347-I1347,100)</f>
        <v>0</v>
      </c>
      <c r="K1348" s="106">
        <f t="shared" ref="K1348:K1392" si="112">+SIGN(ROUND(J1348,0))</f>
        <v>0</v>
      </c>
    </row>
    <row r="1349" spans="10:11" x14ac:dyDescent="0.2">
      <c r="J1349" s="106">
        <f t="shared" si="111"/>
        <v>0</v>
      </c>
      <c r="K1349" s="106">
        <f t="shared" si="112"/>
        <v>0</v>
      </c>
    </row>
    <row r="1350" spans="10:11" x14ac:dyDescent="0.2">
      <c r="J1350" s="106">
        <f t="shared" si="111"/>
        <v>0</v>
      </c>
      <c r="K1350" s="106">
        <f t="shared" si="112"/>
        <v>0</v>
      </c>
    </row>
    <row r="1351" spans="10:11" x14ac:dyDescent="0.2">
      <c r="J1351" s="106">
        <f t="shared" si="111"/>
        <v>0</v>
      </c>
      <c r="K1351" s="106">
        <f t="shared" si="112"/>
        <v>0</v>
      </c>
    </row>
    <row r="1352" spans="10:11" x14ac:dyDescent="0.2">
      <c r="J1352" s="106">
        <f t="shared" si="111"/>
        <v>0</v>
      </c>
      <c r="K1352" s="106">
        <f t="shared" si="112"/>
        <v>0</v>
      </c>
    </row>
    <row r="1353" spans="10:11" x14ac:dyDescent="0.2">
      <c r="J1353" s="106">
        <f t="shared" si="111"/>
        <v>0</v>
      </c>
      <c r="K1353" s="106">
        <f t="shared" si="112"/>
        <v>0</v>
      </c>
    </row>
    <row r="1354" spans="10:11" x14ac:dyDescent="0.2">
      <c r="J1354" s="106">
        <f t="shared" si="111"/>
        <v>0</v>
      </c>
      <c r="K1354" s="106">
        <f t="shared" si="112"/>
        <v>0</v>
      </c>
    </row>
    <row r="1355" spans="10:11" x14ac:dyDescent="0.2">
      <c r="J1355" s="106">
        <f t="shared" si="111"/>
        <v>0</v>
      </c>
      <c r="K1355" s="106">
        <f t="shared" si="112"/>
        <v>0</v>
      </c>
    </row>
    <row r="1356" spans="10:11" x14ac:dyDescent="0.2">
      <c r="J1356" s="106">
        <f t="shared" si="111"/>
        <v>0</v>
      </c>
      <c r="K1356" s="106">
        <f t="shared" si="112"/>
        <v>0</v>
      </c>
    </row>
    <row r="1357" spans="10:11" x14ac:dyDescent="0.2">
      <c r="J1357" s="106">
        <f t="shared" si="111"/>
        <v>0</v>
      </c>
      <c r="K1357" s="106">
        <f t="shared" si="112"/>
        <v>0</v>
      </c>
    </row>
    <row r="1358" spans="10:11" x14ac:dyDescent="0.2">
      <c r="J1358" s="106">
        <f t="shared" si="111"/>
        <v>0</v>
      </c>
      <c r="K1358" s="106">
        <f t="shared" si="112"/>
        <v>0</v>
      </c>
    </row>
    <row r="1359" spans="10:11" x14ac:dyDescent="0.2">
      <c r="J1359" s="106">
        <f t="shared" si="111"/>
        <v>0</v>
      </c>
      <c r="K1359" s="106">
        <f t="shared" si="112"/>
        <v>0</v>
      </c>
    </row>
    <row r="1360" spans="10:11" x14ac:dyDescent="0.2">
      <c r="J1360" s="106">
        <f t="shared" si="111"/>
        <v>0</v>
      </c>
      <c r="K1360" s="106">
        <f t="shared" si="112"/>
        <v>0</v>
      </c>
    </row>
    <row r="1361" spans="10:11" x14ac:dyDescent="0.2">
      <c r="J1361" s="106">
        <f t="shared" si="111"/>
        <v>0</v>
      </c>
      <c r="K1361" s="106">
        <f t="shared" si="112"/>
        <v>0</v>
      </c>
    </row>
    <row r="1362" spans="10:11" x14ac:dyDescent="0.2">
      <c r="J1362" s="106">
        <f t="shared" si="111"/>
        <v>0</v>
      </c>
      <c r="K1362" s="106">
        <f t="shared" si="112"/>
        <v>0</v>
      </c>
    </row>
    <row r="1363" spans="10:11" x14ac:dyDescent="0.2">
      <c r="J1363" s="106">
        <f t="shared" si="111"/>
        <v>0</v>
      </c>
      <c r="K1363" s="106">
        <f t="shared" si="112"/>
        <v>0</v>
      </c>
    </row>
    <row r="1364" spans="10:11" x14ac:dyDescent="0.2">
      <c r="J1364" s="106">
        <f t="shared" si="111"/>
        <v>0</v>
      </c>
      <c r="K1364" s="106">
        <f t="shared" si="112"/>
        <v>0</v>
      </c>
    </row>
    <row r="1365" spans="10:11" x14ac:dyDescent="0.2">
      <c r="J1365" s="106">
        <f t="shared" si="111"/>
        <v>0</v>
      </c>
      <c r="K1365" s="106">
        <f t="shared" si="112"/>
        <v>0</v>
      </c>
    </row>
    <row r="1366" spans="10:11" x14ac:dyDescent="0.2">
      <c r="J1366" s="106">
        <f t="shared" si="111"/>
        <v>0</v>
      </c>
      <c r="K1366" s="106">
        <f t="shared" si="112"/>
        <v>0</v>
      </c>
    </row>
    <row r="1367" spans="10:11" x14ac:dyDescent="0.2">
      <c r="J1367" s="106">
        <f t="shared" si="111"/>
        <v>0</v>
      </c>
      <c r="K1367" s="106">
        <f t="shared" si="112"/>
        <v>0</v>
      </c>
    </row>
    <row r="1368" spans="10:11" x14ac:dyDescent="0.2">
      <c r="J1368" s="106">
        <f t="shared" si="111"/>
        <v>0</v>
      </c>
      <c r="K1368" s="106">
        <f t="shared" si="112"/>
        <v>0</v>
      </c>
    </row>
    <row r="1369" spans="10:11" x14ac:dyDescent="0.2">
      <c r="J1369" s="106">
        <f t="shared" si="111"/>
        <v>0</v>
      </c>
      <c r="K1369" s="106">
        <f t="shared" si="112"/>
        <v>0</v>
      </c>
    </row>
    <row r="1370" spans="10:11" x14ac:dyDescent="0.2">
      <c r="J1370" s="106">
        <f t="shared" si="111"/>
        <v>0</v>
      </c>
      <c r="K1370" s="106">
        <f t="shared" si="112"/>
        <v>0</v>
      </c>
    </row>
    <row r="1371" spans="10:11" x14ac:dyDescent="0.2">
      <c r="J1371" s="106">
        <f t="shared" si="111"/>
        <v>0</v>
      </c>
      <c r="K1371" s="106">
        <f t="shared" si="112"/>
        <v>0</v>
      </c>
    </row>
    <row r="1372" spans="10:11" x14ac:dyDescent="0.2">
      <c r="J1372" s="106">
        <f t="shared" si="111"/>
        <v>0</v>
      </c>
      <c r="K1372" s="106">
        <f t="shared" si="112"/>
        <v>0</v>
      </c>
    </row>
    <row r="1373" spans="10:11" x14ac:dyDescent="0.2">
      <c r="J1373" s="106">
        <f t="shared" si="111"/>
        <v>0</v>
      </c>
      <c r="K1373" s="106">
        <f t="shared" si="112"/>
        <v>0</v>
      </c>
    </row>
    <row r="1374" spans="10:11" x14ac:dyDescent="0.2">
      <c r="J1374" s="106">
        <f t="shared" si="111"/>
        <v>0</v>
      </c>
      <c r="K1374" s="106">
        <f t="shared" si="112"/>
        <v>0</v>
      </c>
    </row>
    <row r="1375" spans="10:11" x14ac:dyDescent="0.2">
      <c r="J1375" s="106">
        <f t="shared" si="111"/>
        <v>0</v>
      </c>
      <c r="K1375" s="106">
        <f t="shared" si="112"/>
        <v>0</v>
      </c>
    </row>
    <row r="1376" spans="10:11" x14ac:dyDescent="0.2">
      <c r="J1376" s="106">
        <f t="shared" si="111"/>
        <v>0</v>
      </c>
      <c r="K1376" s="106">
        <f t="shared" si="112"/>
        <v>0</v>
      </c>
    </row>
    <row r="1377" spans="10:11" x14ac:dyDescent="0.2">
      <c r="J1377" s="106">
        <f t="shared" si="111"/>
        <v>0</v>
      </c>
      <c r="K1377" s="106">
        <f t="shared" si="112"/>
        <v>0</v>
      </c>
    </row>
    <row r="1378" spans="10:11" x14ac:dyDescent="0.2">
      <c r="J1378" s="106">
        <f t="shared" si="111"/>
        <v>0</v>
      </c>
      <c r="K1378" s="106">
        <f t="shared" si="112"/>
        <v>0</v>
      </c>
    </row>
    <row r="1379" spans="10:11" x14ac:dyDescent="0.2">
      <c r="J1379" s="106">
        <f t="shared" si="111"/>
        <v>0</v>
      </c>
      <c r="K1379" s="106">
        <f t="shared" si="112"/>
        <v>0</v>
      </c>
    </row>
    <row r="1380" spans="10:11" x14ac:dyDescent="0.2">
      <c r="J1380" s="106">
        <f t="shared" si="111"/>
        <v>0</v>
      </c>
      <c r="K1380" s="106">
        <f t="shared" si="112"/>
        <v>0</v>
      </c>
    </row>
    <row r="1381" spans="10:11" x14ac:dyDescent="0.2">
      <c r="J1381" s="106">
        <f t="shared" si="111"/>
        <v>0</v>
      </c>
      <c r="K1381" s="106">
        <f t="shared" si="112"/>
        <v>0</v>
      </c>
    </row>
    <row r="1382" spans="10:11" x14ac:dyDescent="0.2">
      <c r="J1382" s="106">
        <f t="shared" si="111"/>
        <v>0</v>
      </c>
      <c r="K1382" s="106">
        <f t="shared" si="112"/>
        <v>0</v>
      </c>
    </row>
    <row r="1383" spans="10:11" x14ac:dyDescent="0.2">
      <c r="J1383" s="106">
        <f t="shared" si="111"/>
        <v>0</v>
      </c>
      <c r="K1383" s="106">
        <f t="shared" si="112"/>
        <v>0</v>
      </c>
    </row>
    <row r="1384" spans="10:11" x14ac:dyDescent="0.2">
      <c r="J1384" s="106">
        <f t="shared" si="111"/>
        <v>0</v>
      </c>
      <c r="K1384" s="106">
        <f t="shared" si="112"/>
        <v>0</v>
      </c>
    </row>
    <row r="1385" spans="10:11" x14ac:dyDescent="0.2">
      <c r="J1385" s="106">
        <f t="shared" si="111"/>
        <v>0</v>
      </c>
      <c r="K1385" s="106">
        <f t="shared" si="112"/>
        <v>0</v>
      </c>
    </row>
    <row r="1386" spans="10:11" x14ac:dyDescent="0.2">
      <c r="J1386" s="106">
        <f t="shared" si="111"/>
        <v>0</v>
      </c>
      <c r="K1386" s="106">
        <f t="shared" si="112"/>
        <v>0</v>
      </c>
    </row>
    <row r="1387" spans="10:11" x14ac:dyDescent="0.2">
      <c r="J1387" s="106">
        <f t="shared" si="111"/>
        <v>0</v>
      </c>
      <c r="K1387" s="106">
        <f t="shared" si="112"/>
        <v>0</v>
      </c>
    </row>
    <row r="1388" spans="10:11" x14ac:dyDescent="0.2">
      <c r="J1388" s="106">
        <f t="shared" si="111"/>
        <v>0</v>
      </c>
      <c r="K1388" s="106">
        <f t="shared" si="112"/>
        <v>0</v>
      </c>
    </row>
    <row r="1389" spans="10:11" x14ac:dyDescent="0.2">
      <c r="J1389" s="106">
        <f t="shared" si="111"/>
        <v>0</v>
      </c>
      <c r="K1389" s="106">
        <f t="shared" si="112"/>
        <v>0</v>
      </c>
    </row>
    <row r="1390" spans="10:11" x14ac:dyDescent="0.2">
      <c r="J1390" s="106">
        <f t="shared" si="111"/>
        <v>0</v>
      </c>
      <c r="K1390" s="106">
        <f t="shared" si="112"/>
        <v>0</v>
      </c>
    </row>
    <row r="1391" spans="10:11" x14ac:dyDescent="0.2">
      <c r="J1391" s="106">
        <f t="shared" si="111"/>
        <v>0</v>
      </c>
      <c r="K1391" s="106">
        <f t="shared" si="112"/>
        <v>0</v>
      </c>
    </row>
    <row r="1392" spans="10:11" x14ac:dyDescent="0.2">
      <c r="J1392" s="106">
        <f t="shared" si="111"/>
        <v>0</v>
      </c>
      <c r="K1392" s="106">
        <f t="shared" si="112"/>
        <v>0</v>
      </c>
    </row>
  </sheetData>
  <mergeCells count="19">
    <mergeCell ref="A35:D35"/>
    <mergeCell ref="F194:F205"/>
    <mergeCell ref="F206:F217"/>
    <mergeCell ref="F110:F121"/>
    <mergeCell ref="F122:F133"/>
    <mergeCell ref="F134:F145"/>
    <mergeCell ref="F146:F157"/>
    <mergeCell ref="F158:F169"/>
    <mergeCell ref="F170:F181"/>
    <mergeCell ref="F62:F73"/>
    <mergeCell ref="F74:F85"/>
    <mergeCell ref="F86:F97"/>
    <mergeCell ref="F98:F109"/>
    <mergeCell ref="F182:F193"/>
    <mergeCell ref="F2:F13"/>
    <mergeCell ref="F14:F25"/>
    <mergeCell ref="F26:F37"/>
    <mergeCell ref="F38:F49"/>
    <mergeCell ref="F50:F61"/>
  </mergeCells>
  <dataValidations disablePrompts="1" count="4">
    <dataValidation type="whole" allowBlank="1" showInputMessage="1" showErrorMessage="1" error="A türelmi idő 0 és 24 hónap között lehet" sqref="C9" xr:uid="{00000000-0002-0000-0300-000000000000}">
      <formula1>0</formula1>
      <formula2>24</formula2>
    </dataValidation>
    <dataValidation type="whole" allowBlank="1" showInputMessage="1" showErrorMessage="1" prompt="Maximuma hitelösszeg 20%-a , minimum a havi törlesztőösszeg" sqref="C4" xr:uid="{00000000-0002-0000-0300-000001000000}">
      <formula1>(RefinKolcsonOsszege/(XDU1048564-XDU1048566))/2</formula1>
      <formula2>RefinKolcsonOsszege*0.2</formula2>
    </dataValidation>
    <dataValidation type="whole" allowBlank="1" showErrorMessage="1" error="Legfeljebb a hitelösszeg 40%-a , minimum a havi törlesztőrészlet" prompt="Legfeljebb a hitelösszeg 40%-a , minimum a havi törlesztőrészlet" sqref="C5:C7" xr:uid="{00000000-0002-0000-0300-000002000000}">
      <formula1>1</formula1>
      <formula2>48</formula2>
    </dataValidation>
    <dataValidation allowBlank="1" showInputMessage="1" showErrorMessage="1" error="A türelmi idő 0 és 24 hónap között lehet" sqref="C10:C11" xr:uid="{00000000-0002-0000-0300-000003000000}"/>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1">
    <tabColor theme="3" tint="0.79998168889431442"/>
    <pageSetUpPr fitToPage="1"/>
  </sheetPr>
  <dimension ref="A3:AY336"/>
  <sheetViews>
    <sheetView view="pageBreakPreview" zoomScale="80" zoomScaleNormal="70" zoomScaleSheetLayoutView="80" workbookViewId="0">
      <selection activeCell="D6" sqref="D6:H6"/>
    </sheetView>
  </sheetViews>
  <sheetFormatPr baseColWidth="10" defaultColWidth="9.1640625" defaultRowHeight="13" x14ac:dyDescent="0.15"/>
  <cols>
    <col min="1" max="1" width="11" style="69" customWidth="1"/>
    <col min="2" max="2" width="42.5" style="168" customWidth="1"/>
    <col min="3" max="3" width="11.1640625" style="168" hidden="1" customWidth="1"/>
    <col min="4" max="4" width="26.5" style="168" customWidth="1"/>
    <col min="5" max="5" width="18.83203125" style="176" customWidth="1"/>
    <col min="6" max="6" width="18.83203125" style="941" hidden="1" customWidth="1"/>
    <col min="7" max="7" width="18.83203125" style="176" hidden="1" customWidth="1"/>
    <col min="8" max="8" width="32.5" style="168" customWidth="1"/>
    <col min="9" max="9" width="40.5" style="168" customWidth="1"/>
    <col min="10" max="10" width="4.1640625" style="238" customWidth="1"/>
    <col min="11" max="11" width="24.33203125" style="168" hidden="1" customWidth="1"/>
    <col min="12" max="12" width="26" style="70" hidden="1" customWidth="1"/>
    <col min="13" max="13" width="28.83203125" style="70" hidden="1" customWidth="1"/>
    <col min="14" max="14" width="26.5" style="70" hidden="1" customWidth="1"/>
    <col min="15" max="15" width="18.33203125" style="68" hidden="1" customWidth="1"/>
    <col min="16" max="16" width="10.83203125" style="68" hidden="1" customWidth="1"/>
    <col min="17" max="17" width="3.5" style="68" hidden="1" customWidth="1"/>
    <col min="18" max="33" width="11.1640625" style="68" hidden="1" customWidth="1"/>
    <col min="34" max="36" width="10.6640625" style="68" hidden="1" customWidth="1"/>
    <col min="37" max="37" width="11.1640625" style="189" hidden="1" customWidth="1"/>
    <col min="38" max="38" width="10.1640625" style="190" hidden="1" customWidth="1"/>
    <col min="39" max="39" width="13.5" style="190" hidden="1" customWidth="1"/>
    <col min="40" max="40" width="14.33203125" style="191" hidden="1" customWidth="1"/>
    <col min="41" max="41" width="16.33203125" style="192" hidden="1" customWidth="1"/>
    <col min="42" max="42" width="10.1640625" style="192" hidden="1" customWidth="1"/>
    <col min="43" max="51" width="9.1640625" style="68" hidden="1" customWidth="1"/>
    <col min="52" max="54" width="0" style="68" hidden="1" customWidth="1"/>
    <col min="55" max="16384" width="9.1640625" style="68"/>
  </cols>
  <sheetData>
    <row r="3" spans="1:43" ht="12.75" customHeight="1" x14ac:dyDescent="0.15">
      <c r="B3" s="1461" t="str">
        <f>+IF(Hitelprog_Rovid="","",Hitelprog_Rovid)</f>
        <v/>
      </c>
      <c r="C3" s="1461"/>
      <c r="D3" s="1461"/>
      <c r="E3" s="1461"/>
      <c r="F3" s="1461"/>
      <c r="G3" s="1461"/>
      <c r="H3" s="1461"/>
      <c r="I3" s="1461"/>
      <c r="K3" s="979"/>
    </row>
    <row r="4" spans="1:43" ht="13.5" customHeight="1" x14ac:dyDescent="0.15">
      <c r="B4" s="1461"/>
      <c r="C4" s="1461"/>
      <c r="D4" s="1461"/>
      <c r="E4" s="1461"/>
      <c r="F4" s="1461"/>
      <c r="G4" s="1461"/>
      <c r="H4" s="1461"/>
      <c r="I4" s="1461"/>
    </row>
    <row r="5" spans="1:43" s="236" customFormat="1" ht="13.5" customHeight="1" thickBot="1" x14ac:dyDescent="0.2">
      <c r="A5" s="69"/>
      <c r="B5" s="238"/>
      <c r="C5" s="528"/>
      <c r="D5" s="528"/>
      <c r="E5" s="528"/>
      <c r="F5" s="528"/>
      <c r="G5" s="528"/>
      <c r="H5" s="528"/>
      <c r="I5" s="238"/>
      <c r="J5" s="238"/>
      <c r="K5" s="238"/>
      <c r="L5" s="522"/>
      <c r="M5" s="522"/>
      <c r="N5" s="522"/>
      <c r="AK5" s="529"/>
      <c r="AL5" s="190"/>
      <c r="AM5" s="190"/>
      <c r="AN5" s="69"/>
      <c r="AO5" s="192"/>
      <c r="AP5" s="192"/>
    </row>
    <row r="6" spans="1:43" s="236" customFormat="1" ht="27" customHeight="1" thickBot="1" x14ac:dyDescent="0.2">
      <c r="A6" s="69"/>
      <c r="B6" s="238"/>
      <c r="D6" s="1458" t="s">
        <v>992</v>
      </c>
      <c r="E6" s="1459"/>
      <c r="F6" s="1459"/>
      <c r="G6" s="1459"/>
      <c r="H6" s="1460"/>
      <c r="I6" s="238"/>
      <c r="J6" s="238"/>
      <c r="K6" s="238"/>
      <c r="L6" s="522"/>
      <c r="M6" s="522"/>
      <c r="N6" s="522"/>
      <c r="AK6" s="529"/>
      <c r="AL6" s="190"/>
      <c r="AM6" s="190"/>
      <c r="AN6" s="69"/>
      <c r="AO6" s="192"/>
      <c r="AP6" s="192"/>
    </row>
    <row r="7" spans="1:43" ht="21" thickBot="1" x14ac:dyDescent="0.25">
      <c r="E7" s="181"/>
      <c r="F7" s="181"/>
      <c r="G7" s="181"/>
      <c r="K7" s="1462" t="s">
        <v>880</v>
      </c>
      <c r="L7" s="1463"/>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4"/>
    </row>
    <row r="8" spans="1:43" ht="15" customHeight="1" x14ac:dyDescent="0.15">
      <c r="A8" s="72"/>
      <c r="B8" s="1455" t="s">
        <v>416</v>
      </c>
      <c r="C8" s="1456"/>
      <c r="D8" s="1456"/>
      <c r="E8" s="1456"/>
      <c r="F8" s="1456"/>
      <c r="G8" s="1456"/>
      <c r="H8" s="1456"/>
      <c r="I8" s="1457"/>
      <c r="J8" s="233"/>
      <c r="K8" s="460"/>
      <c r="L8" s="438"/>
      <c r="M8" s="438"/>
      <c r="N8" s="438"/>
      <c r="O8" s="69"/>
      <c r="P8" s="69" t="str">
        <f>+utem</f>
        <v>legördülő cella</v>
      </c>
      <c r="Q8" s="69"/>
      <c r="R8" s="69"/>
      <c r="S8" s="69"/>
      <c r="T8" s="69"/>
      <c r="U8" s="69"/>
      <c r="V8" s="69"/>
      <c r="W8" s="69"/>
      <c r="X8" s="69"/>
      <c r="Y8" s="69"/>
      <c r="Z8" s="69"/>
      <c r="AA8" s="69"/>
      <c r="AB8" s="69"/>
      <c r="AC8" s="69"/>
      <c r="AD8" s="69"/>
      <c r="AE8" s="69"/>
      <c r="AF8" s="69"/>
      <c r="AG8" s="69"/>
      <c r="AH8" s="69"/>
      <c r="AI8" s="69"/>
      <c r="AJ8" s="69"/>
      <c r="AL8" s="461"/>
      <c r="AM8" s="461"/>
      <c r="AO8" s="462"/>
      <c r="AP8" s="462"/>
      <c r="AQ8" s="441"/>
    </row>
    <row r="9" spans="1:43" x14ac:dyDescent="0.15">
      <c r="B9" s="333" t="s">
        <v>433</v>
      </c>
      <c r="C9" s="334"/>
      <c r="D9" s="335" t="str">
        <f>IF(Folyositas="","",Folyositas)</f>
        <v/>
      </c>
      <c r="E9" s="336" t="s">
        <v>416</v>
      </c>
      <c r="F9" s="336"/>
      <c r="G9" s="336"/>
      <c r="H9" s="1469" t="e">
        <f>IF(O37&lt;0,"Az első törlesztés hónapjának meg kell egyeznie az első kiválasztott hónappal!","")</f>
        <v>#VALUE!</v>
      </c>
      <c r="I9" s="1470"/>
      <c r="J9" s="294"/>
      <c r="K9" s="463"/>
      <c r="L9" s="438"/>
      <c r="M9" s="438"/>
      <c r="N9" s="438"/>
      <c r="O9" s="420">
        <v>0</v>
      </c>
      <c r="P9" s="420"/>
      <c r="Q9" s="420"/>
      <c r="R9" s="241" t="e">
        <f>DATE(YEAR(TorlTervElsoTorl),1,DAY(TorlTervElsoTorl))</f>
        <v>#VALUE!</v>
      </c>
      <c r="S9" s="420" t="e">
        <f>EOMONTH(R9,0)=R9</f>
        <v>#VALUE!</v>
      </c>
      <c r="T9" s="420"/>
      <c r="U9" s="420"/>
      <c r="V9" s="420"/>
      <c r="W9" s="420"/>
      <c r="X9" s="420"/>
      <c r="Y9" s="420"/>
      <c r="Z9" s="420"/>
      <c r="AA9" s="420"/>
      <c r="AB9" s="420"/>
      <c r="AC9" s="420"/>
      <c r="AD9" s="420"/>
      <c r="AE9" s="420"/>
      <c r="AF9" s="420"/>
      <c r="AG9" s="420"/>
      <c r="AH9" s="420"/>
      <c r="AI9" s="420"/>
      <c r="AJ9" s="420"/>
      <c r="AL9" s="461"/>
      <c r="AM9" s="461">
        <v>0</v>
      </c>
      <c r="AO9" s="69" t="s">
        <v>435</v>
      </c>
      <c r="AP9" s="69"/>
      <c r="AQ9" s="441" t="e">
        <f>(D10-D9)</f>
        <v>#VALUE!</v>
      </c>
    </row>
    <row r="10" spans="1:43" ht="22.5" customHeight="1" x14ac:dyDescent="0.15">
      <c r="B10" s="337" t="s">
        <v>429</v>
      </c>
      <c r="C10" s="239" t="str">
        <f>+D10</f>
        <v/>
      </c>
      <c r="D10" s="239" t="str">
        <f>+IF(futamidokezdete="","",futamidokezdete)</f>
        <v/>
      </c>
      <c r="E10" s="210" t="s">
        <v>417</v>
      </c>
      <c r="F10" s="210"/>
      <c r="G10" s="210"/>
      <c r="H10" s="1471"/>
      <c r="I10" s="1472"/>
      <c r="J10" s="294"/>
      <c r="K10" s="463"/>
      <c r="L10" s="237"/>
      <c r="M10" s="237"/>
      <c r="N10" s="237"/>
      <c r="O10" s="420">
        <v>1</v>
      </c>
      <c r="P10" s="420" t="b">
        <v>1</v>
      </c>
      <c r="Q10" s="420">
        <f>IF(OR(P10=TRUE,P8="egyenletes",P8="egyenletes+balloon"),1,0)</f>
        <v>1</v>
      </c>
      <c r="R10" s="464" t="e">
        <f>IF(P10,R9,"")</f>
        <v>#VALUE!</v>
      </c>
      <c r="S10" s="241" t="e">
        <f t="shared" ref="S10:AJ10" si="0">IF($R$10="","",IF(HoVeTo,EOMONTH(R10,12),EDATE(R10,12)))</f>
        <v>#VALUE!</v>
      </c>
      <c r="T10" s="241" t="e">
        <f t="shared" si="0"/>
        <v>#VALUE!</v>
      </c>
      <c r="U10" s="241" t="e">
        <f t="shared" si="0"/>
        <v>#VALUE!</v>
      </c>
      <c r="V10" s="241" t="e">
        <f t="shared" si="0"/>
        <v>#VALUE!</v>
      </c>
      <c r="W10" s="241" t="e">
        <f t="shared" si="0"/>
        <v>#VALUE!</v>
      </c>
      <c r="X10" s="241" t="e">
        <f t="shared" si="0"/>
        <v>#VALUE!</v>
      </c>
      <c r="Y10" s="241" t="e">
        <f t="shared" si="0"/>
        <v>#VALUE!</v>
      </c>
      <c r="Z10" s="241" t="e">
        <f t="shared" si="0"/>
        <v>#VALUE!</v>
      </c>
      <c r="AA10" s="241" t="e">
        <f t="shared" si="0"/>
        <v>#VALUE!</v>
      </c>
      <c r="AB10" s="241" t="e">
        <f t="shared" si="0"/>
        <v>#VALUE!</v>
      </c>
      <c r="AC10" s="241" t="e">
        <f t="shared" si="0"/>
        <v>#VALUE!</v>
      </c>
      <c r="AD10" s="241" t="e">
        <f t="shared" si="0"/>
        <v>#VALUE!</v>
      </c>
      <c r="AE10" s="241" t="e">
        <f t="shared" si="0"/>
        <v>#VALUE!</v>
      </c>
      <c r="AF10" s="241" t="e">
        <f t="shared" si="0"/>
        <v>#VALUE!</v>
      </c>
      <c r="AG10" s="241" t="e">
        <f t="shared" si="0"/>
        <v>#VALUE!</v>
      </c>
      <c r="AH10" s="241" t="e">
        <f t="shared" si="0"/>
        <v>#VALUE!</v>
      </c>
      <c r="AI10" s="241" t="e">
        <f t="shared" si="0"/>
        <v>#VALUE!</v>
      </c>
      <c r="AJ10" s="241" t="e">
        <f t="shared" si="0"/>
        <v>#VALUE!</v>
      </c>
      <c r="AK10" s="193" t="e">
        <f t="shared" ref="AK10:AK22" si="1">+R10</f>
        <v>#VALUE!</v>
      </c>
      <c r="AL10" s="461" t="e">
        <f t="shared" ref="AL10:AL43" si="2">IF(AK10="",10000000,TorlTervElsoTorl-AK10)</f>
        <v>#VALUE!</v>
      </c>
      <c r="AM10" s="461" t="e">
        <f>AM9+(IF(AN10="",0,1))</f>
        <v>#VALUE!</v>
      </c>
      <c r="AN10" s="194" t="e">
        <f>IF(AL10&gt;0,"",AK10)</f>
        <v>#VALUE!</v>
      </c>
      <c r="AO10" s="69" t="s">
        <v>434</v>
      </c>
      <c r="AP10" s="69"/>
      <c r="AQ10" s="441" t="e">
        <f xml:space="preserve"> YEARFRAC(D9,D10)</f>
        <v>#VALUE!</v>
      </c>
    </row>
    <row r="11" spans="1:43" ht="22.5" customHeight="1" x14ac:dyDescent="0.15">
      <c r="B11" s="521" t="s">
        <v>523</v>
      </c>
      <c r="C11" s="520">
        <f>+IF(D11="",0,D11)</f>
        <v>0</v>
      </c>
      <c r="D11" s="519" t="str">
        <f>+IF('Refinanszírozási kérelem'!CI170="","",'Refinanszírozási kérelem'!CI170)</f>
        <v/>
      </c>
      <c r="E11" s="210" t="s">
        <v>418</v>
      </c>
      <c r="F11" s="210"/>
      <c r="G11" s="210"/>
      <c r="H11" s="1473" t="str">
        <f xml:space="preserve"> +IF(D36="","",IF(AND(DAY(D36)&lt;&gt;DAY(D37),DAY(D36)&lt;&gt;DAY(D38),DAY(D36)&lt;&gt;DAY(D39),DAY(D36)&lt;&gt;DAY(D40)),"A "&amp;H36&amp;" legyen a hónapnak ugyanolyan napján, mint az első törlesztés!"))</f>
        <v/>
      </c>
      <c r="I11" s="1474"/>
      <c r="J11" s="294"/>
      <c r="K11" s="463"/>
      <c r="L11" s="237"/>
      <c r="M11" s="237"/>
      <c r="N11" s="237"/>
      <c r="O11" s="420">
        <v>2</v>
      </c>
      <c r="P11" s="420" t="b">
        <v>1</v>
      </c>
      <c r="Q11" s="420">
        <f t="shared" ref="Q11:Q22" si="3">IF(OR(P11=TRUE,P9="egyenletes",P9="egyenletes+balloon"),1,0)</f>
        <v>1</v>
      </c>
      <c r="R11" s="464" t="e">
        <f>IF(P11,IF(HoVeTo,EOMONTH(R$9,O10),EDATE(R$9,O10)),"")</f>
        <v>#VALUE!</v>
      </c>
      <c r="S11" s="241" t="e">
        <f t="shared" ref="S11:AJ11" si="4">+IF($R$11="","",IF(HoVeTo,EOMONTH(R11,12),EDATE(R11,12)))</f>
        <v>#VALUE!</v>
      </c>
      <c r="T11" s="241" t="e">
        <f t="shared" si="4"/>
        <v>#VALUE!</v>
      </c>
      <c r="U11" s="241" t="e">
        <f t="shared" si="4"/>
        <v>#VALUE!</v>
      </c>
      <c r="V11" s="241" t="e">
        <f t="shared" si="4"/>
        <v>#VALUE!</v>
      </c>
      <c r="W11" s="241" t="e">
        <f t="shared" si="4"/>
        <v>#VALUE!</v>
      </c>
      <c r="X11" s="241" t="e">
        <f t="shared" si="4"/>
        <v>#VALUE!</v>
      </c>
      <c r="Y11" s="241" t="e">
        <f t="shared" si="4"/>
        <v>#VALUE!</v>
      </c>
      <c r="Z11" s="241" t="e">
        <f t="shared" si="4"/>
        <v>#VALUE!</v>
      </c>
      <c r="AA11" s="241" t="e">
        <f t="shared" si="4"/>
        <v>#VALUE!</v>
      </c>
      <c r="AB11" s="241" t="e">
        <f t="shared" si="4"/>
        <v>#VALUE!</v>
      </c>
      <c r="AC11" s="241" t="e">
        <f t="shared" si="4"/>
        <v>#VALUE!</v>
      </c>
      <c r="AD11" s="241" t="e">
        <f t="shared" si="4"/>
        <v>#VALUE!</v>
      </c>
      <c r="AE11" s="241" t="e">
        <f t="shared" si="4"/>
        <v>#VALUE!</v>
      </c>
      <c r="AF11" s="241" t="e">
        <f t="shared" si="4"/>
        <v>#VALUE!</v>
      </c>
      <c r="AG11" s="241" t="e">
        <f t="shared" si="4"/>
        <v>#VALUE!</v>
      </c>
      <c r="AH11" s="241" t="e">
        <f t="shared" si="4"/>
        <v>#VALUE!</v>
      </c>
      <c r="AI11" s="241" t="e">
        <f t="shared" si="4"/>
        <v>#VALUE!</v>
      </c>
      <c r="AJ11" s="241" t="e">
        <f t="shared" si="4"/>
        <v>#VALUE!</v>
      </c>
      <c r="AK11" s="193" t="e">
        <f t="shared" si="1"/>
        <v>#VALUE!</v>
      </c>
      <c r="AL11" s="461" t="e">
        <f t="shared" si="2"/>
        <v>#VALUE!</v>
      </c>
      <c r="AM11" s="461" t="e">
        <f t="shared" ref="AM11:AM76" si="5">AM10+(IF(AN11="",0,1))</f>
        <v>#VALUE!</v>
      </c>
      <c r="AN11" s="194" t="e">
        <f t="shared" ref="AN11:AN76" si="6">IF(AL11&gt;0,"",AK11)</f>
        <v>#VALUE!</v>
      </c>
      <c r="AO11" s="462"/>
      <c r="AP11" s="462"/>
      <c r="AQ11" s="441"/>
    </row>
    <row r="12" spans="1:43" ht="22.5" customHeight="1" x14ac:dyDescent="0.15">
      <c r="B12" s="338"/>
      <c r="C12" s="941"/>
      <c r="D12" s="183"/>
      <c r="E12" s="210" t="s">
        <v>419</v>
      </c>
      <c r="F12" s="210"/>
      <c r="G12" s="210"/>
      <c r="H12" s="1473"/>
      <c r="I12" s="1474"/>
      <c r="J12" s="294"/>
      <c r="K12" s="463"/>
      <c r="L12" s="237"/>
      <c r="M12" s="237"/>
      <c r="N12" s="237"/>
      <c r="O12" s="420"/>
      <c r="P12" s="420"/>
      <c r="Q12" s="420"/>
      <c r="R12" s="464"/>
      <c r="S12" s="241"/>
      <c r="T12" s="241"/>
      <c r="U12" s="241"/>
      <c r="V12" s="241"/>
      <c r="W12" s="241"/>
      <c r="X12" s="241"/>
      <c r="Y12" s="241"/>
      <c r="Z12" s="241"/>
      <c r="AA12" s="241"/>
      <c r="AB12" s="241"/>
      <c r="AC12" s="241"/>
      <c r="AD12" s="241"/>
      <c r="AE12" s="241"/>
      <c r="AF12" s="241"/>
      <c r="AG12" s="241"/>
      <c r="AH12" s="241"/>
      <c r="AI12" s="241"/>
      <c r="AJ12" s="241"/>
      <c r="AK12" s="193"/>
      <c r="AL12" s="461"/>
      <c r="AM12" s="461"/>
      <c r="AN12" s="194"/>
      <c r="AO12" s="462"/>
      <c r="AP12" s="462"/>
      <c r="AQ12" s="441"/>
    </row>
    <row r="13" spans="1:43" ht="22.5" customHeight="1" x14ac:dyDescent="0.15">
      <c r="B13" s="339"/>
      <c r="C13" s="238"/>
      <c r="D13" s="238"/>
      <c r="E13" s="210" t="s">
        <v>420</v>
      </c>
      <c r="F13" s="210"/>
      <c r="G13" s="210"/>
      <c r="H13" s="1467" t="str">
        <f>IF(IFERROR(VLOOKUP(D36,tokeallomany_minusz,1,FALSE),"OK") &lt;&gt; "OK", "A "&amp;H36&amp;"-hoz csak olyan dátumot írj, ami a rendes törlesztések között nem szerepel, vagy hagyd üresen!","")</f>
        <v/>
      </c>
      <c r="I13" s="1468"/>
      <c r="J13" s="293"/>
      <c r="K13" s="465"/>
      <c r="L13" s="237"/>
      <c r="M13" s="237"/>
      <c r="N13" s="237"/>
      <c r="O13" s="420">
        <v>3</v>
      </c>
      <c r="P13" s="420" t="b">
        <v>1</v>
      </c>
      <c r="Q13" s="420">
        <f t="shared" si="3"/>
        <v>1</v>
      </c>
      <c r="R13" s="464" t="e">
        <f>IF(P13,IF(HoVeTo,EOMONTH(R$9,O11),EDATE(R$9,O11)),"")</f>
        <v>#VALUE!</v>
      </c>
      <c r="S13" s="241" t="e">
        <f t="shared" ref="S13:AJ13" si="7">IF($R$13="","",+EDATE(R13,12))</f>
        <v>#VALUE!</v>
      </c>
      <c r="T13" s="241" t="e">
        <f t="shared" si="7"/>
        <v>#VALUE!</v>
      </c>
      <c r="U13" s="241" t="e">
        <f t="shared" si="7"/>
        <v>#VALUE!</v>
      </c>
      <c r="V13" s="241" t="e">
        <f t="shared" si="7"/>
        <v>#VALUE!</v>
      </c>
      <c r="W13" s="241" t="e">
        <f t="shared" si="7"/>
        <v>#VALUE!</v>
      </c>
      <c r="X13" s="241" t="e">
        <f t="shared" si="7"/>
        <v>#VALUE!</v>
      </c>
      <c r="Y13" s="241" t="e">
        <f t="shared" si="7"/>
        <v>#VALUE!</v>
      </c>
      <c r="Z13" s="241" t="e">
        <f t="shared" si="7"/>
        <v>#VALUE!</v>
      </c>
      <c r="AA13" s="241" t="e">
        <f t="shared" si="7"/>
        <v>#VALUE!</v>
      </c>
      <c r="AB13" s="241" t="e">
        <f t="shared" si="7"/>
        <v>#VALUE!</v>
      </c>
      <c r="AC13" s="241" t="e">
        <f t="shared" si="7"/>
        <v>#VALUE!</v>
      </c>
      <c r="AD13" s="241" t="e">
        <f t="shared" si="7"/>
        <v>#VALUE!</v>
      </c>
      <c r="AE13" s="241" t="e">
        <f t="shared" si="7"/>
        <v>#VALUE!</v>
      </c>
      <c r="AF13" s="241" t="e">
        <f t="shared" si="7"/>
        <v>#VALUE!</v>
      </c>
      <c r="AG13" s="241" t="e">
        <f t="shared" si="7"/>
        <v>#VALUE!</v>
      </c>
      <c r="AH13" s="241" t="e">
        <f t="shared" si="7"/>
        <v>#VALUE!</v>
      </c>
      <c r="AI13" s="241" t="e">
        <f t="shared" si="7"/>
        <v>#VALUE!</v>
      </c>
      <c r="AJ13" s="241" t="e">
        <f t="shared" si="7"/>
        <v>#VALUE!</v>
      </c>
      <c r="AK13" s="193" t="e">
        <f t="shared" si="1"/>
        <v>#VALUE!</v>
      </c>
      <c r="AL13" s="461" t="e">
        <f t="shared" si="2"/>
        <v>#VALUE!</v>
      </c>
      <c r="AM13" s="461" t="e">
        <f>AM11+(IF(AN13="",0,1))</f>
        <v>#VALUE!</v>
      </c>
      <c r="AN13" s="194" t="e">
        <f t="shared" si="6"/>
        <v>#VALUE!</v>
      </c>
      <c r="AO13" s="462"/>
      <c r="AP13" s="462"/>
      <c r="AQ13" s="441"/>
    </row>
    <row r="14" spans="1:43" ht="22.5" customHeight="1" x14ac:dyDescent="0.15">
      <c r="B14" s="339"/>
      <c r="C14" s="238"/>
      <c r="D14" s="238"/>
      <c r="E14" s="210" t="s">
        <v>421</v>
      </c>
      <c r="F14" s="210"/>
      <c r="G14" s="210"/>
      <c r="H14" s="1467"/>
      <c r="I14" s="1468"/>
      <c r="J14" s="293"/>
      <c r="K14" s="465"/>
      <c r="L14" s="237"/>
      <c r="M14" s="237"/>
      <c r="N14" s="237"/>
      <c r="O14" s="420">
        <v>4</v>
      </c>
      <c r="P14" s="420" t="b">
        <v>1</v>
      </c>
      <c r="Q14" s="420">
        <f t="shared" si="3"/>
        <v>1</v>
      </c>
      <c r="R14" s="464" t="e">
        <f t="shared" ref="R14:R22" si="8">IF(P14,IF(HoVeTo,EOMONTH(R$9,O13),EDATE(R$9,O13)),"")</f>
        <v>#VALUE!</v>
      </c>
      <c r="S14" s="241" t="e">
        <f t="shared" ref="S14:AJ14" si="9">+IF($R$14="","",EDATE(R14,12))</f>
        <v>#VALUE!</v>
      </c>
      <c r="T14" s="241" t="e">
        <f t="shared" si="9"/>
        <v>#VALUE!</v>
      </c>
      <c r="U14" s="241" t="e">
        <f t="shared" si="9"/>
        <v>#VALUE!</v>
      </c>
      <c r="V14" s="241" t="e">
        <f t="shared" si="9"/>
        <v>#VALUE!</v>
      </c>
      <c r="W14" s="241" t="e">
        <f t="shared" si="9"/>
        <v>#VALUE!</v>
      </c>
      <c r="X14" s="241" t="e">
        <f t="shared" si="9"/>
        <v>#VALUE!</v>
      </c>
      <c r="Y14" s="241" t="e">
        <f t="shared" si="9"/>
        <v>#VALUE!</v>
      </c>
      <c r="Z14" s="241" t="e">
        <f t="shared" si="9"/>
        <v>#VALUE!</v>
      </c>
      <c r="AA14" s="241" t="e">
        <f t="shared" si="9"/>
        <v>#VALUE!</v>
      </c>
      <c r="AB14" s="241" t="e">
        <f t="shared" si="9"/>
        <v>#VALUE!</v>
      </c>
      <c r="AC14" s="241" t="e">
        <f t="shared" si="9"/>
        <v>#VALUE!</v>
      </c>
      <c r="AD14" s="241" t="e">
        <f t="shared" si="9"/>
        <v>#VALUE!</v>
      </c>
      <c r="AE14" s="241" t="e">
        <f t="shared" si="9"/>
        <v>#VALUE!</v>
      </c>
      <c r="AF14" s="241" t="e">
        <f t="shared" si="9"/>
        <v>#VALUE!</v>
      </c>
      <c r="AG14" s="241" t="e">
        <f t="shared" si="9"/>
        <v>#VALUE!</v>
      </c>
      <c r="AH14" s="241" t="e">
        <f t="shared" si="9"/>
        <v>#VALUE!</v>
      </c>
      <c r="AI14" s="241" t="e">
        <f t="shared" si="9"/>
        <v>#VALUE!</v>
      </c>
      <c r="AJ14" s="241" t="e">
        <f t="shared" si="9"/>
        <v>#VALUE!</v>
      </c>
      <c r="AK14" s="193" t="e">
        <f t="shared" si="1"/>
        <v>#VALUE!</v>
      </c>
      <c r="AL14" s="461" t="e">
        <f t="shared" si="2"/>
        <v>#VALUE!</v>
      </c>
      <c r="AM14" s="461" t="e">
        <f t="shared" si="5"/>
        <v>#VALUE!</v>
      </c>
      <c r="AN14" s="194" t="e">
        <f t="shared" si="6"/>
        <v>#VALUE!</v>
      </c>
      <c r="AO14" s="462"/>
      <c r="AP14" s="462"/>
      <c r="AQ14" s="441"/>
    </row>
    <row r="15" spans="1:43" ht="22.5" customHeight="1" x14ac:dyDescent="0.15">
      <c r="B15" s="339"/>
      <c r="C15" s="238"/>
      <c r="D15" s="238"/>
      <c r="E15" s="210" t="s">
        <v>422</v>
      </c>
      <c r="F15" s="210"/>
      <c r="G15" s="210"/>
      <c r="H15" s="1479" t="str">
        <f>+IF(OR(P8="egyenletes (havi)",P8="egyenletes (havi)+balloon",P8="legördülő cella"),"","Kérem azokat a hónapokat vegye ki, amikor nem szeretne törleszteni!")</f>
        <v/>
      </c>
      <c r="I15" s="1480"/>
      <c r="J15" s="298"/>
      <c r="K15" s="466"/>
      <c r="L15" s="237"/>
      <c r="M15" s="237"/>
      <c r="N15" s="237"/>
      <c r="O15" s="420">
        <v>5</v>
      </c>
      <c r="P15" s="420" t="b">
        <v>1</v>
      </c>
      <c r="Q15" s="420">
        <f t="shared" si="3"/>
        <v>1</v>
      </c>
      <c r="R15" s="464" t="e">
        <f t="shared" si="8"/>
        <v>#VALUE!</v>
      </c>
      <c r="S15" s="241" t="e">
        <f t="shared" ref="S15:AJ15" si="10">+IF($R$15="","",EDATE(R15,12))</f>
        <v>#VALUE!</v>
      </c>
      <c r="T15" s="241" t="e">
        <f t="shared" si="10"/>
        <v>#VALUE!</v>
      </c>
      <c r="U15" s="241" t="e">
        <f t="shared" si="10"/>
        <v>#VALUE!</v>
      </c>
      <c r="V15" s="241" t="e">
        <f t="shared" si="10"/>
        <v>#VALUE!</v>
      </c>
      <c r="W15" s="241" t="e">
        <f t="shared" si="10"/>
        <v>#VALUE!</v>
      </c>
      <c r="X15" s="241" t="e">
        <f t="shared" si="10"/>
        <v>#VALUE!</v>
      </c>
      <c r="Y15" s="241" t="e">
        <f t="shared" si="10"/>
        <v>#VALUE!</v>
      </c>
      <c r="Z15" s="241" t="e">
        <f t="shared" si="10"/>
        <v>#VALUE!</v>
      </c>
      <c r="AA15" s="241" t="e">
        <f t="shared" si="10"/>
        <v>#VALUE!</v>
      </c>
      <c r="AB15" s="241" t="e">
        <f t="shared" si="10"/>
        <v>#VALUE!</v>
      </c>
      <c r="AC15" s="241" t="e">
        <f t="shared" si="10"/>
        <v>#VALUE!</v>
      </c>
      <c r="AD15" s="241" t="e">
        <f t="shared" si="10"/>
        <v>#VALUE!</v>
      </c>
      <c r="AE15" s="241" t="e">
        <f t="shared" si="10"/>
        <v>#VALUE!</v>
      </c>
      <c r="AF15" s="241" t="e">
        <f t="shared" si="10"/>
        <v>#VALUE!</v>
      </c>
      <c r="AG15" s="241" t="e">
        <f t="shared" si="10"/>
        <v>#VALUE!</v>
      </c>
      <c r="AH15" s="241" t="e">
        <f t="shared" si="10"/>
        <v>#VALUE!</v>
      </c>
      <c r="AI15" s="241" t="e">
        <f t="shared" si="10"/>
        <v>#VALUE!</v>
      </c>
      <c r="AJ15" s="241" t="e">
        <f t="shared" si="10"/>
        <v>#VALUE!</v>
      </c>
      <c r="AK15" s="193" t="e">
        <f t="shared" si="1"/>
        <v>#VALUE!</v>
      </c>
      <c r="AL15" s="461" t="e">
        <f t="shared" si="2"/>
        <v>#VALUE!</v>
      </c>
      <c r="AM15" s="461" t="e">
        <f t="shared" si="5"/>
        <v>#VALUE!</v>
      </c>
      <c r="AN15" s="194" t="e">
        <f t="shared" si="6"/>
        <v>#VALUE!</v>
      </c>
      <c r="AO15" s="462"/>
      <c r="AP15" s="462"/>
      <c r="AQ15" s="441"/>
    </row>
    <row r="16" spans="1:43" ht="22.5" customHeight="1" x14ac:dyDescent="0.15">
      <c r="B16" s="337" t="s">
        <v>565</v>
      </c>
      <c r="C16" s="124"/>
      <c r="D16" s="520" t="str">
        <f>+IF(utem="legördülő cella","",utem)</f>
        <v/>
      </c>
      <c r="E16" s="210" t="s">
        <v>423</v>
      </c>
      <c r="F16" s="210"/>
      <c r="G16" s="210"/>
      <c r="H16" s="1479"/>
      <c r="I16" s="1480"/>
      <c r="J16" s="298"/>
      <c r="K16" s="466"/>
      <c r="L16" s="237"/>
      <c r="M16" s="237"/>
      <c r="N16" s="237"/>
      <c r="O16" s="420">
        <v>6</v>
      </c>
      <c r="P16" s="420" t="b">
        <v>1</v>
      </c>
      <c r="Q16" s="420">
        <f t="shared" si="3"/>
        <v>1</v>
      </c>
      <c r="R16" s="464" t="e">
        <f t="shared" si="8"/>
        <v>#VALUE!</v>
      </c>
      <c r="S16" s="241" t="e">
        <f t="shared" ref="S16:AJ16" si="11">+IF($R$16="","",EDATE(R16,12))</f>
        <v>#VALUE!</v>
      </c>
      <c r="T16" s="241" t="e">
        <f t="shared" si="11"/>
        <v>#VALUE!</v>
      </c>
      <c r="U16" s="241" t="e">
        <f t="shared" si="11"/>
        <v>#VALUE!</v>
      </c>
      <c r="V16" s="241" t="e">
        <f t="shared" si="11"/>
        <v>#VALUE!</v>
      </c>
      <c r="W16" s="241" t="e">
        <f t="shared" si="11"/>
        <v>#VALUE!</v>
      </c>
      <c r="X16" s="241" t="e">
        <f t="shared" si="11"/>
        <v>#VALUE!</v>
      </c>
      <c r="Y16" s="241" t="e">
        <f t="shared" si="11"/>
        <v>#VALUE!</v>
      </c>
      <c r="Z16" s="241" t="e">
        <f t="shared" si="11"/>
        <v>#VALUE!</v>
      </c>
      <c r="AA16" s="241" t="e">
        <f t="shared" si="11"/>
        <v>#VALUE!</v>
      </c>
      <c r="AB16" s="241" t="e">
        <f t="shared" si="11"/>
        <v>#VALUE!</v>
      </c>
      <c r="AC16" s="241" t="e">
        <f t="shared" si="11"/>
        <v>#VALUE!</v>
      </c>
      <c r="AD16" s="241" t="e">
        <f t="shared" si="11"/>
        <v>#VALUE!</v>
      </c>
      <c r="AE16" s="241" t="e">
        <f t="shared" si="11"/>
        <v>#VALUE!</v>
      </c>
      <c r="AF16" s="241" t="e">
        <f t="shared" si="11"/>
        <v>#VALUE!</v>
      </c>
      <c r="AG16" s="241" t="e">
        <f t="shared" si="11"/>
        <v>#VALUE!</v>
      </c>
      <c r="AH16" s="241" t="e">
        <f t="shared" si="11"/>
        <v>#VALUE!</v>
      </c>
      <c r="AI16" s="241" t="e">
        <f t="shared" si="11"/>
        <v>#VALUE!</v>
      </c>
      <c r="AJ16" s="241" t="e">
        <f t="shared" si="11"/>
        <v>#VALUE!</v>
      </c>
      <c r="AK16" s="193" t="e">
        <f t="shared" si="1"/>
        <v>#VALUE!</v>
      </c>
      <c r="AL16" s="461" t="e">
        <f t="shared" si="2"/>
        <v>#VALUE!</v>
      </c>
      <c r="AM16" s="461" t="e">
        <f t="shared" si="5"/>
        <v>#VALUE!</v>
      </c>
      <c r="AN16" s="194" t="e">
        <f t="shared" si="6"/>
        <v>#VALUE!</v>
      </c>
      <c r="AO16" s="462"/>
      <c r="AP16" s="462"/>
      <c r="AQ16" s="441"/>
    </row>
    <row r="17" spans="1:43" ht="22.5" customHeight="1" x14ac:dyDescent="0.15">
      <c r="B17" s="337" t="s">
        <v>566</v>
      </c>
      <c r="C17" s="1044">
        <f>+IF(Q23=4,3,IF(Q23=12,1,IF(Q23=2,6,"Válasszon hónapot!")))</f>
        <v>1</v>
      </c>
      <c r="D17" s="258">
        <f>+C17</f>
        <v>1</v>
      </c>
      <c r="E17" s="210" t="s">
        <v>424</v>
      </c>
      <c r="F17" s="210"/>
      <c r="G17" s="210"/>
      <c r="H17" s="213"/>
      <c r="I17" s="340"/>
      <c r="J17" s="241"/>
      <c r="K17" s="467"/>
      <c r="L17" s="246"/>
      <c r="M17" s="237"/>
      <c r="N17" s="237"/>
      <c r="O17" s="420">
        <v>7</v>
      </c>
      <c r="P17" s="420" t="b">
        <v>1</v>
      </c>
      <c r="Q17" s="420">
        <f t="shared" si="3"/>
        <v>1</v>
      </c>
      <c r="R17" s="464" t="e">
        <f t="shared" si="8"/>
        <v>#VALUE!</v>
      </c>
      <c r="S17" s="241" t="e">
        <f t="shared" ref="S17:AJ17" si="12">+IF($R$17="","",EDATE(R17,12))</f>
        <v>#VALUE!</v>
      </c>
      <c r="T17" s="241" t="e">
        <f t="shared" si="12"/>
        <v>#VALUE!</v>
      </c>
      <c r="U17" s="241" t="e">
        <f t="shared" si="12"/>
        <v>#VALUE!</v>
      </c>
      <c r="V17" s="241" t="e">
        <f t="shared" si="12"/>
        <v>#VALUE!</v>
      </c>
      <c r="W17" s="241" t="e">
        <f t="shared" si="12"/>
        <v>#VALUE!</v>
      </c>
      <c r="X17" s="241" t="e">
        <f t="shared" si="12"/>
        <v>#VALUE!</v>
      </c>
      <c r="Y17" s="241" t="e">
        <f t="shared" si="12"/>
        <v>#VALUE!</v>
      </c>
      <c r="Z17" s="241" t="e">
        <f t="shared" si="12"/>
        <v>#VALUE!</v>
      </c>
      <c r="AA17" s="241" t="e">
        <f t="shared" si="12"/>
        <v>#VALUE!</v>
      </c>
      <c r="AB17" s="241" t="e">
        <f t="shared" si="12"/>
        <v>#VALUE!</v>
      </c>
      <c r="AC17" s="241" t="e">
        <f t="shared" si="12"/>
        <v>#VALUE!</v>
      </c>
      <c r="AD17" s="241" t="e">
        <f t="shared" si="12"/>
        <v>#VALUE!</v>
      </c>
      <c r="AE17" s="241" t="e">
        <f t="shared" si="12"/>
        <v>#VALUE!</v>
      </c>
      <c r="AF17" s="241" t="e">
        <f t="shared" si="12"/>
        <v>#VALUE!</v>
      </c>
      <c r="AG17" s="241" t="e">
        <f t="shared" si="12"/>
        <v>#VALUE!</v>
      </c>
      <c r="AH17" s="241" t="e">
        <f t="shared" si="12"/>
        <v>#VALUE!</v>
      </c>
      <c r="AI17" s="241" t="e">
        <f t="shared" si="12"/>
        <v>#VALUE!</v>
      </c>
      <c r="AJ17" s="241" t="e">
        <f t="shared" si="12"/>
        <v>#VALUE!</v>
      </c>
      <c r="AK17" s="193" t="e">
        <f t="shared" si="1"/>
        <v>#VALUE!</v>
      </c>
      <c r="AL17" s="461" t="e">
        <f t="shared" si="2"/>
        <v>#VALUE!</v>
      </c>
      <c r="AM17" s="461" t="e">
        <f t="shared" si="5"/>
        <v>#VALUE!</v>
      </c>
      <c r="AN17" s="194" t="e">
        <f t="shared" si="6"/>
        <v>#VALUE!</v>
      </c>
      <c r="AO17" s="462"/>
      <c r="AP17" s="462"/>
      <c r="AQ17" s="441"/>
    </row>
    <row r="18" spans="1:43" ht="22.5" customHeight="1" x14ac:dyDescent="0.15">
      <c r="B18" s="337" t="s">
        <v>411</v>
      </c>
      <c r="C18" s="941" t="str">
        <f>+D18</f>
        <v/>
      </c>
      <c r="D18" s="257" t="str">
        <f>+IF(Kamatfizgyakorisag="legördülő cella","",IF(Kamatfizgyakorisag="havi",1,IF(Kamatfizgyakorisag="negyedéves",3,IF(Kamatfizgyakorisag="féléves",6,""))))</f>
        <v/>
      </c>
      <c r="E18" s="210" t="s">
        <v>425</v>
      </c>
      <c r="F18" s="210"/>
      <c r="G18" s="210"/>
      <c r="H18" s="213"/>
      <c r="I18" s="340"/>
      <c r="J18" s="241"/>
      <c r="K18" s="467"/>
      <c r="L18" s="246"/>
      <c r="M18" s="237"/>
      <c r="N18" s="237"/>
      <c r="O18" s="420">
        <v>8</v>
      </c>
      <c r="P18" s="420" t="b">
        <v>1</v>
      </c>
      <c r="Q18" s="420">
        <f t="shared" si="3"/>
        <v>1</v>
      </c>
      <c r="R18" s="464" t="e">
        <f t="shared" si="8"/>
        <v>#VALUE!</v>
      </c>
      <c r="S18" s="241" t="e">
        <f t="shared" ref="S18:AJ18" si="13">+IF($R$18="","",EDATE(R18,12))</f>
        <v>#VALUE!</v>
      </c>
      <c r="T18" s="241" t="e">
        <f t="shared" si="13"/>
        <v>#VALUE!</v>
      </c>
      <c r="U18" s="241" t="e">
        <f t="shared" si="13"/>
        <v>#VALUE!</v>
      </c>
      <c r="V18" s="241" t="e">
        <f t="shared" si="13"/>
        <v>#VALUE!</v>
      </c>
      <c r="W18" s="241" t="e">
        <f t="shared" si="13"/>
        <v>#VALUE!</v>
      </c>
      <c r="X18" s="241" t="e">
        <f t="shared" si="13"/>
        <v>#VALUE!</v>
      </c>
      <c r="Y18" s="241" t="e">
        <f t="shared" si="13"/>
        <v>#VALUE!</v>
      </c>
      <c r="Z18" s="241" t="e">
        <f t="shared" si="13"/>
        <v>#VALUE!</v>
      </c>
      <c r="AA18" s="241" t="e">
        <f t="shared" si="13"/>
        <v>#VALUE!</v>
      </c>
      <c r="AB18" s="241" t="e">
        <f t="shared" si="13"/>
        <v>#VALUE!</v>
      </c>
      <c r="AC18" s="241" t="e">
        <f t="shared" si="13"/>
        <v>#VALUE!</v>
      </c>
      <c r="AD18" s="241" t="e">
        <f t="shared" si="13"/>
        <v>#VALUE!</v>
      </c>
      <c r="AE18" s="241" t="e">
        <f t="shared" si="13"/>
        <v>#VALUE!</v>
      </c>
      <c r="AF18" s="241" t="e">
        <f t="shared" si="13"/>
        <v>#VALUE!</v>
      </c>
      <c r="AG18" s="241" t="e">
        <f t="shared" si="13"/>
        <v>#VALUE!</v>
      </c>
      <c r="AH18" s="241" t="e">
        <f t="shared" si="13"/>
        <v>#VALUE!</v>
      </c>
      <c r="AI18" s="241" t="e">
        <f t="shared" si="13"/>
        <v>#VALUE!</v>
      </c>
      <c r="AJ18" s="241" t="e">
        <f t="shared" si="13"/>
        <v>#VALUE!</v>
      </c>
      <c r="AK18" s="193" t="e">
        <f t="shared" si="1"/>
        <v>#VALUE!</v>
      </c>
      <c r="AL18" s="461" t="e">
        <f t="shared" si="2"/>
        <v>#VALUE!</v>
      </c>
      <c r="AM18" s="461" t="e">
        <f t="shared" si="5"/>
        <v>#VALUE!</v>
      </c>
      <c r="AN18" s="194" t="e">
        <f t="shared" si="6"/>
        <v>#VALUE!</v>
      </c>
      <c r="AO18" s="462"/>
      <c r="AP18" s="462"/>
      <c r="AQ18" s="441"/>
    </row>
    <row r="19" spans="1:43" ht="22.5" customHeight="1" x14ac:dyDescent="0.15">
      <c r="B19" s="339"/>
      <c r="C19" s="238"/>
      <c r="D19" s="238"/>
      <c r="E19" s="210" t="s">
        <v>426</v>
      </c>
      <c r="F19" s="210"/>
      <c r="G19" s="210"/>
      <c r="H19" s="213"/>
      <c r="I19" s="340"/>
      <c r="J19" s="241"/>
      <c r="K19" s="467"/>
      <c r="L19" s="237"/>
      <c r="M19" s="237"/>
      <c r="N19" s="237"/>
      <c r="O19" s="420">
        <v>9</v>
      </c>
      <c r="P19" s="420" t="b">
        <v>1</v>
      </c>
      <c r="Q19" s="420">
        <f t="shared" si="3"/>
        <v>1</v>
      </c>
      <c r="R19" s="464" t="e">
        <f t="shared" si="8"/>
        <v>#VALUE!</v>
      </c>
      <c r="S19" s="241" t="e">
        <f t="shared" ref="S19:AJ19" si="14">+IF($R$19="","",EDATE(R19,12))</f>
        <v>#VALUE!</v>
      </c>
      <c r="T19" s="241" t="e">
        <f t="shared" si="14"/>
        <v>#VALUE!</v>
      </c>
      <c r="U19" s="241" t="e">
        <f t="shared" si="14"/>
        <v>#VALUE!</v>
      </c>
      <c r="V19" s="241" t="e">
        <f t="shared" si="14"/>
        <v>#VALUE!</v>
      </c>
      <c r="W19" s="241" t="e">
        <f t="shared" si="14"/>
        <v>#VALUE!</v>
      </c>
      <c r="X19" s="241" t="e">
        <f t="shared" si="14"/>
        <v>#VALUE!</v>
      </c>
      <c r="Y19" s="241" t="e">
        <f t="shared" si="14"/>
        <v>#VALUE!</v>
      </c>
      <c r="Z19" s="241" t="e">
        <f t="shared" si="14"/>
        <v>#VALUE!</v>
      </c>
      <c r="AA19" s="241" t="e">
        <f t="shared" si="14"/>
        <v>#VALUE!</v>
      </c>
      <c r="AB19" s="241" t="e">
        <f t="shared" si="14"/>
        <v>#VALUE!</v>
      </c>
      <c r="AC19" s="241" t="e">
        <f t="shared" si="14"/>
        <v>#VALUE!</v>
      </c>
      <c r="AD19" s="241" t="e">
        <f t="shared" si="14"/>
        <v>#VALUE!</v>
      </c>
      <c r="AE19" s="241" t="e">
        <f t="shared" si="14"/>
        <v>#VALUE!</v>
      </c>
      <c r="AF19" s="241" t="e">
        <f t="shared" si="14"/>
        <v>#VALUE!</v>
      </c>
      <c r="AG19" s="241" t="e">
        <f t="shared" si="14"/>
        <v>#VALUE!</v>
      </c>
      <c r="AH19" s="241" t="e">
        <f t="shared" si="14"/>
        <v>#VALUE!</v>
      </c>
      <c r="AI19" s="241" t="e">
        <f t="shared" si="14"/>
        <v>#VALUE!</v>
      </c>
      <c r="AJ19" s="241" t="e">
        <f t="shared" si="14"/>
        <v>#VALUE!</v>
      </c>
      <c r="AK19" s="193" t="e">
        <f t="shared" si="1"/>
        <v>#VALUE!</v>
      </c>
      <c r="AL19" s="461" t="e">
        <f t="shared" si="2"/>
        <v>#VALUE!</v>
      </c>
      <c r="AM19" s="461" t="e">
        <f t="shared" si="5"/>
        <v>#VALUE!</v>
      </c>
      <c r="AN19" s="194" t="e">
        <f t="shared" si="6"/>
        <v>#VALUE!</v>
      </c>
      <c r="AO19" s="462"/>
      <c r="AP19" s="462"/>
      <c r="AQ19" s="441"/>
    </row>
    <row r="20" spans="1:43" ht="22.5" customHeight="1" x14ac:dyDescent="0.15">
      <c r="B20" s="339"/>
      <c r="C20" s="238"/>
      <c r="D20" s="238"/>
      <c r="E20" s="210" t="s">
        <v>427</v>
      </c>
      <c r="F20" s="210"/>
      <c r="G20" s="210"/>
      <c r="H20" s="213"/>
      <c r="I20" s="340"/>
      <c r="J20" s="241"/>
      <c r="K20" s="467"/>
      <c r="L20" s="237"/>
      <c r="M20" s="237"/>
      <c r="N20" s="237"/>
      <c r="O20" s="420">
        <v>10</v>
      </c>
      <c r="P20" s="420" t="b">
        <v>1</v>
      </c>
      <c r="Q20" s="420">
        <f t="shared" si="3"/>
        <v>1</v>
      </c>
      <c r="R20" s="464" t="e">
        <f t="shared" si="8"/>
        <v>#VALUE!</v>
      </c>
      <c r="S20" s="241" t="e">
        <f t="shared" ref="S20:AJ20" si="15">+IF($R$20="","",EDATE(R20,12))</f>
        <v>#VALUE!</v>
      </c>
      <c r="T20" s="241" t="e">
        <f t="shared" si="15"/>
        <v>#VALUE!</v>
      </c>
      <c r="U20" s="241" t="e">
        <f t="shared" si="15"/>
        <v>#VALUE!</v>
      </c>
      <c r="V20" s="241" t="e">
        <f t="shared" si="15"/>
        <v>#VALUE!</v>
      </c>
      <c r="W20" s="241" t="e">
        <f t="shared" si="15"/>
        <v>#VALUE!</v>
      </c>
      <c r="X20" s="241" t="e">
        <f t="shared" si="15"/>
        <v>#VALUE!</v>
      </c>
      <c r="Y20" s="241" t="e">
        <f t="shared" si="15"/>
        <v>#VALUE!</v>
      </c>
      <c r="Z20" s="241" t="e">
        <f t="shared" si="15"/>
        <v>#VALUE!</v>
      </c>
      <c r="AA20" s="241" t="e">
        <f t="shared" si="15"/>
        <v>#VALUE!</v>
      </c>
      <c r="AB20" s="241" t="e">
        <f t="shared" si="15"/>
        <v>#VALUE!</v>
      </c>
      <c r="AC20" s="241" t="e">
        <f t="shared" si="15"/>
        <v>#VALUE!</v>
      </c>
      <c r="AD20" s="241" t="e">
        <f t="shared" si="15"/>
        <v>#VALUE!</v>
      </c>
      <c r="AE20" s="241" t="e">
        <f t="shared" si="15"/>
        <v>#VALUE!</v>
      </c>
      <c r="AF20" s="241" t="e">
        <f t="shared" si="15"/>
        <v>#VALUE!</v>
      </c>
      <c r="AG20" s="241" t="e">
        <f t="shared" si="15"/>
        <v>#VALUE!</v>
      </c>
      <c r="AH20" s="241" t="e">
        <f t="shared" si="15"/>
        <v>#VALUE!</v>
      </c>
      <c r="AI20" s="241" t="e">
        <f t="shared" si="15"/>
        <v>#VALUE!</v>
      </c>
      <c r="AJ20" s="241" t="e">
        <f t="shared" si="15"/>
        <v>#VALUE!</v>
      </c>
      <c r="AK20" s="193" t="e">
        <f t="shared" si="1"/>
        <v>#VALUE!</v>
      </c>
      <c r="AL20" s="461" t="e">
        <f t="shared" si="2"/>
        <v>#VALUE!</v>
      </c>
      <c r="AM20" s="461" t="e">
        <f t="shared" si="5"/>
        <v>#VALUE!</v>
      </c>
      <c r="AN20" s="194" t="e">
        <f t="shared" si="6"/>
        <v>#VALUE!</v>
      </c>
      <c r="AO20" s="462"/>
      <c r="AP20" s="462"/>
      <c r="AQ20" s="441"/>
    </row>
    <row r="21" spans="1:43" ht="22.5" customHeight="1" x14ac:dyDescent="0.15">
      <c r="B21" s="538" t="s">
        <v>440</v>
      </c>
      <c r="C21" s="233"/>
      <c r="D21" s="539" t="e">
        <f>DATE(YEAR(D9),MONTH(D9),DAY(D10))</f>
        <v>#VALUE!</v>
      </c>
      <c r="E21" s="210" t="s">
        <v>428</v>
      </c>
      <c r="F21" s="210"/>
      <c r="G21" s="210"/>
      <c r="H21" s="213"/>
      <c r="I21" s="340"/>
      <c r="J21" s="241"/>
      <c r="K21" s="467"/>
      <c r="L21" s="237"/>
      <c r="M21" s="237"/>
      <c r="N21" s="237"/>
      <c r="O21" s="420">
        <v>11</v>
      </c>
      <c r="P21" s="420" t="b">
        <v>1</v>
      </c>
      <c r="Q21" s="420">
        <f t="shared" si="3"/>
        <v>1</v>
      </c>
      <c r="R21" s="464" t="e">
        <f t="shared" si="8"/>
        <v>#VALUE!</v>
      </c>
      <c r="S21" s="241" t="e">
        <f t="shared" ref="S21:AJ21" si="16">+IF($R$21="","",EDATE(R21,12))</f>
        <v>#VALUE!</v>
      </c>
      <c r="T21" s="241" t="e">
        <f t="shared" si="16"/>
        <v>#VALUE!</v>
      </c>
      <c r="U21" s="241" t="e">
        <f t="shared" si="16"/>
        <v>#VALUE!</v>
      </c>
      <c r="V21" s="241" t="e">
        <f t="shared" si="16"/>
        <v>#VALUE!</v>
      </c>
      <c r="W21" s="241" t="e">
        <f t="shared" si="16"/>
        <v>#VALUE!</v>
      </c>
      <c r="X21" s="241" t="e">
        <f t="shared" si="16"/>
        <v>#VALUE!</v>
      </c>
      <c r="Y21" s="241" t="e">
        <f t="shared" si="16"/>
        <v>#VALUE!</v>
      </c>
      <c r="Z21" s="241" t="e">
        <f t="shared" si="16"/>
        <v>#VALUE!</v>
      </c>
      <c r="AA21" s="241" t="e">
        <f t="shared" si="16"/>
        <v>#VALUE!</v>
      </c>
      <c r="AB21" s="241" t="e">
        <f t="shared" si="16"/>
        <v>#VALUE!</v>
      </c>
      <c r="AC21" s="241" t="e">
        <f t="shared" si="16"/>
        <v>#VALUE!</v>
      </c>
      <c r="AD21" s="241" t="e">
        <f t="shared" si="16"/>
        <v>#VALUE!</v>
      </c>
      <c r="AE21" s="241" t="e">
        <f t="shared" si="16"/>
        <v>#VALUE!</v>
      </c>
      <c r="AF21" s="241" t="e">
        <f t="shared" si="16"/>
        <v>#VALUE!</v>
      </c>
      <c r="AG21" s="241" t="e">
        <f t="shared" si="16"/>
        <v>#VALUE!</v>
      </c>
      <c r="AH21" s="241" t="e">
        <f t="shared" si="16"/>
        <v>#VALUE!</v>
      </c>
      <c r="AI21" s="241" t="e">
        <f t="shared" si="16"/>
        <v>#VALUE!</v>
      </c>
      <c r="AJ21" s="241" t="e">
        <f t="shared" si="16"/>
        <v>#VALUE!</v>
      </c>
      <c r="AK21" s="193" t="e">
        <f t="shared" si="1"/>
        <v>#VALUE!</v>
      </c>
      <c r="AL21" s="461" t="e">
        <f t="shared" si="2"/>
        <v>#VALUE!</v>
      </c>
      <c r="AM21" s="461" t="e">
        <f t="shared" si="5"/>
        <v>#VALUE!</v>
      </c>
      <c r="AN21" s="194" t="e">
        <f t="shared" si="6"/>
        <v>#VALUE!</v>
      </c>
      <c r="AO21" s="462"/>
      <c r="AP21" s="462"/>
      <c r="AQ21" s="441"/>
    </row>
    <row r="22" spans="1:43" ht="12.75" customHeight="1" x14ac:dyDescent="0.15">
      <c r="B22" s="538" t="s">
        <v>442</v>
      </c>
      <c r="C22" s="233"/>
      <c r="D22" s="539" t="e">
        <f>IF(MONTH(D21) &lt;&gt; MONTH(D9),EOMONTH(D9,0),D21)</f>
        <v>#VALUE!</v>
      </c>
      <c r="E22" s="238"/>
      <c r="F22" s="238"/>
      <c r="G22" s="238"/>
      <c r="H22" s="1477"/>
      <c r="I22" s="1478"/>
      <c r="J22" s="297"/>
      <c r="K22" s="468"/>
      <c r="L22" s="237"/>
      <c r="M22" s="237"/>
      <c r="N22" s="237"/>
      <c r="O22" s="420">
        <v>12</v>
      </c>
      <c r="P22" s="420" t="b">
        <v>1</v>
      </c>
      <c r="Q22" s="420">
        <f t="shared" si="3"/>
        <v>1</v>
      </c>
      <c r="R22" s="464" t="e">
        <f t="shared" si="8"/>
        <v>#VALUE!</v>
      </c>
      <c r="S22" s="241" t="e">
        <f t="shared" ref="S22:AJ22" si="17">+IF($R$22="","",EDATE(R22,12))</f>
        <v>#VALUE!</v>
      </c>
      <c r="T22" s="241" t="e">
        <f t="shared" si="17"/>
        <v>#VALUE!</v>
      </c>
      <c r="U22" s="241" t="e">
        <f t="shared" si="17"/>
        <v>#VALUE!</v>
      </c>
      <c r="V22" s="241" t="e">
        <f t="shared" si="17"/>
        <v>#VALUE!</v>
      </c>
      <c r="W22" s="241" t="e">
        <f t="shared" si="17"/>
        <v>#VALUE!</v>
      </c>
      <c r="X22" s="241" t="e">
        <f t="shared" si="17"/>
        <v>#VALUE!</v>
      </c>
      <c r="Y22" s="241" t="e">
        <f t="shared" si="17"/>
        <v>#VALUE!</v>
      </c>
      <c r="Z22" s="241" t="e">
        <f t="shared" si="17"/>
        <v>#VALUE!</v>
      </c>
      <c r="AA22" s="241" t="e">
        <f t="shared" si="17"/>
        <v>#VALUE!</v>
      </c>
      <c r="AB22" s="241" t="e">
        <f t="shared" si="17"/>
        <v>#VALUE!</v>
      </c>
      <c r="AC22" s="241" t="e">
        <f t="shared" si="17"/>
        <v>#VALUE!</v>
      </c>
      <c r="AD22" s="241" t="e">
        <f t="shared" si="17"/>
        <v>#VALUE!</v>
      </c>
      <c r="AE22" s="241" t="e">
        <f t="shared" si="17"/>
        <v>#VALUE!</v>
      </c>
      <c r="AF22" s="241" t="e">
        <f t="shared" si="17"/>
        <v>#VALUE!</v>
      </c>
      <c r="AG22" s="241" t="e">
        <f t="shared" si="17"/>
        <v>#VALUE!</v>
      </c>
      <c r="AH22" s="241" t="e">
        <f t="shared" si="17"/>
        <v>#VALUE!</v>
      </c>
      <c r="AI22" s="241" t="e">
        <f t="shared" si="17"/>
        <v>#VALUE!</v>
      </c>
      <c r="AJ22" s="241" t="e">
        <f t="shared" si="17"/>
        <v>#VALUE!</v>
      </c>
      <c r="AK22" s="193" t="e">
        <f t="shared" si="1"/>
        <v>#VALUE!</v>
      </c>
      <c r="AL22" s="461" t="e">
        <f t="shared" si="2"/>
        <v>#VALUE!</v>
      </c>
      <c r="AM22" s="461" t="e">
        <f t="shared" si="5"/>
        <v>#VALUE!</v>
      </c>
      <c r="AN22" s="194" t="e">
        <f t="shared" si="6"/>
        <v>#VALUE!</v>
      </c>
      <c r="AO22" s="462"/>
      <c r="AP22" s="462" t="e">
        <f>AL22-TorlTervElsoTorl</f>
        <v>#VALUE!</v>
      </c>
      <c r="AQ22" s="441"/>
    </row>
    <row r="23" spans="1:43" ht="12.75" customHeight="1" x14ac:dyDescent="0.15">
      <c r="B23" s="538" t="s">
        <v>436</v>
      </c>
      <c r="C23" s="233"/>
      <c r="D23" s="539" t="e">
        <f>IF(D22&gt;D9,EDATE(D22,-1),D22)</f>
        <v>#VALUE!</v>
      </c>
      <c r="E23" s="941"/>
      <c r="G23" s="941"/>
      <c r="H23" s="238"/>
      <c r="I23" s="341"/>
      <c r="K23" s="469"/>
      <c r="L23" s="237"/>
      <c r="M23" s="237"/>
      <c r="N23" s="237"/>
      <c r="O23" s="69"/>
      <c r="P23" s="69"/>
      <c r="Q23" s="195">
        <f>SUM(Q8:Q22)</f>
        <v>12</v>
      </c>
      <c r="R23" s="470"/>
      <c r="S23" s="69"/>
      <c r="T23" s="69"/>
      <c r="U23" s="69"/>
      <c r="V23" s="69"/>
      <c r="W23" s="69"/>
      <c r="X23" s="69"/>
      <c r="Y23" s="69"/>
      <c r="Z23" s="69"/>
      <c r="AA23" s="69"/>
      <c r="AB23" s="241"/>
      <c r="AC23" s="241"/>
      <c r="AD23" s="241"/>
      <c r="AE23" s="241"/>
      <c r="AF23" s="69"/>
      <c r="AG23" s="69"/>
      <c r="AH23" s="69"/>
      <c r="AI23" s="69"/>
      <c r="AJ23" s="241"/>
      <c r="AK23" s="193" t="e">
        <f>+S10</f>
        <v>#VALUE!</v>
      </c>
      <c r="AL23" s="461" t="e">
        <f t="shared" si="2"/>
        <v>#VALUE!</v>
      </c>
      <c r="AM23" s="461" t="e">
        <f t="shared" si="5"/>
        <v>#VALUE!</v>
      </c>
      <c r="AN23" s="194" t="e">
        <f t="shared" si="6"/>
        <v>#VALUE!</v>
      </c>
      <c r="AO23" s="462"/>
      <c r="AP23" s="462"/>
      <c r="AQ23" s="441"/>
    </row>
    <row r="24" spans="1:43" ht="12.75" customHeight="1" x14ac:dyDescent="0.15">
      <c r="B24" s="538" t="s">
        <v>437</v>
      </c>
      <c r="C24" s="233"/>
      <c r="D24" s="233" t="e">
        <f>(YEAR(D10)*12+MONTH(D10))-(YEAR(D23)*12+MONTH(D23))</f>
        <v>#VALUE!</v>
      </c>
      <c r="E24" s="941"/>
      <c r="G24" s="941"/>
      <c r="H24" s="238"/>
      <c r="I24" s="341"/>
      <c r="K24" s="469"/>
      <c r="L24" s="438"/>
      <c r="M24" s="438"/>
      <c r="N24" s="438"/>
      <c r="O24" s="69"/>
      <c r="P24" s="69"/>
      <c r="Q24" s="69"/>
      <c r="R24" s="470"/>
      <c r="S24" s="69"/>
      <c r="T24" s="69"/>
      <c r="U24" s="69"/>
      <c r="V24" s="69"/>
      <c r="W24" s="69"/>
      <c r="X24" s="69"/>
      <c r="Y24" s="69"/>
      <c r="Z24" s="69"/>
      <c r="AA24" s="69"/>
      <c r="AB24" s="241"/>
      <c r="AC24" s="241"/>
      <c r="AD24" s="241"/>
      <c r="AE24" s="241"/>
      <c r="AF24" s="69"/>
      <c r="AG24" s="69"/>
      <c r="AH24" s="69"/>
      <c r="AI24" s="69"/>
      <c r="AJ24" s="241"/>
      <c r="AK24" s="193"/>
      <c r="AL24" s="461">
        <f t="shared" si="2"/>
        <v>10000000</v>
      </c>
      <c r="AM24" s="461" t="e">
        <f t="shared" si="5"/>
        <v>#VALUE!</v>
      </c>
      <c r="AN24" s="194" t="str">
        <f t="shared" si="6"/>
        <v/>
      </c>
      <c r="AO24" s="462"/>
      <c r="AP24" s="462"/>
      <c r="AQ24" s="441"/>
    </row>
    <row r="25" spans="1:43" ht="12.75" customHeight="1" x14ac:dyDescent="0.15">
      <c r="B25" s="538" t="s">
        <v>438</v>
      </c>
      <c r="C25" s="233"/>
      <c r="D25" s="233" t="e">
        <f>D11+turelmiido</f>
        <v>#VALUE!</v>
      </c>
      <c r="E25" s="941"/>
      <c r="G25" s="216"/>
      <c r="H25" s="238"/>
      <c r="I25" s="341"/>
      <c r="K25" s="469"/>
      <c r="L25" s="437">
        <f>IF(E33&gt;0,1,IF(E36&gt;0,2,3))</f>
        <v>3</v>
      </c>
      <c r="M25" s="438"/>
      <c r="N25" s="438"/>
      <c r="O25" s="69"/>
      <c r="P25" s="69"/>
      <c r="Q25" s="69"/>
      <c r="R25" s="470"/>
      <c r="S25" s="69"/>
      <c r="T25" s="69"/>
      <c r="U25" s="69"/>
      <c r="V25" s="69"/>
      <c r="W25" s="69"/>
      <c r="X25" s="69"/>
      <c r="Y25" s="69"/>
      <c r="Z25" s="69"/>
      <c r="AA25" s="69"/>
      <c r="AB25" s="241"/>
      <c r="AC25" s="241"/>
      <c r="AD25" s="241"/>
      <c r="AE25" s="241"/>
      <c r="AF25" s="69"/>
      <c r="AG25" s="69"/>
      <c r="AH25" s="69"/>
      <c r="AI25" s="69"/>
      <c r="AJ25" s="241"/>
      <c r="AK25" s="193"/>
      <c r="AL25" s="461">
        <f t="shared" si="2"/>
        <v>10000000</v>
      </c>
      <c r="AM25" s="461" t="e">
        <f t="shared" si="5"/>
        <v>#VALUE!</v>
      </c>
      <c r="AN25" s="194" t="str">
        <f t="shared" si="6"/>
        <v/>
      </c>
      <c r="AO25" s="462"/>
      <c r="AP25" s="462"/>
      <c r="AQ25" s="441"/>
    </row>
    <row r="26" spans="1:43" ht="12.75" customHeight="1" x14ac:dyDescent="0.15">
      <c r="B26" s="339"/>
      <c r="C26" s="238"/>
      <c r="D26" s="238"/>
      <c r="E26" s="941"/>
      <c r="G26" s="941"/>
      <c r="H26" s="238"/>
      <c r="I26" s="341"/>
      <c r="K26" s="469"/>
      <c r="L26" s="438"/>
      <c r="M26" s="438"/>
      <c r="N26" s="438"/>
      <c r="O26" s="69"/>
      <c r="P26" s="69"/>
      <c r="Q26" s="69"/>
      <c r="R26" s="470"/>
      <c r="S26" s="69"/>
      <c r="T26" s="69"/>
      <c r="U26" s="69"/>
      <c r="V26" s="69"/>
      <c r="W26" s="69"/>
      <c r="X26" s="69"/>
      <c r="Y26" s="69"/>
      <c r="Z26" s="69"/>
      <c r="AA26" s="69"/>
      <c r="AB26" s="241"/>
      <c r="AC26" s="241"/>
      <c r="AD26" s="241"/>
      <c r="AE26" s="241"/>
      <c r="AF26" s="69"/>
      <c r="AG26" s="69"/>
      <c r="AH26" s="69"/>
      <c r="AI26" s="69"/>
      <c r="AJ26" s="241"/>
      <c r="AK26" s="193"/>
      <c r="AL26" s="461">
        <f t="shared" si="2"/>
        <v>10000000</v>
      </c>
      <c r="AM26" s="461" t="e">
        <f t="shared" si="5"/>
        <v>#VALUE!</v>
      </c>
      <c r="AN26" s="194" t="str">
        <f t="shared" si="6"/>
        <v/>
      </c>
      <c r="AO26" s="462"/>
      <c r="AP26" s="462"/>
      <c r="AQ26" s="441"/>
    </row>
    <row r="27" spans="1:43" ht="12.75" customHeight="1" x14ac:dyDescent="0.15">
      <c r="B27" s="339"/>
      <c r="C27" s="238"/>
      <c r="D27" s="238"/>
      <c r="E27" s="238"/>
      <c r="F27" s="238"/>
      <c r="G27" s="238"/>
      <c r="H27" s="977"/>
      <c r="I27" s="978"/>
      <c r="K27" s="469"/>
      <c r="L27" s="69"/>
      <c r="M27" s="69"/>
      <c r="N27" s="69"/>
      <c r="O27" s="69"/>
      <c r="P27" s="69"/>
      <c r="Q27" s="69"/>
      <c r="R27" s="470"/>
      <c r="S27" s="69"/>
      <c r="T27" s="69"/>
      <c r="U27" s="69"/>
      <c r="V27" s="69"/>
      <c r="W27" s="69"/>
      <c r="X27" s="69"/>
      <c r="Y27" s="69"/>
      <c r="Z27" s="69"/>
      <c r="AA27" s="69"/>
      <c r="AB27" s="241"/>
      <c r="AC27" s="241"/>
      <c r="AD27" s="241"/>
      <c r="AE27" s="241"/>
      <c r="AF27" s="69"/>
      <c r="AG27" s="69"/>
      <c r="AH27" s="69"/>
      <c r="AI27" s="69"/>
      <c r="AJ27" s="241"/>
      <c r="AK27" s="193"/>
      <c r="AL27" s="461">
        <f t="shared" si="2"/>
        <v>10000000</v>
      </c>
      <c r="AM27" s="461" t="e">
        <f t="shared" si="5"/>
        <v>#VALUE!</v>
      </c>
      <c r="AN27" s="194" t="str">
        <f t="shared" si="6"/>
        <v/>
      </c>
      <c r="AO27" s="462"/>
      <c r="AP27" s="462"/>
      <c r="AQ27" s="441"/>
    </row>
    <row r="28" spans="1:43" x14ac:dyDescent="0.15">
      <c r="B28" s="339"/>
      <c r="C28" s="238"/>
      <c r="D28" s="238"/>
      <c r="E28" s="941"/>
      <c r="G28" s="941"/>
      <c r="H28" s="238"/>
      <c r="I28" s="341"/>
      <c r="K28" s="469"/>
      <c r="L28" s="438">
        <f>+COUNT(K37:K216)</f>
        <v>0</v>
      </c>
      <c r="M28" s="438">
        <f>+COUNT(K37:K216)</f>
        <v>0</v>
      </c>
      <c r="N28" s="438">
        <f>+COUNT(K37:K216)</f>
        <v>0</v>
      </c>
      <c r="O28" s="69"/>
      <c r="P28" s="69"/>
      <c r="Q28" s="69"/>
      <c r="R28" s="470"/>
      <c r="S28" s="69"/>
      <c r="T28" s="69"/>
      <c r="U28" s="69"/>
      <c r="V28" s="69"/>
      <c r="W28" s="69"/>
      <c r="X28" s="69"/>
      <c r="Y28" s="69"/>
      <c r="Z28" s="69"/>
      <c r="AA28" s="69"/>
      <c r="AB28" s="241"/>
      <c r="AC28" s="241"/>
      <c r="AD28" s="241"/>
      <c r="AE28" s="241"/>
      <c r="AF28" s="69"/>
      <c r="AG28" s="69"/>
      <c r="AH28" s="69"/>
      <c r="AI28" s="69"/>
      <c r="AJ28" s="241"/>
      <c r="AK28" s="193"/>
      <c r="AL28" s="461">
        <f t="shared" si="2"/>
        <v>10000000</v>
      </c>
      <c r="AM28" s="461" t="e">
        <f t="shared" si="5"/>
        <v>#VALUE!</v>
      </c>
      <c r="AN28" s="194" t="str">
        <f t="shared" si="6"/>
        <v/>
      </c>
      <c r="AO28" s="462"/>
      <c r="AP28" s="462"/>
      <c r="AQ28" s="441"/>
    </row>
    <row r="29" spans="1:43" x14ac:dyDescent="0.15">
      <c r="B29" s="339"/>
      <c r="C29" s="238"/>
      <c r="D29" s="238"/>
      <c r="E29" s="941"/>
      <c r="G29" s="941"/>
      <c r="H29" s="1475" t="str">
        <f>+IF(O59&gt;O58,"A visszaforgatásnak 6 hónapon belül kell lennie!","")</f>
        <v/>
      </c>
      <c r="I29" s="1476"/>
      <c r="J29" s="296"/>
      <c r="K29" s="471"/>
      <c r="L29" s="245" t="str">
        <f>+D11</f>
        <v/>
      </c>
      <c r="M29" s="245" t="str">
        <f>+L29</f>
        <v/>
      </c>
      <c r="N29" s="245" t="str">
        <f>+M29</f>
        <v/>
      </c>
      <c r="O29" s="69"/>
      <c r="P29" s="69"/>
      <c r="Q29" s="69"/>
      <c r="R29" s="470"/>
      <c r="S29" s="69"/>
      <c r="T29" s="69"/>
      <c r="U29" s="69"/>
      <c r="V29" s="69"/>
      <c r="W29" s="69"/>
      <c r="X29" s="69"/>
      <c r="Y29" s="69"/>
      <c r="Z29" s="69"/>
      <c r="AA29" s="69"/>
      <c r="AB29" s="69"/>
      <c r="AC29" s="69"/>
      <c r="AD29" s="69"/>
      <c r="AE29" s="69"/>
      <c r="AF29" s="69"/>
      <c r="AG29" s="69"/>
      <c r="AH29" s="69"/>
      <c r="AI29" s="69"/>
      <c r="AJ29" s="69"/>
      <c r="AK29" s="193"/>
      <c r="AL29" s="461">
        <f t="shared" si="2"/>
        <v>10000000</v>
      </c>
      <c r="AM29" s="461" t="e">
        <f t="shared" si="5"/>
        <v>#VALUE!</v>
      </c>
      <c r="AN29" s="194" t="str">
        <f t="shared" si="6"/>
        <v/>
      </c>
      <c r="AO29" s="462"/>
      <c r="AP29" s="462"/>
      <c r="AQ29" s="441"/>
    </row>
    <row r="30" spans="1:43" ht="33" customHeight="1" x14ac:dyDescent="0.15">
      <c r="B30" s="339"/>
      <c r="C30" s="238"/>
      <c r="D30" s="1009" t="s">
        <v>446</v>
      </c>
      <c r="E30" s="1006">
        <f>RefinKolcsonOsszege</f>
        <v>0</v>
      </c>
      <c r="F30" s="1006"/>
      <c r="G30" s="184"/>
      <c r="H30" s="1483" t="s">
        <v>1041</v>
      </c>
      <c r="I30" s="1484"/>
      <c r="J30" s="293"/>
      <c r="K30" s="465"/>
      <c r="L30" s="242">
        <f>+E30</f>
        <v>0</v>
      </c>
      <c r="M30" s="242">
        <f>+E30</f>
        <v>0</v>
      </c>
      <c r="N30" s="242">
        <f>+E30</f>
        <v>0</v>
      </c>
      <c r="O30" s="69"/>
      <c r="P30" s="69"/>
      <c r="Q30" s="69"/>
      <c r="R30" s="470"/>
      <c r="S30" s="69"/>
      <c r="T30" s="69"/>
      <c r="U30" s="69"/>
      <c r="V30" s="69"/>
      <c r="W30" s="69"/>
      <c r="X30" s="69"/>
      <c r="Y30" s="69"/>
      <c r="Z30" s="69"/>
      <c r="AA30" s="69"/>
      <c r="AB30" s="69"/>
      <c r="AC30" s="69"/>
      <c r="AD30" s="69"/>
      <c r="AE30" s="69"/>
      <c r="AF30" s="69"/>
      <c r="AG30" s="69"/>
      <c r="AH30" s="69"/>
      <c r="AI30" s="69"/>
      <c r="AJ30" s="69"/>
      <c r="AK30" s="193"/>
      <c r="AL30" s="461">
        <f t="shared" si="2"/>
        <v>10000000</v>
      </c>
      <c r="AM30" s="461" t="e">
        <f t="shared" si="5"/>
        <v>#VALUE!</v>
      </c>
      <c r="AN30" s="194" t="str">
        <f t="shared" si="6"/>
        <v/>
      </c>
      <c r="AO30" s="462"/>
      <c r="AP30" s="462"/>
      <c r="AQ30" s="441"/>
    </row>
    <row r="31" spans="1:43" x14ac:dyDescent="0.15">
      <c r="B31" s="1465"/>
      <c r="C31" s="941"/>
      <c r="D31" s="1007"/>
      <c r="E31" s="1008"/>
      <c r="F31" s="1008"/>
      <c r="G31" s="212"/>
      <c r="H31" s="1483"/>
      <c r="I31" s="1484"/>
      <c r="J31" s="295"/>
      <c r="K31" s="472"/>
      <c r="L31" s="243">
        <f>SUM(L37:L216)</f>
        <v>0</v>
      </c>
      <c r="M31" s="243">
        <f>SUM(M36:M216)</f>
        <v>0</v>
      </c>
      <c r="N31" s="243">
        <f>SUM(N36:N216)</f>
        <v>0</v>
      </c>
      <c r="O31" s="69"/>
      <c r="P31" s="69"/>
      <c r="Q31" s="69"/>
      <c r="R31" s="470"/>
      <c r="S31" s="69"/>
      <c r="T31" s="69"/>
      <c r="U31" s="69"/>
      <c r="V31" s="69"/>
      <c r="W31" s="69"/>
      <c r="X31" s="69"/>
      <c r="Y31" s="69"/>
      <c r="Z31" s="69"/>
      <c r="AA31" s="69"/>
      <c r="AB31" s="69"/>
      <c r="AC31" s="69"/>
      <c r="AD31" s="69"/>
      <c r="AE31" s="69"/>
      <c r="AF31" s="69"/>
      <c r="AG31" s="69"/>
      <c r="AH31" s="69"/>
      <c r="AI31" s="69"/>
      <c r="AJ31" s="69"/>
      <c r="AK31" s="193"/>
      <c r="AL31" s="461">
        <f t="shared" si="2"/>
        <v>10000000</v>
      </c>
      <c r="AM31" s="461" t="e">
        <f t="shared" si="5"/>
        <v>#VALUE!</v>
      </c>
      <c r="AN31" s="194" t="str">
        <f t="shared" si="6"/>
        <v/>
      </c>
      <c r="AO31" s="462"/>
      <c r="AP31" s="462"/>
      <c r="AQ31" s="441"/>
    </row>
    <row r="32" spans="1:43" s="236" customFormat="1" x14ac:dyDescent="0.15">
      <c r="A32" s="69"/>
      <c r="B32" s="1465"/>
      <c r="C32" s="941"/>
      <c r="D32" s="211" t="s">
        <v>1040</v>
      </c>
      <c r="E32" s="1006">
        <f>+SUM(E36:E216)</f>
        <v>0</v>
      </c>
      <c r="F32" s="1006"/>
      <c r="G32" s="212"/>
      <c r="H32" s="1481" t="str">
        <f>+IF(E33&gt;E30*0.2,"Balloon max. 20%!","")</f>
        <v/>
      </c>
      <c r="I32" s="1482"/>
      <c r="J32" s="969"/>
      <c r="K32" s="472"/>
      <c r="L32" s="243"/>
      <c r="M32" s="243"/>
      <c r="N32" s="243"/>
      <c r="O32" s="69"/>
      <c r="P32" s="69"/>
      <c r="Q32" s="69"/>
      <c r="R32" s="470"/>
      <c r="S32" s="69"/>
      <c r="T32" s="69"/>
      <c r="U32" s="69"/>
      <c r="V32" s="69"/>
      <c r="W32" s="69"/>
      <c r="X32" s="69"/>
      <c r="Y32" s="69"/>
      <c r="Z32" s="69"/>
      <c r="AA32" s="69"/>
      <c r="AB32" s="69"/>
      <c r="AC32" s="69"/>
      <c r="AD32" s="69"/>
      <c r="AE32" s="69"/>
      <c r="AF32" s="69"/>
      <c r="AG32" s="69"/>
      <c r="AH32" s="69"/>
      <c r="AI32" s="69"/>
      <c r="AJ32" s="69"/>
      <c r="AK32" s="193"/>
      <c r="AL32" s="461"/>
      <c r="AM32" s="461"/>
      <c r="AN32" s="194"/>
      <c r="AO32" s="462"/>
      <c r="AP32" s="462"/>
      <c r="AQ32" s="441"/>
    </row>
    <row r="33" spans="2:43" x14ac:dyDescent="0.15">
      <c r="B33" s="1466"/>
      <c r="C33" s="342"/>
      <c r="D33" s="1010" t="s">
        <v>472</v>
      </c>
      <c r="E33" s="1037">
        <v>0</v>
      </c>
      <c r="F33" s="1037"/>
      <c r="G33" s="343"/>
      <c r="H33" s="344" t="s">
        <v>411</v>
      </c>
      <c r="I33" s="345" t="str">
        <f>+C18</f>
        <v/>
      </c>
      <c r="J33" s="247"/>
      <c r="K33" s="473"/>
      <c r="L33" s="438"/>
      <c r="M33" s="438"/>
      <c r="N33" s="438"/>
      <c r="O33" s="69"/>
      <c r="P33" s="69"/>
      <c r="Q33" s="69"/>
      <c r="R33" s="470"/>
      <c r="S33" s="69"/>
      <c r="T33" s="69"/>
      <c r="U33" s="69"/>
      <c r="V33" s="69"/>
      <c r="W33" s="69"/>
      <c r="X33" s="69"/>
      <c r="Y33" s="69"/>
      <c r="Z33" s="69"/>
      <c r="AA33" s="69"/>
      <c r="AB33" s="69"/>
      <c r="AC33" s="69"/>
      <c r="AD33" s="69"/>
      <c r="AE33" s="69"/>
      <c r="AF33" s="69"/>
      <c r="AG33" s="69"/>
      <c r="AH33" s="69"/>
      <c r="AI33" s="69"/>
      <c r="AJ33" s="69"/>
      <c r="AK33" s="193"/>
      <c r="AL33" s="461">
        <f t="shared" si="2"/>
        <v>10000000</v>
      </c>
      <c r="AM33" s="461" t="e">
        <f>AM31+(IF(AN33="",0,1))</f>
        <v>#VALUE!</v>
      </c>
      <c r="AN33" s="194" t="str">
        <f t="shared" si="6"/>
        <v/>
      </c>
      <c r="AO33" s="462"/>
      <c r="AP33" s="462"/>
      <c r="AQ33" s="441"/>
    </row>
    <row r="34" spans="2:43" ht="15" customHeight="1" x14ac:dyDescent="0.15">
      <c r="B34" s="926" t="s">
        <v>412</v>
      </c>
      <c r="C34" s="927"/>
      <c r="D34" s="927" t="s">
        <v>413</v>
      </c>
      <c r="E34" s="927" t="s">
        <v>414</v>
      </c>
      <c r="F34" s="927"/>
      <c r="G34" s="928"/>
      <c r="H34" s="927" t="s">
        <v>412</v>
      </c>
      <c r="I34" s="929" t="s">
        <v>415</v>
      </c>
      <c r="J34" s="196"/>
      <c r="K34" s="474" t="s">
        <v>473</v>
      </c>
      <c r="L34" s="240" t="s">
        <v>474</v>
      </c>
      <c r="M34" s="240" t="s">
        <v>475</v>
      </c>
      <c r="N34" s="240" t="s">
        <v>476</v>
      </c>
      <c r="O34" s="69"/>
      <c r="P34" s="69"/>
      <c r="Q34" s="69"/>
      <c r="R34" s="470"/>
      <c r="S34" s="69"/>
      <c r="T34" s="69"/>
      <c r="U34" s="69"/>
      <c r="V34" s="69"/>
      <c r="W34" s="69"/>
      <c r="X34" s="69"/>
      <c r="Y34" s="69"/>
      <c r="Z34" s="69"/>
      <c r="AA34" s="69"/>
      <c r="AB34" s="69"/>
      <c r="AC34" s="69"/>
      <c r="AD34" s="69"/>
      <c r="AE34" s="69"/>
      <c r="AF34" s="69"/>
      <c r="AG34" s="69"/>
      <c r="AH34" s="69"/>
      <c r="AI34" s="69"/>
      <c r="AJ34" s="69"/>
      <c r="AK34" s="193" t="e">
        <f>+S11</f>
        <v>#VALUE!</v>
      </c>
      <c r="AL34" s="461" t="e">
        <f t="shared" si="2"/>
        <v>#VALUE!</v>
      </c>
      <c r="AM34" s="461" t="e">
        <f t="shared" si="5"/>
        <v>#VALUE!</v>
      </c>
      <c r="AN34" s="194" t="e">
        <f t="shared" si="6"/>
        <v>#VALUE!</v>
      </c>
      <c r="AO34" s="462"/>
      <c r="AP34" s="462"/>
      <c r="AQ34" s="441"/>
    </row>
    <row r="35" spans="2:43" ht="12.75" hidden="1" customHeight="1" x14ac:dyDescent="0.15">
      <c r="B35" s="354">
        <v>0</v>
      </c>
      <c r="C35" s="239" t="str">
        <f>+C10</f>
        <v/>
      </c>
      <c r="D35" s="239"/>
      <c r="E35" s="210"/>
      <c r="F35" s="210"/>
      <c r="G35" s="210"/>
      <c r="H35" s="941">
        <v>0</v>
      </c>
      <c r="I35" s="353" t="str">
        <f>+C35</f>
        <v/>
      </c>
      <c r="J35" s="239"/>
      <c r="K35" s="475"/>
      <c r="L35" s="438"/>
      <c r="M35" s="438"/>
      <c r="N35" s="438"/>
      <c r="O35" s="69"/>
      <c r="P35" s="69"/>
      <c r="Q35" s="69"/>
      <c r="R35" s="470"/>
      <c r="S35" s="69"/>
      <c r="T35" s="69"/>
      <c r="U35" s="69"/>
      <c r="V35" s="69"/>
      <c r="W35" s="69"/>
      <c r="X35" s="69"/>
      <c r="Y35" s="69"/>
      <c r="Z35" s="69"/>
      <c r="AA35" s="69"/>
      <c r="AB35" s="69"/>
      <c r="AC35" s="69"/>
      <c r="AD35" s="69"/>
      <c r="AE35" s="69"/>
      <c r="AF35" s="69"/>
      <c r="AG35" s="69"/>
      <c r="AH35" s="69"/>
      <c r="AI35" s="69"/>
      <c r="AJ35" s="69"/>
      <c r="AK35" s="193" t="e">
        <f t="shared" ref="AK35:AK44" si="18">+S13</f>
        <v>#VALUE!</v>
      </c>
      <c r="AL35" s="461" t="e">
        <f t="shared" si="2"/>
        <v>#VALUE!</v>
      </c>
      <c r="AM35" s="461" t="e">
        <f t="shared" si="5"/>
        <v>#VALUE!</v>
      </c>
      <c r="AN35" s="194" t="e">
        <f t="shared" si="6"/>
        <v>#VALUE!</v>
      </c>
      <c r="AO35" s="462"/>
      <c r="AP35" s="462"/>
      <c r="AQ35" s="441"/>
    </row>
    <row r="36" spans="2:43" x14ac:dyDescent="0.15">
      <c r="B36" s="346" t="s">
        <v>430</v>
      </c>
      <c r="C36" s="347"/>
      <c r="D36" s="347"/>
      <c r="E36" s="348"/>
      <c r="F36" s="348"/>
      <c r="G36" s="349"/>
      <c r="H36" s="350" t="str">
        <f>+B36</f>
        <v>ÁFA visszaforgatás</v>
      </c>
      <c r="I36" s="351"/>
      <c r="J36" s="244"/>
      <c r="K36" s="476"/>
      <c r="L36" s="438"/>
      <c r="M36" s="242">
        <f>+E33</f>
        <v>0</v>
      </c>
      <c r="N36" s="242">
        <f>+E36</f>
        <v>0</v>
      </c>
      <c r="O36" s="69"/>
      <c r="P36" s="69"/>
      <c r="Q36" s="69"/>
      <c r="R36" s="470"/>
      <c r="S36" s="69"/>
      <c r="T36" s="69"/>
      <c r="U36" s="69"/>
      <c r="V36" s="69"/>
      <c r="W36" s="69"/>
      <c r="X36" s="69"/>
      <c r="Y36" s="69"/>
      <c r="Z36" s="69"/>
      <c r="AA36" s="69"/>
      <c r="AB36" s="69"/>
      <c r="AC36" s="69"/>
      <c r="AD36" s="69"/>
      <c r="AE36" s="69"/>
      <c r="AF36" s="69"/>
      <c r="AG36" s="69"/>
      <c r="AH36" s="69"/>
      <c r="AI36" s="69"/>
      <c r="AJ36" s="69"/>
      <c r="AK36" s="193" t="e">
        <f t="shared" si="18"/>
        <v>#VALUE!</v>
      </c>
      <c r="AL36" s="461" t="e">
        <f t="shared" si="2"/>
        <v>#VALUE!</v>
      </c>
      <c r="AM36" s="461" t="e">
        <f t="shared" si="5"/>
        <v>#VALUE!</v>
      </c>
      <c r="AN36" s="194" t="e">
        <f t="shared" si="6"/>
        <v>#VALUE!</v>
      </c>
      <c r="AO36" s="462"/>
      <c r="AP36" s="462"/>
      <c r="AQ36" s="441"/>
    </row>
    <row r="37" spans="2:43" x14ac:dyDescent="0.15">
      <c r="B37" s="352" t="str">
        <f>+IF(B35&lt;$C$11/$C$17,B35+1,"")</f>
        <v/>
      </c>
      <c r="C37" s="235" t="str">
        <f>+IF(B37="","",EDATE(C$35,$C$17*B35))</f>
        <v/>
      </c>
      <c r="D37" s="235" t="str">
        <f t="shared" ref="D37:D68" si="19">IF(B37="","",VLOOKUP(B37,AM:AN,2,FALSE))</f>
        <v/>
      </c>
      <c r="E37" s="248" t="str">
        <f>+IF(F37="","",F37)</f>
        <v/>
      </c>
      <c r="F37" s="1045" t="str">
        <f>+IF(G37="","",ROUND(G37,0))</f>
        <v/>
      </c>
      <c r="G37" s="184" t="str">
        <f>IF($L$25=3,L37,IF($L$25=1,M37,IF($L$25=2,N37,"")))</f>
        <v/>
      </c>
      <c r="H37" s="941" t="e">
        <f>+IF(H35&lt;$C$11/$C$18,H35+1,IF(H35="","",""))</f>
        <v>#VALUE!</v>
      </c>
      <c r="I37" s="353" t="e">
        <f>+IF(H37="","",EDATE(I$35,$C$18*H35))</f>
        <v>#VALUE!</v>
      </c>
      <c r="J37" s="239"/>
      <c r="K37" s="477" t="str">
        <f>+B37</f>
        <v/>
      </c>
      <c r="L37" s="246" t="str">
        <f>IF(K37&lt;&gt;"",$L$30/$L$28,"")</f>
        <v/>
      </c>
      <c r="M37" s="246" t="str">
        <f t="shared" ref="M37:M68" si="20">IF(K37=$M$28,$E$33,IF(K37&lt;&gt;"",($M$30-$M$36)/($M$28-1),""))</f>
        <v/>
      </c>
      <c r="N37" s="246" t="str">
        <f t="shared" ref="N37:N68" si="21">+IF(K37&lt;&gt;"",($N$30-$N$36)/$N$28,"")</f>
        <v/>
      </c>
      <c r="O37" s="1005" t="e">
        <f>TorlTervElsoTorl-D37</f>
        <v>#VALUE!</v>
      </c>
      <c r="P37" s="69"/>
      <c r="Q37" s="69"/>
      <c r="R37" s="470"/>
      <c r="S37" s="69"/>
      <c r="T37" s="69"/>
      <c r="U37" s="69"/>
      <c r="V37" s="69"/>
      <c r="W37" s="69"/>
      <c r="X37" s="69"/>
      <c r="Y37" s="69"/>
      <c r="Z37" s="69"/>
      <c r="AA37" s="69"/>
      <c r="AB37" s="69"/>
      <c r="AC37" s="69"/>
      <c r="AD37" s="69"/>
      <c r="AE37" s="69"/>
      <c r="AF37" s="69"/>
      <c r="AG37" s="69"/>
      <c r="AH37" s="69"/>
      <c r="AI37" s="69"/>
      <c r="AJ37" s="69"/>
      <c r="AK37" s="193" t="e">
        <f t="shared" si="18"/>
        <v>#VALUE!</v>
      </c>
      <c r="AL37" s="461" t="e">
        <f t="shared" si="2"/>
        <v>#VALUE!</v>
      </c>
      <c r="AM37" s="461" t="e">
        <f t="shared" si="5"/>
        <v>#VALUE!</v>
      </c>
      <c r="AN37" s="194" t="e">
        <f t="shared" si="6"/>
        <v>#VALUE!</v>
      </c>
      <c r="AO37" s="462"/>
      <c r="AP37" s="462"/>
      <c r="AQ37" s="441"/>
    </row>
    <row r="38" spans="2:43" x14ac:dyDescent="0.15">
      <c r="B38" s="352" t="str">
        <f t="shared" ref="B38:B69" si="22">+IF(B37&lt;$C$11/$C$17,B37+1,"")</f>
        <v/>
      </c>
      <c r="C38" s="235" t="str">
        <f t="shared" ref="C38:C69" si="23">+IF(B38="","",EDATE(C$35,$C$17*B37))</f>
        <v/>
      </c>
      <c r="D38" s="235" t="str">
        <f t="shared" si="19"/>
        <v/>
      </c>
      <c r="E38" s="248" t="str">
        <f t="shared" ref="E38:E101" si="24">+IF(F38="","",F38)</f>
        <v/>
      </c>
      <c r="F38" s="1045" t="str">
        <f t="shared" ref="F38:F101" si="25">+IF(G38="","",ROUND(G38,0))</f>
        <v/>
      </c>
      <c r="G38" s="184" t="str">
        <f t="shared" ref="G38:G101" si="26">IF($L$25=3,L38,IF($L$25=1,M38,IF($L$25=2,N38,"")))</f>
        <v/>
      </c>
      <c r="H38" s="941" t="e">
        <f t="shared" ref="H38:H69" si="27">+IF(H37&lt;$C$11/$C$18,H37+1,IF(H37="","",""))</f>
        <v>#VALUE!</v>
      </c>
      <c r="I38" s="353" t="e">
        <f t="shared" ref="I38:I69" si="28">+IF(H38="","",EDATE(I$35,$C$18*H37))</f>
        <v>#VALUE!</v>
      </c>
      <c r="J38" s="239"/>
      <c r="K38" s="477" t="str">
        <f t="shared" ref="K38:K101" si="29">+B38</f>
        <v/>
      </c>
      <c r="L38" s="246" t="str">
        <f t="shared" ref="L38:L68" si="30">+IF(K38&lt;&gt;"",$L$30/$L$28,"")</f>
        <v/>
      </c>
      <c r="M38" s="246" t="str">
        <f t="shared" si="20"/>
        <v/>
      </c>
      <c r="N38" s="246" t="str">
        <f t="shared" si="21"/>
        <v/>
      </c>
      <c r="O38" s="69"/>
      <c r="P38" s="69"/>
      <c r="Q38" s="69"/>
      <c r="R38" s="470"/>
      <c r="S38" s="69"/>
      <c r="T38" s="69"/>
      <c r="U38" s="69"/>
      <c r="V38" s="69"/>
      <c r="W38" s="69"/>
      <c r="X38" s="69"/>
      <c r="Y38" s="69"/>
      <c r="Z38" s="69"/>
      <c r="AA38" s="69"/>
      <c r="AB38" s="69"/>
      <c r="AC38" s="69"/>
      <c r="AD38" s="69"/>
      <c r="AE38" s="69"/>
      <c r="AF38" s="69"/>
      <c r="AG38" s="69"/>
      <c r="AH38" s="69"/>
      <c r="AI38" s="69"/>
      <c r="AJ38" s="69"/>
      <c r="AK38" s="193" t="e">
        <f t="shared" si="18"/>
        <v>#VALUE!</v>
      </c>
      <c r="AL38" s="461" t="e">
        <f t="shared" si="2"/>
        <v>#VALUE!</v>
      </c>
      <c r="AM38" s="461" t="e">
        <f t="shared" si="5"/>
        <v>#VALUE!</v>
      </c>
      <c r="AN38" s="194" t="e">
        <f t="shared" si="6"/>
        <v>#VALUE!</v>
      </c>
      <c r="AO38" s="462"/>
      <c r="AP38" s="462"/>
      <c r="AQ38" s="441"/>
    </row>
    <row r="39" spans="2:43" x14ac:dyDescent="0.15">
      <c r="B39" s="352" t="str">
        <f t="shared" si="22"/>
        <v/>
      </c>
      <c r="C39" s="235" t="str">
        <f t="shared" si="23"/>
        <v/>
      </c>
      <c r="D39" s="235" t="str">
        <f t="shared" si="19"/>
        <v/>
      </c>
      <c r="E39" s="248" t="str">
        <f t="shared" si="24"/>
        <v/>
      </c>
      <c r="F39" s="1045" t="str">
        <f t="shared" si="25"/>
        <v/>
      </c>
      <c r="G39" s="184" t="str">
        <f t="shared" si="26"/>
        <v/>
      </c>
      <c r="H39" s="941" t="e">
        <f t="shared" si="27"/>
        <v>#VALUE!</v>
      </c>
      <c r="I39" s="353" t="e">
        <f t="shared" si="28"/>
        <v>#VALUE!</v>
      </c>
      <c r="J39" s="239"/>
      <c r="K39" s="477" t="str">
        <f>+B39</f>
        <v/>
      </c>
      <c r="L39" s="246" t="str">
        <f t="shared" si="30"/>
        <v/>
      </c>
      <c r="M39" s="246" t="str">
        <f t="shared" si="20"/>
        <v/>
      </c>
      <c r="N39" s="246" t="str">
        <f t="shared" si="21"/>
        <v/>
      </c>
      <c r="O39" s="69"/>
      <c r="P39" s="69"/>
      <c r="Q39" s="69"/>
      <c r="R39" s="470"/>
      <c r="S39" s="69" t="e">
        <f>(YEAR(D46)*12+MONTH(D46))-(YEAR(D9)*12+MONTH(D9))</f>
        <v>#VALUE!</v>
      </c>
      <c r="T39" s="69"/>
      <c r="U39" s="69"/>
      <c r="V39" s="69"/>
      <c r="W39" s="69"/>
      <c r="X39" s="69"/>
      <c r="Y39" s="69"/>
      <c r="Z39" s="69"/>
      <c r="AA39" s="69"/>
      <c r="AB39" s="69"/>
      <c r="AC39" s="69"/>
      <c r="AD39" s="69"/>
      <c r="AE39" s="69"/>
      <c r="AF39" s="69"/>
      <c r="AG39" s="69"/>
      <c r="AH39" s="69"/>
      <c r="AI39" s="69"/>
      <c r="AJ39" s="69"/>
      <c r="AK39" s="193" t="e">
        <f t="shared" si="18"/>
        <v>#VALUE!</v>
      </c>
      <c r="AL39" s="461" t="e">
        <f t="shared" si="2"/>
        <v>#VALUE!</v>
      </c>
      <c r="AM39" s="461" t="e">
        <f t="shared" si="5"/>
        <v>#VALUE!</v>
      </c>
      <c r="AN39" s="194" t="e">
        <f t="shared" si="6"/>
        <v>#VALUE!</v>
      </c>
      <c r="AO39" s="462"/>
      <c r="AP39" s="462"/>
      <c r="AQ39" s="441"/>
    </row>
    <row r="40" spans="2:43" x14ac:dyDescent="0.15">
      <c r="B40" s="352" t="str">
        <f t="shared" si="22"/>
        <v/>
      </c>
      <c r="C40" s="235" t="str">
        <f t="shared" si="23"/>
        <v/>
      </c>
      <c r="D40" s="235" t="str">
        <f t="shared" si="19"/>
        <v/>
      </c>
      <c r="E40" s="248" t="str">
        <f t="shared" si="24"/>
        <v/>
      </c>
      <c r="F40" s="1045" t="str">
        <f t="shared" si="25"/>
        <v/>
      </c>
      <c r="G40" s="184" t="str">
        <f t="shared" si="26"/>
        <v/>
      </c>
      <c r="H40" s="941" t="e">
        <f t="shared" si="27"/>
        <v>#VALUE!</v>
      </c>
      <c r="I40" s="353" t="e">
        <f t="shared" si="28"/>
        <v>#VALUE!</v>
      </c>
      <c r="J40" s="239"/>
      <c r="K40" s="477" t="str">
        <f t="shared" si="29"/>
        <v/>
      </c>
      <c r="L40" s="246" t="str">
        <f t="shared" si="30"/>
        <v/>
      </c>
      <c r="M40" s="246" t="str">
        <f t="shared" si="20"/>
        <v/>
      </c>
      <c r="N40" s="246" t="str">
        <f t="shared" si="21"/>
        <v/>
      </c>
      <c r="O40" s="69" t="s">
        <v>432</v>
      </c>
      <c r="P40" s="69"/>
      <c r="Q40" s="69"/>
      <c r="R40" s="470"/>
      <c r="S40" s="69" t="e">
        <f>(YEAR(D46)*12+MONTH(D46))-(YEAR(D37)*12+MONTH(D37))</f>
        <v>#VALUE!</v>
      </c>
      <c r="T40" s="69"/>
      <c r="U40" s="69"/>
      <c r="V40" s="69"/>
      <c r="W40" s="69"/>
      <c r="X40" s="69"/>
      <c r="Y40" s="69"/>
      <c r="Z40" s="69"/>
      <c r="AA40" s="69"/>
      <c r="AB40" s="69"/>
      <c r="AC40" s="69"/>
      <c r="AD40" s="69"/>
      <c r="AE40" s="69"/>
      <c r="AF40" s="69"/>
      <c r="AG40" s="69"/>
      <c r="AH40" s="69"/>
      <c r="AI40" s="69"/>
      <c r="AJ40" s="69"/>
      <c r="AK40" s="193" t="e">
        <f t="shared" si="18"/>
        <v>#VALUE!</v>
      </c>
      <c r="AL40" s="461" t="e">
        <f t="shared" si="2"/>
        <v>#VALUE!</v>
      </c>
      <c r="AM40" s="461" t="e">
        <f t="shared" si="5"/>
        <v>#VALUE!</v>
      </c>
      <c r="AN40" s="194" t="e">
        <f t="shared" si="6"/>
        <v>#VALUE!</v>
      </c>
      <c r="AO40" s="462"/>
      <c r="AP40" s="462"/>
      <c r="AQ40" s="441"/>
    </row>
    <row r="41" spans="2:43" x14ac:dyDescent="0.15">
      <c r="B41" s="352" t="str">
        <f t="shared" si="22"/>
        <v/>
      </c>
      <c r="C41" s="235" t="str">
        <f t="shared" si="23"/>
        <v/>
      </c>
      <c r="D41" s="235" t="str">
        <f t="shared" si="19"/>
        <v/>
      </c>
      <c r="E41" s="248" t="str">
        <f t="shared" si="24"/>
        <v/>
      </c>
      <c r="F41" s="1045" t="str">
        <f t="shared" si="25"/>
        <v/>
      </c>
      <c r="G41" s="184" t="str">
        <f t="shared" si="26"/>
        <v/>
      </c>
      <c r="H41" s="941" t="e">
        <f t="shared" si="27"/>
        <v>#VALUE!</v>
      </c>
      <c r="I41" s="353" t="e">
        <f t="shared" si="28"/>
        <v>#VALUE!</v>
      </c>
      <c r="J41" s="239"/>
      <c r="K41" s="477" t="str">
        <f t="shared" si="29"/>
        <v/>
      </c>
      <c r="L41" s="246" t="str">
        <f t="shared" si="30"/>
        <v/>
      </c>
      <c r="M41" s="246" t="str">
        <f t="shared" si="20"/>
        <v/>
      </c>
      <c r="N41" s="246" t="str">
        <f t="shared" si="21"/>
        <v/>
      </c>
      <c r="O41" s="69" t="s">
        <v>430</v>
      </c>
      <c r="P41" s="69"/>
      <c r="Q41" s="69"/>
      <c r="R41" s="470"/>
      <c r="S41" s="69"/>
      <c r="T41" s="69"/>
      <c r="U41" s="69"/>
      <c r="V41" s="69"/>
      <c r="W41" s="69"/>
      <c r="X41" s="69"/>
      <c r="Y41" s="69"/>
      <c r="Z41" s="69"/>
      <c r="AA41" s="69"/>
      <c r="AB41" s="69"/>
      <c r="AC41" s="69"/>
      <c r="AD41" s="69"/>
      <c r="AE41" s="69"/>
      <c r="AF41" s="69"/>
      <c r="AG41" s="69"/>
      <c r="AH41" s="69"/>
      <c r="AI41" s="69"/>
      <c r="AJ41" s="69"/>
      <c r="AK41" s="193" t="e">
        <f t="shared" si="18"/>
        <v>#VALUE!</v>
      </c>
      <c r="AL41" s="461" t="e">
        <f t="shared" si="2"/>
        <v>#VALUE!</v>
      </c>
      <c r="AM41" s="461" t="e">
        <f t="shared" si="5"/>
        <v>#VALUE!</v>
      </c>
      <c r="AN41" s="194" t="e">
        <f t="shared" si="6"/>
        <v>#VALUE!</v>
      </c>
      <c r="AO41" s="462"/>
      <c r="AP41" s="462"/>
      <c r="AQ41" s="441"/>
    </row>
    <row r="42" spans="2:43" x14ac:dyDescent="0.15">
      <c r="B42" s="352" t="str">
        <f t="shared" si="22"/>
        <v/>
      </c>
      <c r="C42" s="235" t="str">
        <f t="shared" si="23"/>
        <v/>
      </c>
      <c r="D42" s="235" t="str">
        <f t="shared" si="19"/>
        <v/>
      </c>
      <c r="E42" s="248" t="str">
        <f t="shared" si="24"/>
        <v/>
      </c>
      <c r="F42" s="1045" t="str">
        <f t="shared" si="25"/>
        <v/>
      </c>
      <c r="G42" s="184" t="str">
        <f t="shared" si="26"/>
        <v/>
      </c>
      <c r="H42" s="941" t="e">
        <f t="shared" si="27"/>
        <v>#VALUE!</v>
      </c>
      <c r="I42" s="353" t="e">
        <f t="shared" si="28"/>
        <v>#VALUE!</v>
      </c>
      <c r="J42" s="239"/>
      <c r="K42" s="477" t="str">
        <f t="shared" si="29"/>
        <v/>
      </c>
      <c r="L42" s="246" t="str">
        <f t="shared" si="30"/>
        <v/>
      </c>
      <c r="M42" s="246" t="str">
        <f t="shared" si="20"/>
        <v/>
      </c>
      <c r="N42" s="246" t="str">
        <f t="shared" si="21"/>
        <v/>
      </c>
      <c r="O42" s="69" t="s">
        <v>431</v>
      </c>
      <c r="P42" s="69"/>
      <c r="Q42" s="69"/>
      <c r="R42" s="470"/>
      <c r="S42" s="69"/>
      <c r="T42" s="69"/>
      <c r="U42" s="69"/>
      <c r="V42" s="69"/>
      <c r="W42" s="69"/>
      <c r="X42" s="69"/>
      <c r="Y42" s="69"/>
      <c r="Z42" s="69"/>
      <c r="AA42" s="69"/>
      <c r="AB42" s="69"/>
      <c r="AC42" s="69"/>
      <c r="AD42" s="69"/>
      <c r="AE42" s="69"/>
      <c r="AF42" s="69"/>
      <c r="AG42" s="69"/>
      <c r="AH42" s="69"/>
      <c r="AI42" s="69"/>
      <c r="AJ42" s="69"/>
      <c r="AK42" s="193" t="e">
        <f t="shared" si="18"/>
        <v>#VALUE!</v>
      </c>
      <c r="AL42" s="461" t="e">
        <f t="shared" si="2"/>
        <v>#VALUE!</v>
      </c>
      <c r="AM42" s="461" t="e">
        <f t="shared" si="5"/>
        <v>#VALUE!</v>
      </c>
      <c r="AN42" s="194" t="e">
        <f t="shared" si="6"/>
        <v>#VALUE!</v>
      </c>
      <c r="AO42" s="462"/>
      <c r="AP42" s="462"/>
      <c r="AQ42" s="441"/>
    </row>
    <row r="43" spans="2:43" x14ac:dyDescent="0.15">
      <c r="B43" s="352" t="str">
        <f t="shared" si="22"/>
        <v/>
      </c>
      <c r="C43" s="235" t="str">
        <f t="shared" si="23"/>
        <v/>
      </c>
      <c r="D43" s="235" t="str">
        <f t="shared" si="19"/>
        <v/>
      </c>
      <c r="E43" s="248" t="str">
        <f t="shared" si="24"/>
        <v/>
      </c>
      <c r="F43" s="1045" t="str">
        <f t="shared" si="25"/>
        <v/>
      </c>
      <c r="G43" s="184" t="str">
        <f t="shared" si="26"/>
        <v/>
      </c>
      <c r="H43" s="941" t="e">
        <f t="shared" si="27"/>
        <v>#VALUE!</v>
      </c>
      <c r="I43" s="353" t="e">
        <f t="shared" si="28"/>
        <v>#VALUE!</v>
      </c>
      <c r="J43" s="239"/>
      <c r="K43" s="477" t="str">
        <f t="shared" si="29"/>
        <v/>
      </c>
      <c r="L43" s="246" t="str">
        <f t="shared" si="30"/>
        <v/>
      </c>
      <c r="M43" s="246" t="str">
        <f t="shared" si="20"/>
        <v/>
      </c>
      <c r="N43" s="246" t="str">
        <f t="shared" si="21"/>
        <v/>
      </c>
      <c r="O43" s="69"/>
      <c r="P43" s="69"/>
      <c r="Q43" s="69"/>
      <c r="R43" s="470"/>
      <c r="S43" s="69"/>
      <c r="T43" s="69"/>
      <c r="U43" s="69"/>
      <c r="V43" s="69"/>
      <c r="W43" s="69"/>
      <c r="X43" s="69"/>
      <c r="Y43" s="69"/>
      <c r="Z43" s="69"/>
      <c r="AA43" s="69"/>
      <c r="AB43" s="69"/>
      <c r="AC43" s="69"/>
      <c r="AD43" s="69"/>
      <c r="AE43" s="69"/>
      <c r="AF43" s="69"/>
      <c r="AG43" s="69"/>
      <c r="AH43" s="69"/>
      <c r="AI43" s="69"/>
      <c r="AJ43" s="69"/>
      <c r="AK43" s="193" t="e">
        <f t="shared" si="18"/>
        <v>#VALUE!</v>
      </c>
      <c r="AL43" s="461" t="e">
        <f t="shared" si="2"/>
        <v>#VALUE!</v>
      </c>
      <c r="AM43" s="461" t="e">
        <f t="shared" si="5"/>
        <v>#VALUE!</v>
      </c>
      <c r="AN43" s="194" t="e">
        <f t="shared" si="6"/>
        <v>#VALUE!</v>
      </c>
      <c r="AO43" s="462"/>
      <c r="AP43" s="462"/>
      <c r="AQ43" s="441"/>
    </row>
    <row r="44" spans="2:43" x14ac:dyDescent="0.15">
      <c r="B44" s="352" t="str">
        <f t="shared" si="22"/>
        <v/>
      </c>
      <c r="C44" s="235" t="str">
        <f t="shared" si="23"/>
        <v/>
      </c>
      <c r="D44" s="235" t="str">
        <f t="shared" si="19"/>
        <v/>
      </c>
      <c r="E44" s="248" t="str">
        <f t="shared" si="24"/>
        <v/>
      </c>
      <c r="F44" s="1045" t="str">
        <f t="shared" si="25"/>
        <v/>
      </c>
      <c r="G44" s="184" t="str">
        <f t="shared" si="26"/>
        <v/>
      </c>
      <c r="H44" s="941" t="e">
        <f t="shared" si="27"/>
        <v>#VALUE!</v>
      </c>
      <c r="I44" s="353" t="e">
        <f t="shared" si="28"/>
        <v>#VALUE!</v>
      </c>
      <c r="J44" s="239"/>
      <c r="K44" s="477" t="str">
        <f t="shared" si="29"/>
        <v/>
      </c>
      <c r="L44" s="246" t="str">
        <f t="shared" si="30"/>
        <v/>
      </c>
      <c r="M44" s="246" t="str">
        <f t="shared" si="20"/>
        <v/>
      </c>
      <c r="N44" s="246" t="str">
        <f t="shared" si="21"/>
        <v/>
      </c>
      <c r="O44" s="69"/>
      <c r="P44" s="69"/>
      <c r="Q44" s="69"/>
      <c r="R44" s="470"/>
      <c r="S44" s="69"/>
      <c r="T44" s="69"/>
      <c r="U44" s="69"/>
      <c r="V44" s="69"/>
      <c r="W44" s="69"/>
      <c r="X44" s="69"/>
      <c r="Y44" s="69"/>
      <c r="Z44" s="69"/>
      <c r="AA44" s="69"/>
      <c r="AB44" s="69"/>
      <c r="AC44" s="69"/>
      <c r="AD44" s="69"/>
      <c r="AE44" s="69"/>
      <c r="AF44" s="69"/>
      <c r="AG44" s="69"/>
      <c r="AH44" s="69"/>
      <c r="AI44" s="69"/>
      <c r="AJ44" s="69"/>
      <c r="AK44" s="193" t="e">
        <f t="shared" si="18"/>
        <v>#VALUE!</v>
      </c>
      <c r="AL44" s="461" t="e">
        <f t="shared" ref="AL44:AL75" si="31">IF(AK44="",10000000,TorlTervElsoTorl-AK44)</f>
        <v>#VALUE!</v>
      </c>
      <c r="AM44" s="461" t="e">
        <f t="shared" si="5"/>
        <v>#VALUE!</v>
      </c>
      <c r="AN44" s="194" t="e">
        <f t="shared" si="6"/>
        <v>#VALUE!</v>
      </c>
      <c r="AO44" s="462"/>
      <c r="AP44" s="462"/>
      <c r="AQ44" s="441"/>
    </row>
    <row r="45" spans="2:43" x14ac:dyDescent="0.15">
      <c r="B45" s="352" t="str">
        <f t="shared" si="22"/>
        <v/>
      </c>
      <c r="C45" s="235" t="str">
        <f t="shared" si="23"/>
        <v/>
      </c>
      <c r="D45" s="235" t="str">
        <f t="shared" si="19"/>
        <v/>
      </c>
      <c r="E45" s="248" t="str">
        <f t="shared" si="24"/>
        <v/>
      </c>
      <c r="F45" s="1045" t="str">
        <f t="shared" si="25"/>
        <v/>
      </c>
      <c r="G45" s="184" t="str">
        <f t="shared" si="26"/>
        <v/>
      </c>
      <c r="H45" s="941" t="e">
        <f t="shared" si="27"/>
        <v>#VALUE!</v>
      </c>
      <c r="I45" s="353" t="e">
        <f t="shared" si="28"/>
        <v>#VALUE!</v>
      </c>
      <c r="J45" s="239"/>
      <c r="K45" s="477" t="str">
        <f t="shared" si="29"/>
        <v/>
      </c>
      <c r="L45" s="246" t="str">
        <f t="shared" si="30"/>
        <v/>
      </c>
      <c r="M45" s="246" t="str">
        <f t="shared" si="20"/>
        <v/>
      </c>
      <c r="N45" s="246" t="str">
        <f t="shared" si="21"/>
        <v/>
      </c>
      <c r="O45" s="69"/>
      <c r="P45" s="69"/>
      <c r="Q45" s="69"/>
      <c r="R45" s="470"/>
      <c r="S45" s="69"/>
      <c r="T45" s="69"/>
      <c r="U45" s="69"/>
      <c r="V45" s="69"/>
      <c r="W45" s="69"/>
      <c r="X45" s="69"/>
      <c r="Y45" s="69"/>
      <c r="Z45" s="69"/>
      <c r="AA45" s="69"/>
      <c r="AB45" s="69"/>
      <c r="AC45" s="69"/>
      <c r="AD45" s="69"/>
      <c r="AE45" s="69"/>
      <c r="AF45" s="69"/>
      <c r="AG45" s="69"/>
      <c r="AH45" s="69"/>
      <c r="AI45" s="69"/>
      <c r="AJ45" s="69"/>
      <c r="AK45" s="193" t="e">
        <f>+T10</f>
        <v>#VALUE!</v>
      </c>
      <c r="AL45" s="461" t="e">
        <f t="shared" si="31"/>
        <v>#VALUE!</v>
      </c>
      <c r="AM45" s="461" t="e">
        <f t="shared" si="5"/>
        <v>#VALUE!</v>
      </c>
      <c r="AN45" s="194" t="e">
        <f t="shared" si="6"/>
        <v>#VALUE!</v>
      </c>
      <c r="AO45" s="462"/>
      <c r="AP45" s="462"/>
      <c r="AQ45" s="441"/>
    </row>
    <row r="46" spans="2:43" x14ac:dyDescent="0.15">
      <c r="B46" s="352" t="str">
        <f t="shared" si="22"/>
        <v/>
      </c>
      <c r="C46" s="235" t="str">
        <f t="shared" si="23"/>
        <v/>
      </c>
      <c r="D46" s="235" t="str">
        <f t="shared" si="19"/>
        <v/>
      </c>
      <c r="E46" s="248" t="str">
        <f t="shared" si="24"/>
        <v/>
      </c>
      <c r="F46" s="1045" t="str">
        <f t="shared" si="25"/>
        <v/>
      </c>
      <c r="G46" s="184" t="str">
        <f t="shared" si="26"/>
        <v/>
      </c>
      <c r="H46" s="941" t="e">
        <f t="shared" si="27"/>
        <v>#VALUE!</v>
      </c>
      <c r="I46" s="353" t="e">
        <f t="shared" si="28"/>
        <v>#VALUE!</v>
      </c>
      <c r="J46" s="239"/>
      <c r="K46" s="477" t="str">
        <f t="shared" si="29"/>
        <v/>
      </c>
      <c r="L46" s="246" t="str">
        <f t="shared" si="30"/>
        <v/>
      </c>
      <c r="M46" s="246" t="str">
        <f t="shared" si="20"/>
        <v/>
      </c>
      <c r="N46" s="246" t="str">
        <f t="shared" si="21"/>
        <v/>
      </c>
      <c r="O46" s="69"/>
      <c r="P46" s="69"/>
      <c r="Q46" s="69"/>
      <c r="R46" s="470"/>
      <c r="S46" s="69"/>
      <c r="T46" s="69"/>
      <c r="U46" s="69"/>
      <c r="V46" s="69"/>
      <c r="W46" s="69"/>
      <c r="X46" s="69"/>
      <c r="Y46" s="69"/>
      <c r="Z46" s="69"/>
      <c r="AA46" s="69"/>
      <c r="AB46" s="69"/>
      <c r="AC46" s="69"/>
      <c r="AD46" s="69"/>
      <c r="AE46" s="69"/>
      <c r="AF46" s="69"/>
      <c r="AG46" s="69"/>
      <c r="AH46" s="69"/>
      <c r="AI46" s="69"/>
      <c r="AJ46" s="69"/>
      <c r="AK46" s="193" t="e">
        <f>+T11</f>
        <v>#VALUE!</v>
      </c>
      <c r="AL46" s="461" t="e">
        <f t="shared" si="31"/>
        <v>#VALUE!</v>
      </c>
      <c r="AM46" s="461" t="e">
        <f t="shared" si="5"/>
        <v>#VALUE!</v>
      </c>
      <c r="AN46" s="194" t="e">
        <f t="shared" si="6"/>
        <v>#VALUE!</v>
      </c>
      <c r="AO46" s="462"/>
      <c r="AP46" s="462"/>
      <c r="AQ46" s="441"/>
    </row>
    <row r="47" spans="2:43" x14ac:dyDescent="0.15">
      <c r="B47" s="352" t="str">
        <f t="shared" si="22"/>
        <v/>
      </c>
      <c r="C47" s="235" t="str">
        <f t="shared" si="23"/>
        <v/>
      </c>
      <c r="D47" s="235" t="str">
        <f t="shared" si="19"/>
        <v/>
      </c>
      <c r="E47" s="248" t="str">
        <f t="shared" si="24"/>
        <v/>
      </c>
      <c r="F47" s="1045" t="str">
        <f t="shared" si="25"/>
        <v/>
      </c>
      <c r="G47" s="184" t="str">
        <f t="shared" si="26"/>
        <v/>
      </c>
      <c r="H47" s="941" t="e">
        <f t="shared" si="27"/>
        <v>#VALUE!</v>
      </c>
      <c r="I47" s="353" t="e">
        <f t="shared" si="28"/>
        <v>#VALUE!</v>
      </c>
      <c r="J47" s="239"/>
      <c r="K47" s="477" t="str">
        <f t="shared" si="29"/>
        <v/>
      </c>
      <c r="L47" s="246" t="str">
        <f t="shared" si="30"/>
        <v/>
      </c>
      <c r="M47" s="246" t="str">
        <f t="shared" si="20"/>
        <v/>
      </c>
      <c r="N47" s="246" t="str">
        <f t="shared" si="21"/>
        <v/>
      </c>
      <c r="O47" s="69"/>
      <c r="P47" s="69"/>
      <c r="Q47" s="69"/>
      <c r="R47" s="470"/>
      <c r="S47" s="69"/>
      <c r="T47" s="69"/>
      <c r="U47" s="69"/>
      <c r="V47" s="69"/>
      <c r="W47" s="69"/>
      <c r="X47" s="69"/>
      <c r="Y47" s="69"/>
      <c r="Z47" s="69"/>
      <c r="AA47" s="69"/>
      <c r="AB47" s="69"/>
      <c r="AC47" s="69"/>
      <c r="AD47" s="69"/>
      <c r="AE47" s="69"/>
      <c r="AF47" s="69"/>
      <c r="AG47" s="69"/>
      <c r="AH47" s="69"/>
      <c r="AI47" s="69"/>
      <c r="AJ47" s="69"/>
      <c r="AK47" s="193" t="e">
        <f t="shared" ref="AK47:AK56" si="32">+T13</f>
        <v>#VALUE!</v>
      </c>
      <c r="AL47" s="461" t="e">
        <f t="shared" si="31"/>
        <v>#VALUE!</v>
      </c>
      <c r="AM47" s="461" t="e">
        <f t="shared" si="5"/>
        <v>#VALUE!</v>
      </c>
      <c r="AN47" s="194" t="e">
        <f t="shared" si="6"/>
        <v>#VALUE!</v>
      </c>
      <c r="AO47" s="462"/>
      <c r="AP47" s="462"/>
      <c r="AQ47" s="441"/>
    </row>
    <row r="48" spans="2:43" x14ac:dyDescent="0.15">
      <c r="B48" s="352" t="str">
        <f t="shared" si="22"/>
        <v/>
      </c>
      <c r="C48" s="235" t="str">
        <f t="shared" si="23"/>
        <v/>
      </c>
      <c r="D48" s="235" t="str">
        <f t="shared" si="19"/>
        <v/>
      </c>
      <c r="E48" s="248" t="str">
        <f t="shared" si="24"/>
        <v/>
      </c>
      <c r="F48" s="1045" t="str">
        <f t="shared" si="25"/>
        <v/>
      </c>
      <c r="G48" s="184" t="str">
        <f t="shared" si="26"/>
        <v/>
      </c>
      <c r="H48" s="941" t="e">
        <f t="shared" si="27"/>
        <v>#VALUE!</v>
      </c>
      <c r="I48" s="353" t="e">
        <f t="shared" si="28"/>
        <v>#VALUE!</v>
      </c>
      <c r="J48" s="239"/>
      <c r="K48" s="477" t="str">
        <f t="shared" si="29"/>
        <v/>
      </c>
      <c r="L48" s="246" t="str">
        <f t="shared" si="30"/>
        <v/>
      </c>
      <c r="M48" s="246" t="str">
        <f t="shared" si="20"/>
        <v/>
      </c>
      <c r="N48" s="246" t="str">
        <f t="shared" si="21"/>
        <v/>
      </c>
      <c r="O48" s="69"/>
      <c r="P48" s="69"/>
      <c r="Q48" s="69"/>
      <c r="R48" s="470"/>
      <c r="S48" s="69"/>
      <c r="T48" s="69"/>
      <c r="U48" s="69"/>
      <c r="V48" s="69"/>
      <c r="W48" s="69"/>
      <c r="X48" s="69"/>
      <c r="Y48" s="69"/>
      <c r="Z48" s="69"/>
      <c r="AA48" s="69"/>
      <c r="AB48" s="69"/>
      <c r="AC48" s="69"/>
      <c r="AD48" s="69"/>
      <c r="AE48" s="69"/>
      <c r="AF48" s="69"/>
      <c r="AG48" s="69"/>
      <c r="AH48" s="69"/>
      <c r="AI48" s="69"/>
      <c r="AJ48" s="69"/>
      <c r="AK48" s="193" t="e">
        <f t="shared" si="32"/>
        <v>#VALUE!</v>
      </c>
      <c r="AL48" s="461" t="e">
        <f t="shared" si="31"/>
        <v>#VALUE!</v>
      </c>
      <c r="AM48" s="461" t="e">
        <f t="shared" si="5"/>
        <v>#VALUE!</v>
      </c>
      <c r="AN48" s="194" t="e">
        <f t="shared" si="6"/>
        <v>#VALUE!</v>
      </c>
      <c r="AO48" s="462"/>
      <c r="AP48" s="462"/>
      <c r="AQ48" s="441"/>
    </row>
    <row r="49" spans="2:43" x14ac:dyDescent="0.15">
      <c r="B49" s="352" t="str">
        <f t="shared" si="22"/>
        <v/>
      </c>
      <c r="C49" s="235" t="str">
        <f t="shared" si="23"/>
        <v/>
      </c>
      <c r="D49" s="235" t="str">
        <f t="shared" si="19"/>
        <v/>
      </c>
      <c r="E49" s="248" t="str">
        <f t="shared" si="24"/>
        <v/>
      </c>
      <c r="F49" s="1045" t="str">
        <f t="shared" si="25"/>
        <v/>
      </c>
      <c r="G49" s="184" t="str">
        <f t="shared" si="26"/>
        <v/>
      </c>
      <c r="H49" s="941" t="e">
        <f t="shared" si="27"/>
        <v>#VALUE!</v>
      </c>
      <c r="I49" s="353" t="e">
        <f t="shared" si="28"/>
        <v>#VALUE!</v>
      </c>
      <c r="J49" s="239"/>
      <c r="K49" s="477" t="str">
        <f t="shared" si="29"/>
        <v/>
      </c>
      <c r="L49" s="246" t="str">
        <f t="shared" si="30"/>
        <v/>
      </c>
      <c r="M49" s="246" t="str">
        <f t="shared" si="20"/>
        <v/>
      </c>
      <c r="N49" s="246" t="str">
        <f t="shared" si="21"/>
        <v/>
      </c>
      <c r="O49" s="69" t="s">
        <v>432</v>
      </c>
      <c r="P49" s="69"/>
      <c r="Q49" s="69"/>
      <c r="R49" s="470"/>
      <c r="S49" s="69"/>
      <c r="T49" s="69"/>
      <c r="U49" s="69"/>
      <c r="V49" s="69"/>
      <c r="W49" s="69"/>
      <c r="X49" s="69"/>
      <c r="Y49" s="69"/>
      <c r="Z49" s="69"/>
      <c r="AA49" s="69"/>
      <c r="AB49" s="69"/>
      <c r="AC49" s="69"/>
      <c r="AD49" s="69"/>
      <c r="AE49" s="69"/>
      <c r="AF49" s="69"/>
      <c r="AG49" s="69"/>
      <c r="AH49" s="69"/>
      <c r="AI49" s="69"/>
      <c r="AJ49" s="69"/>
      <c r="AK49" s="193" t="e">
        <f t="shared" si="32"/>
        <v>#VALUE!</v>
      </c>
      <c r="AL49" s="461" t="e">
        <f t="shared" si="31"/>
        <v>#VALUE!</v>
      </c>
      <c r="AM49" s="461" t="e">
        <f t="shared" si="5"/>
        <v>#VALUE!</v>
      </c>
      <c r="AN49" s="194" t="e">
        <f t="shared" si="6"/>
        <v>#VALUE!</v>
      </c>
      <c r="AO49" s="462"/>
      <c r="AP49" s="462"/>
      <c r="AQ49" s="441"/>
    </row>
    <row r="50" spans="2:43" x14ac:dyDescent="0.15">
      <c r="B50" s="352" t="str">
        <f t="shared" si="22"/>
        <v/>
      </c>
      <c r="C50" s="235" t="str">
        <f t="shared" si="23"/>
        <v/>
      </c>
      <c r="D50" s="235" t="str">
        <f t="shared" si="19"/>
        <v/>
      </c>
      <c r="E50" s="248" t="str">
        <f t="shared" si="24"/>
        <v/>
      </c>
      <c r="F50" s="1045" t="str">
        <f t="shared" si="25"/>
        <v/>
      </c>
      <c r="G50" s="184" t="str">
        <f t="shared" si="26"/>
        <v/>
      </c>
      <c r="H50" s="941" t="e">
        <f t="shared" si="27"/>
        <v>#VALUE!</v>
      </c>
      <c r="I50" s="353" t="e">
        <f t="shared" si="28"/>
        <v>#VALUE!</v>
      </c>
      <c r="J50" s="239"/>
      <c r="K50" s="477" t="str">
        <f t="shared" si="29"/>
        <v/>
      </c>
      <c r="L50" s="246" t="str">
        <f t="shared" si="30"/>
        <v/>
      </c>
      <c r="M50" s="246" t="str">
        <f t="shared" si="20"/>
        <v/>
      </c>
      <c r="N50" s="246" t="str">
        <f t="shared" si="21"/>
        <v/>
      </c>
      <c r="O50" s="69">
        <v>1</v>
      </c>
      <c r="P50" s="69"/>
      <c r="Q50" s="69"/>
      <c r="R50" s="470"/>
      <c r="S50" s="69"/>
      <c r="T50" s="69"/>
      <c r="U50" s="69"/>
      <c r="V50" s="69"/>
      <c r="W50" s="69"/>
      <c r="X50" s="69"/>
      <c r="Y50" s="69"/>
      <c r="Z50" s="69"/>
      <c r="AA50" s="69"/>
      <c r="AB50" s="69"/>
      <c r="AC50" s="69"/>
      <c r="AD50" s="69"/>
      <c r="AE50" s="69"/>
      <c r="AF50" s="69"/>
      <c r="AG50" s="69"/>
      <c r="AH50" s="69"/>
      <c r="AI50" s="69"/>
      <c r="AJ50" s="69"/>
      <c r="AK50" s="193" t="e">
        <f t="shared" si="32"/>
        <v>#VALUE!</v>
      </c>
      <c r="AL50" s="461" t="e">
        <f t="shared" si="31"/>
        <v>#VALUE!</v>
      </c>
      <c r="AM50" s="461" t="e">
        <f t="shared" si="5"/>
        <v>#VALUE!</v>
      </c>
      <c r="AN50" s="194" t="e">
        <f t="shared" si="6"/>
        <v>#VALUE!</v>
      </c>
      <c r="AO50" s="462"/>
      <c r="AP50" s="462"/>
      <c r="AQ50" s="441"/>
    </row>
    <row r="51" spans="2:43" x14ac:dyDescent="0.15">
      <c r="B51" s="352" t="str">
        <f t="shared" si="22"/>
        <v/>
      </c>
      <c r="C51" s="235" t="str">
        <f t="shared" si="23"/>
        <v/>
      </c>
      <c r="D51" s="235" t="str">
        <f t="shared" si="19"/>
        <v/>
      </c>
      <c r="E51" s="248" t="str">
        <f t="shared" si="24"/>
        <v/>
      </c>
      <c r="F51" s="1045" t="str">
        <f t="shared" si="25"/>
        <v/>
      </c>
      <c r="G51" s="184" t="str">
        <f t="shared" si="26"/>
        <v/>
      </c>
      <c r="H51" s="941" t="e">
        <f t="shared" si="27"/>
        <v>#VALUE!</v>
      </c>
      <c r="I51" s="353" t="e">
        <f t="shared" si="28"/>
        <v>#VALUE!</v>
      </c>
      <c r="J51" s="239"/>
      <c r="K51" s="477" t="str">
        <f t="shared" si="29"/>
        <v/>
      </c>
      <c r="L51" s="246" t="str">
        <f t="shared" si="30"/>
        <v/>
      </c>
      <c r="M51" s="246" t="str">
        <f t="shared" si="20"/>
        <v/>
      </c>
      <c r="N51" s="246" t="str">
        <f t="shared" si="21"/>
        <v/>
      </c>
      <c r="O51" s="69">
        <v>3</v>
      </c>
      <c r="P51" s="69"/>
      <c r="Q51" s="69"/>
      <c r="R51" s="470"/>
      <c r="S51" s="69"/>
      <c r="T51" s="69"/>
      <c r="U51" s="69"/>
      <c r="V51" s="69"/>
      <c r="W51" s="69"/>
      <c r="X51" s="69"/>
      <c r="Y51" s="69"/>
      <c r="Z51" s="69"/>
      <c r="AA51" s="69"/>
      <c r="AB51" s="69"/>
      <c r="AC51" s="69"/>
      <c r="AD51" s="69"/>
      <c r="AE51" s="69"/>
      <c r="AF51" s="69"/>
      <c r="AG51" s="69"/>
      <c r="AH51" s="69"/>
      <c r="AI51" s="69"/>
      <c r="AJ51" s="69"/>
      <c r="AK51" s="193" t="e">
        <f t="shared" si="32"/>
        <v>#VALUE!</v>
      </c>
      <c r="AL51" s="461" t="e">
        <f t="shared" si="31"/>
        <v>#VALUE!</v>
      </c>
      <c r="AM51" s="461" t="e">
        <f t="shared" si="5"/>
        <v>#VALUE!</v>
      </c>
      <c r="AN51" s="194" t="e">
        <f t="shared" si="6"/>
        <v>#VALUE!</v>
      </c>
      <c r="AO51" s="462"/>
      <c r="AP51" s="462"/>
      <c r="AQ51" s="441"/>
    </row>
    <row r="52" spans="2:43" x14ac:dyDescent="0.15">
      <c r="B52" s="352" t="str">
        <f t="shared" si="22"/>
        <v/>
      </c>
      <c r="C52" s="235" t="str">
        <f t="shared" si="23"/>
        <v/>
      </c>
      <c r="D52" s="235" t="str">
        <f t="shared" si="19"/>
        <v/>
      </c>
      <c r="E52" s="248" t="str">
        <f t="shared" si="24"/>
        <v/>
      </c>
      <c r="F52" s="1045" t="str">
        <f t="shared" si="25"/>
        <v/>
      </c>
      <c r="G52" s="184" t="str">
        <f t="shared" si="26"/>
        <v/>
      </c>
      <c r="H52" s="941" t="e">
        <f t="shared" si="27"/>
        <v>#VALUE!</v>
      </c>
      <c r="I52" s="353" t="e">
        <f t="shared" si="28"/>
        <v>#VALUE!</v>
      </c>
      <c r="J52" s="239"/>
      <c r="K52" s="477" t="str">
        <f t="shared" si="29"/>
        <v/>
      </c>
      <c r="L52" s="246" t="str">
        <f t="shared" si="30"/>
        <v/>
      </c>
      <c r="M52" s="246" t="str">
        <f t="shared" si="20"/>
        <v/>
      </c>
      <c r="N52" s="246" t="str">
        <f t="shared" si="21"/>
        <v/>
      </c>
      <c r="O52" s="69">
        <v>6</v>
      </c>
      <c r="P52" s="69"/>
      <c r="Q52" s="69"/>
      <c r="R52" s="470"/>
      <c r="S52" s="69"/>
      <c r="T52" s="69"/>
      <c r="U52" s="69"/>
      <c r="V52" s="69"/>
      <c r="W52" s="69"/>
      <c r="X52" s="69"/>
      <c r="Y52" s="69"/>
      <c r="Z52" s="69"/>
      <c r="AA52" s="69"/>
      <c r="AB52" s="69"/>
      <c r="AC52" s="69"/>
      <c r="AD52" s="69"/>
      <c r="AE52" s="69"/>
      <c r="AF52" s="69"/>
      <c r="AG52" s="69"/>
      <c r="AH52" s="69"/>
      <c r="AI52" s="69"/>
      <c r="AJ52" s="69"/>
      <c r="AK52" s="193" t="e">
        <f t="shared" si="32"/>
        <v>#VALUE!</v>
      </c>
      <c r="AL52" s="461" t="e">
        <f t="shared" si="31"/>
        <v>#VALUE!</v>
      </c>
      <c r="AM52" s="461" t="e">
        <f t="shared" si="5"/>
        <v>#VALUE!</v>
      </c>
      <c r="AN52" s="194" t="e">
        <f t="shared" si="6"/>
        <v>#VALUE!</v>
      </c>
      <c r="AO52" s="462"/>
      <c r="AP52" s="462"/>
      <c r="AQ52" s="441"/>
    </row>
    <row r="53" spans="2:43" x14ac:dyDescent="0.15">
      <c r="B53" s="352" t="str">
        <f t="shared" si="22"/>
        <v/>
      </c>
      <c r="C53" s="235" t="str">
        <f t="shared" si="23"/>
        <v/>
      </c>
      <c r="D53" s="235" t="str">
        <f t="shared" si="19"/>
        <v/>
      </c>
      <c r="E53" s="248" t="str">
        <f t="shared" si="24"/>
        <v/>
      </c>
      <c r="F53" s="1045" t="str">
        <f t="shared" si="25"/>
        <v/>
      </c>
      <c r="G53" s="184" t="str">
        <f t="shared" si="26"/>
        <v/>
      </c>
      <c r="H53" s="941" t="e">
        <f t="shared" si="27"/>
        <v>#VALUE!</v>
      </c>
      <c r="I53" s="353" t="e">
        <f t="shared" si="28"/>
        <v>#VALUE!</v>
      </c>
      <c r="J53" s="239"/>
      <c r="K53" s="477" t="str">
        <f t="shared" si="29"/>
        <v/>
      </c>
      <c r="L53" s="246" t="str">
        <f t="shared" si="30"/>
        <v/>
      </c>
      <c r="M53" s="246" t="str">
        <f t="shared" si="20"/>
        <v/>
      </c>
      <c r="N53" s="246" t="str">
        <f t="shared" si="21"/>
        <v/>
      </c>
      <c r="O53" s="69"/>
      <c r="P53" s="69"/>
      <c r="Q53" s="69"/>
      <c r="R53" s="470"/>
      <c r="S53" s="69"/>
      <c r="T53" s="69"/>
      <c r="U53" s="69"/>
      <c r="V53" s="69"/>
      <c r="W53" s="69"/>
      <c r="X53" s="69"/>
      <c r="Y53" s="69"/>
      <c r="Z53" s="69"/>
      <c r="AA53" s="69"/>
      <c r="AB53" s="69"/>
      <c r="AC53" s="69"/>
      <c r="AD53" s="69"/>
      <c r="AE53" s="69"/>
      <c r="AF53" s="69"/>
      <c r="AG53" s="69"/>
      <c r="AH53" s="69"/>
      <c r="AI53" s="69"/>
      <c r="AJ53" s="69"/>
      <c r="AK53" s="193" t="e">
        <f t="shared" si="32"/>
        <v>#VALUE!</v>
      </c>
      <c r="AL53" s="461" t="e">
        <f t="shared" si="31"/>
        <v>#VALUE!</v>
      </c>
      <c r="AM53" s="461" t="e">
        <f t="shared" si="5"/>
        <v>#VALUE!</v>
      </c>
      <c r="AN53" s="194" t="e">
        <f t="shared" si="6"/>
        <v>#VALUE!</v>
      </c>
      <c r="AO53" s="462"/>
      <c r="AP53" s="462"/>
      <c r="AQ53" s="441"/>
    </row>
    <row r="54" spans="2:43" x14ac:dyDescent="0.15">
      <c r="B54" s="352" t="str">
        <f t="shared" si="22"/>
        <v/>
      </c>
      <c r="C54" s="235" t="str">
        <f t="shared" si="23"/>
        <v/>
      </c>
      <c r="D54" s="235" t="str">
        <f t="shared" si="19"/>
        <v/>
      </c>
      <c r="E54" s="248" t="str">
        <f t="shared" si="24"/>
        <v/>
      </c>
      <c r="F54" s="1045" t="str">
        <f t="shared" si="25"/>
        <v/>
      </c>
      <c r="G54" s="184" t="str">
        <f t="shared" si="26"/>
        <v/>
      </c>
      <c r="H54" s="941" t="e">
        <f t="shared" si="27"/>
        <v>#VALUE!</v>
      </c>
      <c r="I54" s="353" t="e">
        <f t="shared" si="28"/>
        <v>#VALUE!</v>
      </c>
      <c r="J54" s="239"/>
      <c r="K54" s="477" t="str">
        <f t="shared" si="29"/>
        <v/>
      </c>
      <c r="L54" s="246" t="str">
        <f t="shared" si="30"/>
        <v/>
      </c>
      <c r="M54" s="246" t="str">
        <f t="shared" si="20"/>
        <v/>
      </c>
      <c r="N54" s="246" t="str">
        <f t="shared" si="21"/>
        <v/>
      </c>
      <c r="O54" s="69"/>
      <c r="P54" s="69"/>
      <c r="Q54" s="69"/>
      <c r="R54" s="470"/>
      <c r="S54" s="69"/>
      <c r="T54" s="69"/>
      <c r="U54" s="69"/>
      <c r="V54" s="69"/>
      <c r="W54" s="69"/>
      <c r="X54" s="69"/>
      <c r="Y54" s="69"/>
      <c r="Z54" s="69"/>
      <c r="AA54" s="69"/>
      <c r="AB54" s="69"/>
      <c r="AC54" s="69"/>
      <c r="AD54" s="69"/>
      <c r="AE54" s="69"/>
      <c r="AF54" s="69"/>
      <c r="AG54" s="69"/>
      <c r="AH54" s="69"/>
      <c r="AI54" s="69"/>
      <c r="AJ54" s="69"/>
      <c r="AK54" s="193" t="e">
        <f t="shared" si="32"/>
        <v>#VALUE!</v>
      </c>
      <c r="AL54" s="461" t="e">
        <f t="shared" si="31"/>
        <v>#VALUE!</v>
      </c>
      <c r="AM54" s="461" t="e">
        <f t="shared" si="5"/>
        <v>#VALUE!</v>
      </c>
      <c r="AN54" s="194" t="e">
        <f t="shared" si="6"/>
        <v>#VALUE!</v>
      </c>
      <c r="AO54" s="462"/>
      <c r="AP54" s="462"/>
      <c r="AQ54" s="441"/>
    </row>
    <row r="55" spans="2:43" x14ac:dyDescent="0.15">
      <c r="B55" s="352" t="str">
        <f t="shared" si="22"/>
        <v/>
      </c>
      <c r="C55" s="235" t="str">
        <f t="shared" si="23"/>
        <v/>
      </c>
      <c r="D55" s="235" t="str">
        <f t="shared" si="19"/>
        <v/>
      </c>
      <c r="E55" s="248" t="str">
        <f t="shared" si="24"/>
        <v/>
      </c>
      <c r="F55" s="1045" t="str">
        <f t="shared" si="25"/>
        <v/>
      </c>
      <c r="G55" s="184" t="str">
        <f t="shared" si="26"/>
        <v/>
      </c>
      <c r="H55" s="941" t="e">
        <f t="shared" si="27"/>
        <v>#VALUE!</v>
      </c>
      <c r="I55" s="353" t="e">
        <f t="shared" si="28"/>
        <v>#VALUE!</v>
      </c>
      <c r="J55" s="239"/>
      <c r="K55" s="477" t="str">
        <f t="shared" si="29"/>
        <v/>
      </c>
      <c r="L55" s="246" t="str">
        <f t="shared" si="30"/>
        <v/>
      </c>
      <c r="M55" s="246" t="str">
        <f t="shared" si="20"/>
        <v/>
      </c>
      <c r="N55" s="246" t="str">
        <f t="shared" si="21"/>
        <v/>
      </c>
      <c r="O55" s="69"/>
      <c r="P55" s="69"/>
      <c r="Q55" s="69"/>
      <c r="R55" s="470"/>
      <c r="S55" s="69"/>
      <c r="T55" s="69"/>
      <c r="U55" s="69"/>
      <c r="V55" s="69"/>
      <c r="W55" s="69"/>
      <c r="X55" s="69"/>
      <c r="Y55" s="69"/>
      <c r="Z55" s="69"/>
      <c r="AA55" s="69"/>
      <c r="AB55" s="69"/>
      <c r="AC55" s="69"/>
      <c r="AD55" s="69"/>
      <c r="AE55" s="69"/>
      <c r="AF55" s="69"/>
      <c r="AG55" s="69"/>
      <c r="AH55" s="69"/>
      <c r="AI55" s="69"/>
      <c r="AJ55" s="69"/>
      <c r="AK55" s="193" t="e">
        <f t="shared" si="32"/>
        <v>#VALUE!</v>
      </c>
      <c r="AL55" s="461" t="e">
        <f t="shared" si="31"/>
        <v>#VALUE!</v>
      </c>
      <c r="AM55" s="461" t="e">
        <f t="shared" si="5"/>
        <v>#VALUE!</v>
      </c>
      <c r="AN55" s="194" t="e">
        <f t="shared" si="6"/>
        <v>#VALUE!</v>
      </c>
      <c r="AO55" s="462"/>
      <c r="AP55" s="462"/>
      <c r="AQ55" s="441"/>
    </row>
    <row r="56" spans="2:43" x14ac:dyDescent="0.15">
      <c r="B56" s="352" t="str">
        <f t="shared" si="22"/>
        <v/>
      </c>
      <c r="C56" s="235" t="str">
        <f t="shared" si="23"/>
        <v/>
      </c>
      <c r="D56" s="235" t="str">
        <f t="shared" si="19"/>
        <v/>
      </c>
      <c r="E56" s="248" t="str">
        <f t="shared" si="24"/>
        <v/>
      </c>
      <c r="F56" s="1045" t="str">
        <f t="shared" si="25"/>
        <v/>
      </c>
      <c r="G56" s="184" t="str">
        <f t="shared" si="26"/>
        <v/>
      </c>
      <c r="H56" s="941" t="e">
        <f t="shared" si="27"/>
        <v>#VALUE!</v>
      </c>
      <c r="I56" s="353" t="e">
        <f t="shared" si="28"/>
        <v>#VALUE!</v>
      </c>
      <c r="J56" s="239"/>
      <c r="K56" s="477" t="str">
        <f t="shared" si="29"/>
        <v/>
      </c>
      <c r="L56" s="246" t="str">
        <f t="shared" si="30"/>
        <v/>
      </c>
      <c r="M56" s="246" t="str">
        <f t="shared" si="20"/>
        <v/>
      </c>
      <c r="N56" s="246" t="str">
        <f t="shared" si="21"/>
        <v/>
      </c>
      <c r="O56" s="69"/>
      <c r="P56" s="69"/>
      <c r="Q56" s="69"/>
      <c r="R56" s="478">
        <f>E31-25070592</f>
        <v>-25070592</v>
      </c>
      <c r="S56" s="69"/>
      <c r="T56" s="69"/>
      <c r="U56" s="69"/>
      <c r="V56" s="69"/>
      <c r="W56" s="69"/>
      <c r="X56" s="69"/>
      <c r="Y56" s="69"/>
      <c r="Z56" s="69"/>
      <c r="AA56" s="69"/>
      <c r="AB56" s="69"/>
      <c r="AC56" s="69"/>
      <c r="AD56" s="69"/>
      <c r="AE56" s="69"/>
      <c r="AF56" s="69"/>
      <c r="AG56" s="69"/>
      <c r="AH56" s="69"/>
      <c r="AI56" s="69"/>
      <c r="AJ56" s="69"/>
      <c r="AK56" s="193" t="e">
        <f t="shared" si="32"/>
        <v>#VALUE!</v>
      </c>
      <c r="AL56" s="461" t="e">
        <f t="shared" si="31"/>
        <v>#VALUE!</v>
      </c>
      <c r="AM56" s="461" t="e">
        <f t="shared" si="5"/>
        <v>#VALUE!</v>
      </c>
      <c r="AN56" s="194" t="e">
        <f t="shared" si="6"/>
        <v>#VALUE!</v>
      </c>
      <c r="AO56" s="462"/>
      <c r="AP56" s="462"/>
      <c r="AQ56" s="441"/>
    </row>
    <row r="57" spans="2:43" x14ac:dyDescent="0.15">
      <c r="B57" s="352" t="str">
        <f t="shared" si="22"/>
        <v/>
      </c>
      <c r="C57" s="235" t="str">
        <f t="shared" si="23"/>
        <v/>
      </c>
      <c r="D57" s="235" t="str">
        <f t="shared" si="19"/>
        <v/>
      </c>
      <c r="E57" s="248" t="str">
        <f t="shared" si="24"/>
        <v/>
      </c>
      <c r="F57" s="1045" t="str">
        <f t="shared" si="25"/>
        <v/>
      </c>
      <c r="G57" s="184" t="str">
        <f t="shared" si="26"/>
        <v/>
      </c>
      <c r="H57" s="941" t="e">
        <f t="shared" si="27"/>
        <v>#VALUE!</v>
      </c>
      <c r="I57" s="353" t="e">
        <f t="shared" si="28"/>
        <v>#VALUE!</v>
      </c>
      <c r="J57" s="239"/>
      <c r="K57" s="477" t="str">
        <f t="shared" si="29"/>
        <v/>
      </c>
      <c r="L57" s="246" t="str">
        <f t="shared" si="30"/>
        <v/>
      </c>
      <c r="M57" s="246" t="str">
        <f t="shared" si="20"/>
        <v/>
      </c>
      <c r="N57" s="246" t="str">
        <f t="shared" si="21"/>
        <v/>
      </c>
      <c r="O57" s="69"/>
      <c r="P57" s="479"/>
      <c r="Q57" s="69"/>
      <c r="R57" s="470"/>
      <c r="S57" s="69"/>
      <c r="T57" s="69"/>
      <c r="U57" s="69"/>
      <c r="V57" s="69"/>
      <c r="W57" s="69"/>
      <c r="X57" s="69"/>
      <c r="Y57" s="69"/>
      <c r="Z57" s="69"/>
      <c r="AA57" s="69"/>
      <c r="AB57" s="69"/>
      <c r="AC57" s="69"/>
      <c r="AD57" s="69"/>
      <c r="AE57" s="69"/>
      <c r="AF57" s="69"/>
      <c r="AG57" s="69"/>
      <c r="AH57" s="69"/>
      <c r="AI57" s="69"/>
      <c r="AJ57" s="69"/>
      <c r="AK57" s="193" t="e">
        <f>+U10</f>
        <v>#VALUE!</v>
      </c>
      <c r="AL57" s="461" t="e">
        <f t="shared" si="31"/>
        <v>#VALUE!</v>
      </c>
      <c r="AM57" s="461" t="e">
        <f t="shared" si="5"/>
        <v>#VALUE!</v>
      </c>
      <c r="AN57" s="194" t="e">
        <f t="shared" si="6"/>
        <v>#VALUE!</v>
      </c>
      <c r="AO57" s="462"/>
      <c r="AP57" s="462"/>
      <c r="AQ57" s="441"/>
    </row>
    <row r="58" spans="2:43" x14ac:dyDescent="0.15">
      <c r="B58" s="352" t="str">
        <f t="shared" si="22"/>
        <v/>
      </c>
      <c r="C58" s="235" t="str">
        <f t="shared" si="23"/>
        <v/>
      </c>
      <c r="D58" s="235" t="str">
        <f t="shared" si="19"/>
        <v/>
      </c>
      <c r="E58" s="248" t="str">
        <f t="shared" si="24"/>
        <v/>
      </c>
      <c r="F58" s="1045" t="str">
        <f t="shared" si="25"/>
        <v/>
      </c>
      <c r="G58" s="184" t="str">
        <f t="shared" si="26"/>
        <v/>
      </c>
      <c r="H58" s="941" t="e">
        <f t="shared" si="27"/>
        <v>#VALUE!</v>
      </c>
      <c r="I58" s="353" t="e">
        <f t="shared" si="28"/>
        <v>#VALUE!</v>
      </c>
      <c r="J58" s="239"/>
      <c r="K58" s="477" t="str">
        <f t="shared" si="29"/>
        <v/>
      </c>
      <c r="L58" s="246" t="str">
        <f t="shared" si="30"/>
        <v/>
      </c>
      <c r="M58" s="246" t="str">
        <f t="shared" si="20"/>
        <v/>
      </c>
      <c r="N58" s="246" t="str">
        <f t="shared" si="21"/>
        <v/>
      </c>
      <c r="O58" s="69">
        <f>6*(365/12)</f>
        <v>182.5</v>
      </c>
      <c r="P58" s="69"/>
      <c r="Q58" s="69"/>
      <c r="R58" s="470"/>
      <c r="S58" s="69"/>
      <c r="T58" s="69"/>
      <c r="U58" s="69"/>
      <c r="V58" s="69"/>
      <c r="W58" s="69"/>
      <c r="X58" s="69"/>
      <c r="Y58" s="69"/>
      <c r="Z58" s="69"/>
      <c r="AA58" s="69"/>
      <c r="AB58" s="69"/>
      <c r="AC58" s="69"/>
      <c r="AD58" s="69"/>
      <c r="AE58" s="69"/>
      <c r="AF58" s="69"/>
      <c r="AG58" s="69"/>
      <c r="AH58" s="69"/>
      <c r="AI58" s="69"/>
      <c r="AJ58" s="69"/>
      <c r="AK58" s="193" t="e">
        <f>+U11</f>
        <v>#VALUE!</v>
      </c>
      <c r="AL58" s="461" t="e">
        <f t="shared" si="31"/>
        <v>#VALUE!</v>
      </c>
      <c r="AM58" s="461" t="e">
        <f t="shared" si="5"/>
        <v>#VALUE!</v>
      </c>
      <c r="AN58" s="194" t="e">
        <f t="shared" si="6"/>
        <v>#VALUE!</v>
      </c>
      <c r="AO58" s="462"/>
      <c r="AP58" s="462"/>
      <c r="AQ58" s="441"/>
    </row>
    <row r="59" spans="2:43" x14ac:dyDescent="0.15">
      <c r="B59" s="352" t="str">
        <f t="shared" si="22"/>
        <v/>
      </c>
      <c r="C59" s="235" t="str">
        <f t="shared" si="23"/>
        <v/>
      </c>
      <c r="D59" s="235" t="str">
        <f t="shared" si="19"/>
        <v/>
      </c>
      <c r="E59" s="248" t="str">
        <f t="shared" si="24"/>
        <v/>
      </c>
      <c r="F59" s="1045" t="str">
        <f t="shared" si="25"/>
        <v/>
      </c>
      <c r="G59" s="184" t="str">
        <f t="shared" si="26"/>
        <v/>
      </c>
      <c r="H59" s="941" t="e">
        <f t="shared" si="27"/>
        <v>#VALUE!</v>
      </c>
      <c r="I59" s="353" t="e">
        <f t="shared" si="28"/>
        <v>#VALUE!</v>
      </c>
      <c r="J59" s="239"/>
      <c r="K59" s="477" t="str">
        <f t="shared" si="29"/>
        <v/>
      </c>
      <c r="L59" s="246" t="str">
        <f t="shared" si="30"/>
        <v/>
      </c>
      <c r="M59" s="246" t="str">
        <f t="shared" si="20"/>
        <v/>
      </c>
      <c r="N59" s="246" t="str">
        <f t="shared" si="21"/>
        <v/>
      </c>
      <c r="O59" s="462">
        <f>D36-'Refinanszírozási kérelem'!BO106</f>
        <v>0</v>
      </c>
      <c r="P59" s="69"/>
      <c r="Q59" s="69"/>
      <c r="R59" s="470"/>
      <c r="S59" s="69"/>
      <c r="T59" s="69"/>
      <c r="U59" s="69"/>
      <c r="V59" s="69"/>
      <c r="W59" s="69"/>
      <c r="X59" s="69"/>
      <c r="Y59" s="69"/>
      <c r="Z59" s="69"/>
      <c r="AA59" s="69"/>
      <c r="AB59" s="69"/>
      <c r="AC59" s="69"/>
      <c r="AD59" s="69"/>
      <c r="AE59" s="69"/>
      <c r="AF59" s="69"/>
      <c r="AG59" s="69"/>
      <c r="AH59" s="69"/>
      <c r="AI59" s="69"/>
      <c r="AJ59" s="69"/>
      <c r="AK59" s="193" t="e">
        <f t="shared" ref="AK59:AK68" si="33">+U13</f>
        <v>#VALUE!</v>
      </c>
      <c r="AL59" s="461" t="e">
        <f t="shared" si="31"/>
        <v>#VALUE!</v>
      </c>
      <c r="AM59" s="461" t="e">
        <f t="shared" si="5"/>
        <v>#VALUE!</v>
      </c>
      <c r="AN59" s="194" t="e">
        <f t="shared" si="6"/>
        <v>#VALUE!</v>
      </c>
      <c r="AO59" s="462"/>
      <c r="AP59" s="462"/>
      <c r="AQ59" s="441"/>
    </row>
    <row r="60" spans="2:43" x14ac:dyDescent="0.15">
      <c r="B60" s="354" t="str">
        <f t="shared" si="22"/>
        <v/>
      </c>
      <c r="C60" s="239" t="str">
        <f t="shared" si="23"/>
        <v/>
      </c>
      <c r="D60" s="239" t="str">
        <f t="shared" si="19"/>
        <v/>
      </c>
      <c r="E60" s="248" t="str">
        <f t="shared" si="24"/>
        <v/>
      </c>
      <c r="F60" s="1045" t="str">
        <f t="shared" si="25"/>
        <v/>
      </c>
      <c r="G60" s="184" t="str">
        <f t="shared" si="26"/>
        <v/>
      </c>
      <c r="H60" s="941" t="e">
        <f t="shared" si="27"/>
        <v>#VALUE!</v>
      </c>
      <c r="I60" s="353" t="e">
        <f t="shared" si="28"/>
        <v>#VALUE!</v>
      </c>
      <c r="J60" s="239"/>
      <c r="K60" s="477" t="str">
        <f t="shared" si="29"/>
        <v/>
      </c>
      <c r="L60" s="246" t="str">
        <f t="shared" si="30"/>
        <v/>
      </c>
      <c r="M60" s="246" t="str">
        <f t="shared" si="20"/>
        <v/>
      </c>
      <c r="N60" s="246" t="str">
        <f t="shared" si="21"/>
        <v/>
      </c>
      <c r="O60" s="69"/>
      <c r="P60" s="69"/>
      <c r="Q60" s="69"/>
      <c r="R60" s="470"/>
      <c r="S60" s="69"/>
      <c r="T60" s="69"/>
      <c r="U60" s="69"/>
      <c r="V60" s="69"/>
      <c r="W60" s="69"/>
      <c r="X60" s="69"/>
      <c r="Y60" s="69"/>
      <c r="Z60" s="69"/>
      <c r="AA60" s="69"/>
      <c r="AB60" s="69"/>
      <c r="AC60" s="69"/>
      <c r="AD60" s="69"/>
      <c r="AE60" s="69"/>
      <c r="AF60" s="69"/>
      <c r="AG60" s="69"/>
      <c r="AH60" s="69"/>
      <c r="AI60" s="69"/>
      <c r="AJ60" s="69"/>
      <c r="AK60" s="193" t="e">
        <f t="shared" si="33"/>
        <v>#VALUE!</v>
      </c>
      <c r="AL60" s="461" t="e">
        <f t="shared" si="31"/>
        <v>#VALUE!</v>
      </c>
      <c r="AM60" s="461" t="e">
        <f t="shared" si="5"/>
        <v>#VALUE!</v>
      </c>
      <c r="AN60" s="194" t="e">
        <f t="shared" si="6"/>
        <v>#VALUE!</v>
      </c>
      <c r="AO60" s="462"/>
      <c r="AP60" s="462"/>
      <c r="AQ60" s="441"/>
    </row>
    <row r="61" spans="2:43" x14ac:dyDescent="0.15">
      <c r="B61" s="354" t="str">
        <f t="shared" si="22"/>
        <v/>
      </c>
      <c r="C61" s="239" t="str">
        <f t="shared" si="23"/>
        <v/>
      </c>
      <c r="D61" s="239" t="str">
        <f t="shared" si="19"/>
        <v/>
      </c>
      <c r="E61" s="248" t="str">
        <f t="shared" si="24"/>
        <v/>
      </c>
      <c r="F61" s="1045" t="str">
        <f t="shared" si="25"/>
        <v/>
      </c>
      <c r="G61" s="184" t="str">
        <f t="shared" si="26"/>
        <v/>
      </c>
      <c r="H61" s="941" t="e">
        <f t="shared" si="27"/>
        <v>#VALUE!</v>
      </c>
      <c r="I61" s="353" t="e">
        <f t="shared" si="28"/>
        <v>#VALUE!</v>
      </c>
      <c r="J61" s="239"/>
      <c r="K61" s="477" t="str">
        <f t="shared" si="29"/>
        <v/>
      </c>
      <c r="L61" s="246" t="str">
        <f t="shared" si="30"/>
        <v/>
      </c>
      <c r="M61" s="246" t="str">
        <f t="shared" si="20"/>
        <v/>
      </c>
      <c r="N61" s="246" t="str">
        <f t="shared" si="21"/>
        <v/>
      </c>
      <c r="O61" s="69"/>
      <c r="P61" s="69"/>
      <c r="Q61" s="69"/>
      <c r="R61" s="470"/>
      <c r="S61" s="69"/>
      <c r="T61" s="69"/>
      <c r="U61" s="69"/>
      <c r="V61" s="69"/>
      <c r="W61" s="69"/>
      <c r="X61" s="69"/>
      <c r="Y61" s="69"/>
      <c r="Z61" s="69"/>
      <c r="AA61" s="69"/>
      <c r="AB61" s="69"/>
      <c r="AC61" s="69"/>
      <c r="AD61" s="69"/>
      <c r="AE61" s="69"/>
      <c r="AF61" s="69"/>
      <c r="AG61" s="69"/>
      <c r="AH61" s="69"/>
      <c r="AI61" s="69"/>
      <c r="AJ61" s="69"/>
      <c r="AK61" s="193" t="e">
        <f t="shared" si="33"/>
        <v>#VALUE!</v>
      </c>
      <c r="AL61" s="461" t="e">
        <f t="shared" si="31"/>
        <v>#VALUE!</v>
      </c>
      <c r="AM61" s="461" t="e">
        <f t="shared" si="5"/>
        <v>#VALUE!</v>
      </c>
      <c r="AN61" s="194" t="e">
        <f t="shared" si="6"/>
        <v>#VALUE!</v>
      </c>
      <c r="AO61" s="462"/>
      <c r="AP61" s="462"/>
      <c r="AQ61" s="441"/>
    </row>
    <row r="62" spans="2:43" x14ac:dyDescent="0.15">
      <c r="B62" s="354" t="str">
        <f t="shared" si="22"/>
        <v/>
      </c>
      <c r="C62" s="239" t="str">
        <f t="shared" si="23"/>
        <v/>
      </c>
      <c r="D62" s="239" t="str">
        <f t="shared" si="19"/>
        <v/>
      </c>
      <c r="E62" s="248" t="str">
        <f t="shared" si="24"/>
        <v/>
      </c>
      <c r="F62" s="1045" t="str">
        <f t="shared" si="25"/>
        <v/>
      </c>
      <c r="G62" s="184" t="str">
        <f t="shared" si="26"/>
        <v/>
      </c>
      <c r="H62" s="941" t="e">
        <f t="shared" si="27"/>
        <v>#VALUE!</v>
      </c>
      <c r="I62" s="353" t="e">
        <f t="shared" si="28"/>
        <v>#VALUE!</v>
      </c>
      <c r="J62" s="239"/>
      <c r="K62" s="477" t="str">
        <f t="shared" si="29"/>
        <v/>
      </c>
      <c r="L62" s="246" t="str">
        <f t="shared" si="30"/>
        <v/>
      </c>
      <c r="M62" s="246" t="str">
        <f t="shared" si="20"/>
        <v/>
      </c>
      <c r="N62" s="246" t="str">
        <f t="shared" si="21"/>
        <v/>
      </c>
      <c r="O62" s="69"/>
      <c r="P62" s="69"/>
      <c r="Q62" s="69"/>
      <c r="R62" s="470"/>
      <c r="S62" s="69"/>
      <c r="T62" s="69"/>
      <c r="U62" s="69"/>
      <c r="V62" s="69"/>
      <c r="W62" s="69"/>
      <c r="X62" s="69"/>
      <c r="Y62" s="69"/>
      <c r="Z62" s="69"/>
      <c r="AA62" s="69"/>
      <c r="AB62" s="69"/>
      <c r="AC62" s="69"/>
      <c r="AD62" s="69"/>
      <c r="AE62" s="69"/>
      <c r="AF62" s="69"/>
      <c r="AG62" s="69"/>
      <c r="AH62" s="69"/>
      <c r="AI62" s="69"/>
      <c r="AJ62" s="69"/>
      <c r="AK62" s="193" t="e">
        <f t="shared" si="33"/>
        <v>#VALUE!</v>
      </c>
      <c r="AL62" s="461" t="e">
        <f t="shared" si="31"/>
        <v>#VALUE!</v>
      </c>
      <c r="AM62" s="461" t="e">
        <f t="shared" si="5"/>
        <v>#VALUE!</v>
      </c>
      <c r="AN62" s="194" t="e">
        <f t="shared" si="6"/>
        <v>#VALUE!</v>
      </c>
      <c r="AO62" s="462"/>
      <c r="AP62" s="462"/>
      <c r="AQ62" s="441"/>
    </row>
    <row r="63" spans="2:43" x14ac:dyDescent="0.15">
      <c r="B63" s="354" t="str">
        <f t="shared" si="22"/>
        <v/>
      </c>
      <c r="C63" s="239" t="str">
        <f t="shared" si="23"/>
        <v/>
      </c>
      <c r="D63" s="239" t="str">
        <f t="shared" si="19"/>
        <v/>
      </c>
      <c r="E63" s="248" t="str">
        <f t="shared" si="24"/>
        <v/>
      </c>
      <c r="F63" s="1045" t="str">
        <f t="shared" si="25"/>
        <v/>
      </c>
      <c r="G63" s="184" t="str">
        <f t="shared" si="26"/>
        <v/>
      </c>
      <c r="H63" s="941" t="e">
        <f t="shared" si="27"/>
        <v>#VALUE!</v>
      </c>
      <c r="I63" s="353" t="e">
        <f t="shared" si="28"/>
        <v>#VALUE!</v>
      </c>
      <c r="J63" s="239"/>
      <c r="K63" s="477" t="str">
        <f t="shared" si="29"/>
        <v/>
      </c>
      <c r="L63" s="246" t="str">
        <f t="shared" si="30"/>
        <v/>
      </c>
      <c r="M63" s="246" t="str">
        <f t="shared" si="20"/>
        <v/>
      </c>
      <c r="N63" s="246" t="str">
        <f t="shared" si="21"/>
        <v/>
      </c>
      <c r="O63" s="69"/>
      <c r="P63" s="69"/>
      <c r="Q63" s="69"/>
      <c r="R63" s="470"/>
      <c r="S63" s="69"/>
      <c r="T63" s="69"/>
      <c r="U63" s="69"/>
      <c r="V63" s="69"/>
      <c r="W63" s="69"/>
      <c r="X63" s="69"/>
      <c r="Y63" s="69"/>
      <c r="Z63" s="69"/>
      <c r="AA63" s="69"/>
      <c r="AB63" s="69"/>
      <c r="AC63" s="69"/>
      <c r="AD63" s="69"/>
      <c r="AE63" s="69"/>
      <c r="AF63" s="69"/>
      <c r="AG63" s="69"/>
      <c r="AH63" s="69"/>
      <c r="AI63" s="69"/>
      <c r="AJ63" s="69"/>
      <c r="AK63" s="193" t="e">
        <f t="shared" si="33"/>
        <v>#VALUE!</v>
      </c>
      <c r="AL63" s="461" t="e">
        <f t="shared" si="31"/>
        <v>#VALUE!</v>
      </c>
      <c r="AM63" s="461" t="e">
        <f t="shared" si="5"/>
        <v>#VALUE!</v>
      </c>
      <c r="AN63" s="194" t="e">
        <f t="shared" si="6"/>
        <v>#VALUE!</v>
      </c>
      <c r="AO63" s="462"/>
      <c r="AP63" s="462"/>
      <c r="AQ63" s="441"/>
    </row>
    <row r="64" spans="2:43" x14ac:dyDescent="0.15">
      <c r="B64" s="354" t="str">
        <f t="shared" si="22"/>
        <v/>
      </c>
      <c r="C64" s="239" t="str">
        <f t="shared" si="23"/>
        <v/>
      </c>
      <c r="D64" s="239" t="str">
        <f t="shared" si="19"/>
        <v/>
      </c>
      <c r="E64" s="248" t="str">
        <f t="shared" si="24"/>
        <v/>
      </c>
      <c r="F64" s="1045" t="str">
        <f t="shared" si="25"/>
        <v/>
      </c>
      <c r="G64" s="184" t="str">
        <f t="shared" si="26"/>
        <v/>
      </c>
      <c r="H64" s="941" t="e">
        <f t="shared" si="27"/>
        <v>#VALUE!</v>
      </c>
      <c r="I64" s="353" t="e">
        <f t="shared" si="28"/>
        <v>#VALUE!</v>
      </c>
      <c r="J64" s="239"/>
      <c r="K64" s="477" t="str">
        <f t="shared" si="29"/>
        <v/>
      </c>
      <c r="L64" s="246" t="str">
        <f t="shared" si="30"/>
        <v/>
      </c>
      <c r="M64" s="246" t="str">
        <f t="shared" si="20"/>
        <v/>
      </c>
      <c r="N64" s="246" t="str">
        <f t="shared" si="21"/>
        <v/>
      </c>
      <c r="O64" s="69"/>
      <c r="P64" s="69"/>
      <c r="Q64" s="69"/>
      <c r="R64" s="470"/>
      <c r="S64" s="69"/>
      <c r="T64" s="69"/>
      <c r="U64" s="69"/>
      <c r="V64" s="69"/>
      <c r="W64" s="69"/>
      <c r="X64" s="69"/>
      <c r="Y64" s="69"/>
      <c r="Z64" s="69"/>
      <c r="AA64" s="69"/>
      <c r="AB64" s="69"/>
      <c r="AC64" s="69"/>
      <c r="AD64" s="69"/>
      <c r="AE64" s="69"/>
      <c r="AF64" s="69"/>
      <c r="AG64" s="69"/>
      <c r="AH64" s="69"/>
      <c r="AI64" s="69"/>
      <c r="AJ64" s="69"/>
      <c r="AK64" s="193" t="e">
        <f t="shared" si="33"/>
        <v>#VALUE!</v>
      </c>
      <c r="AL64" s="461" t="e">
        <f t="shared" si="31"/>
        <v>#VALUE!</v>
      </c>
      <c r="AM64" s="461" t="e">
        <f t="shared" si="5"/>
        <v>#VALUE!</v>
      </c>
      <c r="AN64" s="194" t="e">
        <f t="shared" si="6"/>
        <v>#VALUE!</v>
      </c>
      <c r="AO64" s="462"/>
      <c r="AP64" s="462"/>
      <c r="AQ64" s="441"/>
    </row>
    <row r="65" spans="2:43" x14ac:dyDescent="0.15">
      <c r="B65" s="354" t="str">
        <f t="shared" si="22"/>
        <v/>
      </c>
      <c r="C65" s="239" t="str">
        <f t="shared" si="23"/>
        <v/>
      </c>
      <c r="D65" s="239" t="str">
        <f t="shared" si="19"/>
        <v/>
      </c>
      <c r="E65" s="248" t="str">
        <f t="shared" si="24"/>
        <v/>
      </c>
      <c r="F65" s="1045" t="str">
        <f t="shared" si="25"/>
        <v/>
      </c>
      <c r="G65" s="184" t="str">
        <f t="shared" si="26"/>
        <v/>
      </c>
      <c r="H65" s="941" t="e">
        <f t="shared" si="27"/>
        <v>#VALUE!</v>
      </c>
      <c r="I65" s="353" t="e">
        <f t="shared" si="28"/>
        <v>#VALUE!</v>
      </c>
      <c r="J65" s="239"/>
      <c r="K65" s="477" t="str">
        <f t="shared" si="29"/>
        <v/>
      </c>
      <c r="L65" s="246" t="str">
        <f t="shared" si="30"/>
        <v/>
      </c>
      <c r="M65" s="246" t="str">
        <f t="shared" si="20"/>
        <v/>
      </c>
      <c r="N65" s="246" t="str">
        <f t="shared" si="21"/>
        <v/>
      </c>
      <c r="O65" s="69"/>
      <c r="P65" s="69"/>
      <c r="Q65" s="69"/>
      <c r="R65" s="470"/>
      <c r="S65" s="69"/>
      <c r="T65" s="69"/>
      <c r="U65" s="69"/>
      <c r="V65" s="69"/>
      <c r="W65" s="69"/>
      <c r="X65" s="69"/>
      <c r="Y65" s="69"/>
      <c r="Z65" s="69"/>
      <c r="AA65" s="69"/>
      <c r="AB65" s="69"/>
      <c r="AC65" s="69"/>
      <c r="AD65" s="69"/>
      <c r="AE65" s="69"/>
      <c r="AF65" s="69"/>
      <c r="AG65" s="69"/>
      <c r="AH65" s="69"/>
      <c r="AI65" s="69"/>
      <c r="AJ65" s="69"/>
      <c r="AK65" s="193" t="e">
        <f t="shared" si="33"/>
        <v>#VALUE!</v>
      </c>
      <c r="AL65" s="461" t="e">
        <f t="shared" si="31"/>
        <v>#VALUE!</v>
      </c>
      <c r="AM65" s="461" t="e">
        <f t="shared" si="5"/>
        <v>#VALUE!</v>
      </c>
      <c r="AN65" s="194" t="e">
        <f t="shared" si="6"/>
        <v>#VALUE!</v>
      </c>
      <c r="AO65" s="462"/>
      <c r="AP65" s="462"/>
      <c r="AQ65" s="441"/>
    </row>
    <row r="66" spans="2:43" x14ac:dyDescent="0.15">
      <c r="B66" s="354" t="str">
        <f t="shared" si="22"/>
        <v/>
      </c>
      <c r="C66" s="239" t="str">
        <f t="shared" si="23"/>
        <v/>
      </c>
      <c r="D66" s="239" t="str">
        <f t="shared" si="19"/>
        <v/>
      </c>
      <c r="E66" s="248" t="str">
        <f t="shared" si="24"/>
        <v/>
      </c>
      <c r="F66" s="1045" t="str">
        <f t="shared" si="25"/>
        <v/>
      </c>
      <c r="G66" s="184" t="str">
        <f t="shared" si="26"/>
        <v/>
      </c>
      <c r="H66" s="941" t="e">
        <f t="shared" si="27"/>
        <v>#VALUE!</v>
      </c>
      <c r="I66" s="353" t="e">
        <f t="shared" si="28"/>
        <v>#VALUE!</v>
      </c>
      <c r="J66" s="239"/>
      <c r="K66" s="477" t="str">
        <f t="shared" si="29"/>
        <v/>
      </c>
      <c r="L66" s="246" t="str">
        <f t="shared" si="30"/>
        <v/>
      </c>
      <c r="M66" s="246" t="str">
        <f t="shared" si="20"/>
        <v/>
      </c>
      <c r="N66" s="246" t="str">
        <f t="shared" si="21"/>
        <v/>
      </c>
      <c r="O66" s="69"/>
      <c r="P66" s="69"/>
      <c r="Q66" s="69"/>
      <c r="R66" s="470"/>
      <c r="S66" s="69"/>
      <c r="T66" s="69"/>
      <c r="U66" s="69"/>
      <c r="V66" s="69"/>
      <c r="W66" s="69"/>
      <c r="X66" s="69"/>
      <c r="Y66" s="69"/>
      <c r="Z66" s="69"/>
      <c r="AA66" s="69"/>
      <c r="AB66" s="69"/>
      <c r="AC66" s="69"/>
      <c r="AD66" s="69"/>
      <c r="AE66" s="69"/>
      <c r="AF66" s="69"/>
      <c r="AG66" s="69"/>
      <c r="AH66" s="69"/>
      <c r="AI66" s="69"/>
      <c r="AJ66" s="69"/>
      <c r="AK66" s="193" t="e">
        <f t="shared" si="33"/>
        <v>#VALUE!</v>
      </c>
      <c r="AL66" s="461" t="e">
        <f t="shared" si="31"/>
        <v>#VALUE!</v>
      </c>
      <c r="AM66" s="461" t="e">
        <f t="shared" si="5"/>
        <v>#VALUE!</v>
      </c>
      <c r="AN66" s="194" t="e">
        <f t="shared" si="6"/>
        <v>#VALUE!</v>
      </c>
      <c r="AO66" s="462"/>
      <c r="AP66" s="462"/>
      <c r="AQ66" s="441"/>
    </row>
    <row r="67" spans="2:43" x14ac:dyDescent="0.15">
      <c r="B67" s="354" t="str">
        <f t="shared" si="22"/>
        <v/>
      </c>
      <c r="C67" s="239" t="str">
        <f t="shared" si="23"/>
        <v/>
      </c>
      <c r="D67" s="239" t="str">
        <f t="shared" si="19"/>
        <v/>
      </c>
      <c r="E67" s="248" t="str">
        <f t="shared" si="24"/>
        <v/>
      </c>
      <c r="F67" s="1045" t="str">
        <f t="shared" si="25"/>
        <v/>
      </c>
      <c r="G67" s="184" t="str">
        <f t="shared" si="26"/>
        <v/>
      </c>
      <c r="H67" s="941" t="e">
        <f t="shared" si="27"/>
        <v>#VALUE!</v>
      </c>
      <c r="I67" s="353" t="e">
        <f t="shared" si="28"/>
        <v>#VALUE!</v>
      </c>
      <c r="J67" s="239"/>
      <c r="K67" s="477" t="str">
        <f t="shared" si="29"/>
        <v/>
      </c>
      <c r="L67" s="246" t="str">
        <f t="shared" si="30"/>
        <v/>
      </c>
      <c r="M67" s="246" t="str">
        <f t="shared" si="20"/>
        <v/>
      </c>
      <c r="N67" s="246" t="str">
        <f t="shared" si="21"/>
        <v/>
      </c>
      <c r="O67" s="69"/>
      <c r="P67" s="69"/>
      <c r="Q67" s="69"/>
      <c r="R67" s="470"/>
      <c r="S67" s="69"/>
      <c r="T67" s="69"/>
      <c r="U67" s="69"/>
      <c r="V67" s="69"/>
      <c r="W67" s="69"/>
      <c r="X67" s="69"/>
      <c r="Y67" s="69"/>
      <c r="Z67" s="69"/>
      <c r="AA67" s="69"/>
      <c r="AB67" s="69"/>
      <c r="AC67" s="69"/>
      <c r="AD67" s="69"/>
      <c r="AE67" s="69"/>
      <c r="AF67" s="69"/>
      <c r="AG67" s="69"/>
      <c r="AH67" s="69"/>
      <c r="AI67" s="69"/>
      <c r="AJ67" s="69"/>
      <c r="AK67" s="193" t="e">
        <f t="shared" si="33"/>
        <v>#VALUE!</v>
      </c>
      <c r="AL67" s="461" t="e">
        <f t="shared" si="31"/>
        <v>#VALUE!</v>
      </c>
      <c r="AM67" s="461" t="e">
        <f t="shared" si="5"/>
        <v>#VALUE!</v>
      </c>
      <c r="AN67" s="194" t="e">
        <f t="shared" si="6"/>
        <v>#VALUE!</v>
      </c>
      <c r="AO67" s="462"/>
      <c r="AP67" s="462"/>
      <c r="AQ67" s="441"/>
    </row>
    <row r="68" spans="2:43" x14ac:dyDescent="0.15">
      <c r="B68" s="354" t="str">
        <f t="shared" si="22"/>
        <v/>
      </c>
      <c r="C68" s="239" t="str">
        <f t="shared" si="23"/>
        <v/>
      </c>
      <c r="D68" s="239" t="str">
        <f t="shared" si="19"/>
        <v/>
      </c>
      <c r="E68" s="248" t="str">
        <f t="shared" si="24"/>
        <v/>
      </c>
      <c r="F68" s="1045" t="str">
        <f t="shared" si="25"/>
        <v/>
      </c>
      <c r="G68" s="184" t="str">
        <f t="shared" si="26"/>
        <v/>
      </c>
      <c r="H68" s="941" t="e">
        <f t="shared" si="27"/>
        <v>#VALUE!</v>
      </c>
      <c r="I68" s="353" t="e">
        <f t="shared" si="28"/>
        <v>#VALUE!</v>
      </c>
      <c r="J68" s="239"/>
      <c r="K68" s="477" t="str">
        <f t="shared" si="29"/>
        <v/>
      </c>
      <c r="L68" s="246" t="str">
        <f t="shared" si="30"/>
        <v/>
      </c>
      <c r="M68" s="246" t="str">
        <f t="shared" si="20"/>
        <v/>
      </c>
      <c r="N68" s="246" t="str">
        <f t="shared" si="21"/>
        <v/>
      </c>
      <c r="O68" s="69"/>
      <c r="P68" s="69"/>
      <c r="Q68" s="69"/>
      <c r="R68" s="470"/>
      <c r="S68" s="69"/>
      <c r="T68" s="69"/>
      <c r="U68" s="69"/>
      <c r="V68" s="69"/>
      <c r="W68" s="69"/>
      <c r="X68" s="69"/>
      <c r="Y68" s="69"/>
      <c r="Z68" s="69"/>
      <c r="AA68" s="69"/>
      <c r="AB68" s="69"/>
      <c r="AC68" s="69"/>
      <c r="AD68" s="69"/>
      <c r="AE68" s="69"/>
      <c r="AF68" s="69"/>
      <c r="AG68" s="69"/>
      <c r="AH68" s="69"/>
      <c r="AI68" s="69"/>
      <c r="AJ68" s="69"/>
      <c r="AK68" s="193" t="e">
        <f t="shared" si="33"/>
        <v>#VALUE!</v>
      </c>
      <c r="AL68" s="461" t="e">
        <f t="shared" si="31"/>
        <v>#VALUE!</v>
      </c>
      <c r="AM68" s="461" t="e">
        <f t="shared" si="5"/>
        <v>#VALUE!</v>
      </c>
      <c r="AN68" s="194" t="e">
        <f t="shared" si="6"/>
        <v>#VALUE!</v>
      </c>
      <c r="AO68" s="462"/>
      <c r="AP68" s="462"/>
      <c r="AQ68" s="441"/>
    </row>
    <row r="69" spans="2:43" x14ac:dyDescent="0.15">
      <c r="B69" s="354" t="str">
        <f t="shared" si="22"/>
        <v/>
      </c>
      <c r="C69" s="239" t="str">
        <f t="shared" si="23"/>
        <v/>
      </c>
      <c r="D69" s="239" t="str">
        <f t="shared" ref="D69:D100" si="34">IF(B69="","",VLOOKUP(B69,AM:AN,2,FALSE))</f>
        <v/>
      </c>
      <c r="E69" s="248" t="str">
        <f t="shared" si="24"/>
        <v/>
      </c>
      <c r="F69" s="1045" t="str">
        <f t="shared" si="25"/>
        <v/>
      </c>
      <c r="G69" s="184" t="str">
        <f t="shared" si="26"/>
        <v/>
      </c>
      <c r="H69" s="941" t="e">
        <f t="shared" si="27"/>
        <v>#VALUE!</v>
      </c>
      <c r="I69" s="353" t="e">
        <f t="shared" si="28"/>
        <v>#VALUE!</v>
      </c>
      <c r="J69" s="239"/>
      <c r="K69" s="477" t="str">
        <f t="shared" si="29"/>
        <v/>
      </c>
      <c r="L69" s="246" t="str">
        <f t="shared" ref="L69:L100" si="35">+IF(K69&lt;&gt;"",$L$30/$L$28,"")</f>
        <v/>
      </c>
      <c r="M69" s="246" t="str">
        <f t="shared" ref="M69:M100" si="36">IF(K69=$M$28,$E$33,IF(K69&lt;&gt;"",($M$30-$M$36)/($M$28-1),""))</f>
        <v/>
      </c>
      <c r="N69" s="246" t="str">
        <f t="shared" ref="N69:N100" si="37">+IF(K69&lt;&gt;"",($N$30-$N$36)/$N$28,"")</f>
        <v/>
      </c>
      <c r="O69" s="69"/>
      <c r="P69" s="69"/>
      <c r="Q69" s="69"/>
      <c r="R69" s="470"/>
      <c r="S69" s="69"/>
      <c r="T69" s="69"/>
      <c r="U69" s="69"/>
      <c r="V69" s="69"/>
      <c r="W69" s="69"/>
      <c r="X69" s="69"/>
      <c r="Y69" s="69"/>
      <c r="Z69" s="69"/>
      <c r="AA69" s="69"/>
      <c r="AB69" s="69"/>
      <c r="AC69" s="69"/>
      <c r="AD69" s="69"/>
      <c r="AE69" s="69"/>
      <c r="AF69" s="69"/>
      <c r="AG69" s="69"/>
      <c r="AH69" s="69"/>
      <c r="AI69" s="69"/>
      <c r="AJ69" s="69"/>
      <c r="AK69" s="193" t="e">
        <f>+V10</f>
        <v>#VALUE!</v>
      </c>
      <c r="AL69" s="461" t="e">
        <f t="shared" si="31"/>
        <v>#VALUE!</v>
      </c>
      <c r="AM69" s="461" t="e">
        <f t="shared" si="5"/>
        <v>#VALUE!</v>
      </c>
      <c r="AN69" s="194" t="e">
        <f t="shared" si="6"/>
        <v>#VALUE!</v>
      </c>
      <c r="AO69" s="462"/>
      <c r="AP69" s="462"/>
      <c r="AQ69" s="441"/>
    </row>
    <row r="70" spans="2:43" x14ac:dyDescent="0.15">
      <c r="B70" s="354" t="str">
        <f t="shared" ref="B70:B97" si="38">+IF(B69&lt;$C$11/$C$17,B69+1,"")</f>
        <v/>
      </c>
      <c r="C70" s="239" t="str">
        <f t="shared" ref="C70:C101" si="39">+IF(B70="","",EDATE(C$35,$C$17*B69))</f>
        <v/>
      </c>
      <c r="D70" s="239" t="str">
        <f t="shared" si="34"/>
        <v/>
      </c>
      <c r="E70" s="248" t="str">
        <f t="shared" si="24"/>
        <v/>
      </c>
      <c r="F70" s="1045" t="str">
        <f t="shared" si="25"/>
        <v/>
      </c>
      <c r="G70" s="184" t="str">
        <f t="shared" si="26"/>
        <v/>
      </c>
      <c r="H70" s="941" t="e">
        <f t="shared" ref="H70:H101" si="40">+IF(H69&lt;$C$11/$C$18,H69+1,IF(H69="","",""))</f>
        <v>#VALUE!</v>
      </c>
      <c r="I70" s="353" t="e">
        <f t="shared" ref="I70:I101" si="41">+IF(H70="","",EDATE(I$35,$C$18*H69))</f>
        <v>#VALUE!</v>
      </c>
      <c r="J70" s="239"/>
      <c r="K70" s="477" t="str">
        <f t="shared" si="29"/>
        <v/>
      </c>
      <c r="L70" s="246" t="str">
        <f t="shared" si="35"/>
        <v/>
      </c>
      <c r="M70" s="246" t="str">
        <f t="shared" si="36"/>
        <v/>
      </c>
      <c r="N70" s="246" t="str">
        <f t="shared" si="37"/>
        <v/>
      </c>
      <c r="O70" s="69"/>
      <c r="P70" s="69"/>
      <c r="Q70" s="69"/>
      <c r="R70" s="470"/>
      <c r="S70" s="69"/>
      <c r="T70" s="69"/>
      <c r="U70" s="69"/>
      <c r="V70" s="69"/>
      <c r="W70" s="69"/>
      <c r="X70" s="69"/>
      <c r="Y70" s="69"/>
      <c r="Z70" s="69"/>
      <c r="AA70" s="69"/>
      <c r="AB70" s="69"/>
      <c r="AC70" s="69"/>
      <c r="AD70" s="69"/>
      <c r="AE70" s="69"/>
      <c r="AF70" s="69"/>
      <c r="AG70" s="69"/>
      <c r="AH70" s="69"/>
      <c r="AI70" s="69"/>
      <c r="AJ70" s="69"/>
      <c r="AK70" s="193" t="e">
        <f>+V11</f>
        <v>#VALUE!</v>
      </c>
      <c r="AL70" s="461" t="e">
        <f t="shared" si="31"/>
        <v>#VALUE!</v>
      </c>
      <c r="AM70" s="461" t="e">
        <f t="shared" si="5"/>
        <v>#VALUE!</v>
      </c>
      <c r="AN70" s="194" t="e">
        <f t="shared" si="6"/>
        <v>#VALUE!</v>
      </c>
      <c r="AO70" s="462"/>
      <c r="AP70" s="462"/>
      <c r="AQ70" s="441"/>
    </row>
    <row r="71" spans="2:43" x14ac:dyDescent="0.15">
      <c r="B71" s="354" t="str">
        <f t="shared" si="38"/>
        <v/>
      </c>
      <c r="C71" s="239" t="str">
        <f t="shared" si="39"/>
        <v/>
      </c>
      <c r="D71" s="239" t="str">
        <f t="shared" si="34"/>
        <v/>
      </c>
      <c r="E71" s="248" t="str">
        <f t="shared" si="24"/>
        <v/>
      </c>
      <c r="F71" s="1045" t="str">
        <f t="shared" si="25"/>
        <v/>
      </c>
      <c r="G71" s="184" t="str">
        <f t="shared" si="26"/>
        <v/>
      </c>
      <c r="H71" s="941" t="e">
        <f t="shared" si="40"/>
        <v>#VALUE!</v>
      </c>
      <c r="I71" s="353" t="e">
        <f t="shared" si="41"/>
        <v>#VALUE!</v>
      </c>
      <c r="J71" s="239"/>
      <c r="K71" s="477" t="str">
        <f t="shared" si="29"/>
        <v/>
      </c>
      <c r="L71" s="246" t="str">
        <f t="shared" si="35"/>
        <v/>
      </c>
      <c r="M71" s="246" t="str">
        <f t="shared" si="36"/>
        <v/>
      </c>
      <c r="N71" s="246" t="str">
        <f t="shared" si="37"/>
        <v/>
      </c>
      <c r="O71" s="69"/>
      <c r="P71" s="69"/>
      <c r="Q71" s="69"/>
      <c r="R71" s="470"/>
      <c r="S71" s="69"/>
      <c r="T71" s="69"/>
      <c r="U71" s="69"/>
      <c r="V71" s="69"/>
      <c r="W71" s="69"/>
      <c r="X71" s="69"/>
      <c r="Y71" s="69"/>
      <c r="Z71" s="69"/>
      <c r="AA71" s="69"/>
      <c r="AB71" s="69"/>
      <c r="AC71" s="69"/>
      <c r="AD71" s="69"/>
      <c r="AE71" s="69"/>
      <c r="AF71" s="69"/>
      <c r="AG71" s="69"/>
      <c r="AH71" s="69"/>
      <c r="AI71" s="69"/>
      <c r="AJ71" s="69"/>
      <c r="AK71" s="193" t="e">
        <f t="shared" ref="AK71:AK80" si="42">+V13</f>
        <v>#VALUE!</v>
      </c>
      <c r="AL71" s="461" t="e">
        <f t="shared" si="31"/>
        <v>#VALUE!</v>
      </c>
      <c r="AM71" s="461" t="e">
        <f t="shared" si="5"/>
        <v>#VALUE!</v>
      </c>
      <c r="AN71" s="194" t="e">
        <f t="shared" si="6"/>
        <v>#VALUE!</v>
      </c>
      <c r="AO71" s="462"/>
      <c r="AP71" s="462"/>
      <c r="AQ71" s="441"/>
    </row>
    <row r="72" spans="2:43" x14ac:dyDescent="0.15">
      <c r="B72" s="354" t="str">
        <f t="shared" si="38"/>
        <v/>
      </c>
      <c r="C72" s="239" t="str">
        <f t="shared" si="39"/>
        <v/>
      </c>
      <c r="D72" s="239" t="str">
        <f t="shared" si="34"/>
        <v/>
      </c>
      <c r="E72" s="248" t="str">
        <f t="shared" si="24"/>
        <v/>
      </c>
      <c r="F72" s="1045" t="str">
        <f t="shared" si="25"/>
        <v/>
      </c>
      <c r="G72" s="184" t="str">
        <f t="shared" si="26"/>
        <v/>
      </c>
      <c r="H72" s="941" t="e">
        <f t="shared" si="40"/>
        <v>#VALUE!</v>
      </c>
      <c r="I72" s="353" t="e">
        <f t="shared" si="41"/>
        <v>#VALUE!</v>
      </c>
      <c r="J72" s="239"/>
      <c r="K72" s="477" t="str">
        <f t="shared" si="29"/>
        <v/>
      </c>
      <c r="L72" s="246" t="str">
        <f t="shared" si="35"/>
        <v/>
      </c>
      <c r="M72" s="246" t="str">
        <f t="shared" si="36"/>
        <v/>
      </c>
      <c r="N72" s="246" t="str">
        <f t="shared" si="37"/>
        <v/>
      </c>
      <c r="O72" s="69"/>
      <c r="P72" s="69"/>
      <c r="Q72" s="69"/>
      <c r="R72" s="470"/>
      <c r="S72" s="69"/>
      <c r="T72" s="69"/>
      <c r="U72" s="69"/>
      <c r="V72" s="69"/>
      <c r="W72" s="69"/>
      <c r="X72" s="69"/>
      <c r="Y72" s="69"/>
      <c r="Z72" s="69"/>
      <c r="AA72" s="69"/>
      <c r="AB72" s="69"/>
      <c r="AC72" s="69"/>
      <c r="AD72" s="69"/>
      <c r="AE72" s="69"/>
      <c r="AF72" s="69"/>
      <c r="AG72" s="69"/>
      <c r="AH72" s="69"/>
      <c r="AI72" s="69"/>
      <c r="AJ72" s="69"/>
      <c r="AK72" s="193" t="e">
        <f t="shared" si="42"/>
        <v>#VALUE!</v>
      </c>
      <c r="AL72" s="461" t="e">
        <f t="shared" si="31"/>
        <v>#VALUE!</v>
      </c>
      <c r="AM72" s="461" t="e">
        <f t="shared" si="5"/>
        <v>#VALUE!</v>
      </c>
      <c r="AN72" s="194" t="e">
        <f t="shared" si="6"/>
        <v>#VALUE!</v>
      </c>
      <c r="AO72" s="462"/>
      <c r="AP72" s="462"/>
      <c r="AQ72" s="441"/>
    </row>
    <row r="73" spans="2:43" x14ac:dyDescent="0.15">
      <c r="B73" s="354" t="str">
        <f t="shared" si="38"/>
        <v/>
      </c>
      <c r="C73" s="239" t="str">
        <f t="shared" si="39"/>
        <v/>
      </c>
      <c r="D73" s="239" t="str">
        <f t="shared" si="34"/>
        <v/>
      </c>
      <c r="E73" s="248" t="str">
        <f t="shared" si="24"/>
        <v/>
      </c>
      <c r="F73" s="1045" t="str">
        <f t="shared" si="25"/>
        <v/>
      </c>
      <c r="G73" s="184" t="str">
        <f t="shared" si="26"/>
        <v/>
      </c>
      <c r="H73" s="941" t="e">
        <f t="shared" si="40"/>
        <v>#VALUE!</v>
      </c>
      <c r="I73" s="353" t="e">
        <f t="shared" si="41"/>
        <v>#VALUE!</v>
      </c>
      <c r="J73" s="239"/>
      <c r="K73" s="477" t="str">
        <f t="shared" si="29"/>
        <v/>
      </c>
      <c r="L73" s="246" t="str">
        <f t="shared" si="35"/>
        <v/>
      </c>
      <c r="M73" s="246" t="str">
        <f t="shared" si="36"/>
        <v/>
      </c>
      <c r="N73" s="246" t="str">
        <f t="shared" si="37"/>
        <v/>
      </c>
      <c r="O73" s="69"/>
      <c r="P73" s="69"/>
      <c r="Q73" s="69"/>
      <c r="R73" s="470"/>
      <c r="S73" s="69"/>
      <c r="T73" s="69"/>
      <c r="U73" s="69"/>
      <c r="V73" s="69"/>
      <c r="W73" s="69"/>
      <c r="X73" s="69"/>
      <c r="Y73" s="69"/>
      <c r="Z73" s="69"/>
      <c r="AA73" s="69"/>
      <c r="AB73" s="69"/>
      <c r="AC73" s="69"/>
      <c r="AD73" s="69"/>
      <c r="AE73" s="69"/>
      <c r="AF73" s="69"/>
      <c r="AG73" s="69"/>
      <c r="AH73" s="69"/>
      <c r="AI73" s="69"/>
      <c r="AJ73" s="69"/>
      <c r="AK73" s="193" t="e">
        <f t="shared" si="42"/>
        <v>#VALUE!</v>
      </c>
      <c r="AL73" s="461" t="e">
        <f t="shared" si="31"/>
        <v>#VALUE!</v>
      </c>
      <c r="AM73" s="461" t="e">
        <f t="shared" si="5"/>
        <v>#VALUE!</v>
      </c>
      <c r="AN73" s="194" t="e">
        <f t="shared" si="6"/>
        <v>#VALUE!</v>
      </c>
      <c r="AO73" s="462"/>
      <c r="AP73" s="462"/>
      <c r="AQ73" s="441"/>
    </row>
    <row r="74" spans="2:43" x14ac:dyDescent="0.15">
      <c r="B74" s="354" t="str">
        <f t="shared" si="38"/>
        <v/>
      </c>
      <c r="C74" s="239" t="str">
        <f t="shared" si="39"/>
        <v/>
      </c>
      <c r="D74" s="239" t="str">
        <f t="shared" si="34"/>
        <v/>
      </c>
      <c r="E74" s="248" t="str">
        <f t="shared" si="24"/>
        <v/>
      </c>
      <c r="F74" s="1045" t="str">
        <f t="shared" si="25"/>
        <v/>
      </c>
      <c r="G74" s="184" t="str">
        <f t="shared" si="26"/>
        <v/>
      </c>
      <c r="H74" s="941" t="e">
        <f t="shared" si="40"/>
        <v>#VALUE!</v>
      </c>
      <c r="I74" s="353" t="e">
        <f t="shared" si="41"/>
        <v>#VALUE!</v>
      </c>
      <c r="J74" s="239"/>
      <c r="K74" s="477" t="str">
        <f t="shared" si="29"/>
        <v/>
      </c>
      <c r="L74" s="246" t="str">
        <f t="shared" si="35"/>
        <v/>
      </c>
      <c r="M74" s="246" t="str">
        <f t="shared" si="36"/>
        <v/>
      </c>
      <c r="N74" s="246" t="str">
        <f t="shared" si="37"/>
        <v/>
      </c>
      <c r="O74" s="69"/>
      <c r="P74" s="69"/>
      <c r="Q74" s="69"/>
      <c r="R74" s="470"/>
      <c r="S74" s="69"/>
      <c r="T74" s="69"/>
      <c r="U74" s="69"/>
      <c r="V74" s="69"/>
      <c r="W74" s="69"/>
      <c r="X74" s="69"/>
      <c r="Y74" s="69"/>
      <c r="Z74" s="69"/>
      <c r="AA74" s="69"/>
      <c r="AB74" s="69"/>
      <c r="AC74" s="69"/>
      <c r="AD74" s="69"/>
      <c r="AE74" s="69"/>
      <c r="AF74" s="69"/>
      <c r="AG74" s="69"/>
      <c r="AH74" s="69"/>
      <c r="AI74" s="69"/>
      <c r="AJ74" s="69"/>
      <c r="AK74" s="193" t="e">
        <f t="shared" si="42"/>
        <v>#VALUE!</v>
      </c>
      <c r="AL74" s="461" t="e">
        <f t="shared" si="31"/>
        <v>#VALUE!</v>
      </c>
      <c r="AM74" s="461" t="e">
        <f t="shared" si="5"/>
        <v>#VALUE!</v>
      </c>
      <c r="AN74" s="194" t="e">
        <f t="shared" si="6"/>
        <v>#VALUE!</v>
      </c>
      <c r="AO74" s="462"/>
      <c r="AP74" s="462"/>
      <c r="AQ74" s="441"/>
    </row>
    <row r="75" spans="2:43" x14ac:dyDescent="0.15">
      <c r="B75" s="354" t="str">
        <f t="shared" si="38"/>
        <v/>
      </c>
      <c r="C75" s="239" t="str">
        <f t="shared" si="39"/>
        <v/>
      </c>
      <c r="D75" s="239" t="str">
        <f t="shared" si="34"/>
        <v/>
      </c>
      <c r="E75" s="248" t="str">
        <f t="shared" si="24"/>
        <v/>
      </c>
      <c r="F75" s="1045" t="str">
        <f t="shared" si="25"/>
        <v/>
      </c>
      <c r="G75" s="184" t="str">
        <f t="shared" si="26"/>
        <v/>
      </c>
      <c r="H75" s="941" t="e">
        <f t="shared" si="40"/>
        <v>#VALUE!</v>
      </c>
      <c r="I75" s="353" t="e">
        <f t="shared" si="41"/>
        <v>#VALUE!</v>
      </c>
      <c r="J75" s="239"/>
      <c r="K75" s="477" t="str">
        <f t="shared" si="29"/>
        <v/>
      </c>
      <c r="L75" s="246" t="str">
        <f t="shared" si="35"/>
        <v/>
      </c>
      <c r="M75" s="246" t="str">
        <f t="shared" si="36"/>
        <v/>
      </c>
      <c r="N75" s="246" t="str">
        <f t="shared" si="37"/>
        <v/>
      </c>
      <c r="O75" s="69"/>
      <c r="P75" s="69"/>
      <c r="Q75" s="69"/>
      <c r="R75" s="470"/>
      <c r="S75" s="69"/>
      <c r="T75" s="69"/>
      <c r="U75" s="69"/>
      <c r="V75" s="69"/>
      <c r="W75" s="69"/>
      <c r="X75" s="69"/>
      <c r="Y75" s="69"/>
      <c r="Z75" s="69"/>
      <c r="AA75" s="69"/>
      <c r="AB75" s="69"/>
      <c r="AC75" s="69"/>
      <c r="AD75" s="69"/>
      <c r="AE75" s="69"/>
      <c r="AF75" s="69"/>
      <c r="AG75" s="69"/>
      <c r="AH75" s="69"/>
      <c r="AI75" s="69"/>
      <c r="AJ75" s="69"/>
      <c r="AK75" s="193" t="e">
        <f t="shared" si="42"/>
        <v>#VALUE!</v>
      </c>
      <c r="AL75" s="461" t="e">
        <f t="shared" si="31"/>
        <v>#VALUE!</v>
      </c>
      <c r="AM75" s="461" t="e">
        <f t="shared" si="5"/>
        <v>#VALUE!</v>
      </c>
      <c r="AN75" s="194" t="e">
        <f t="shared" si="6"/>
        <v>#VALUE!</v>
      </c>
      <c r="AO75" s="462"/>
      <c r="AP75" s="462"/>
      <c r="AQ75" s="441"/>
    </row>
    <row r="76" spans="2:43" x14ac:dyDescent="0.15">
      <c r="B76" s="354" t="str">
        <f t="shared" si="38"/>
        <v/>
      </c>
      <c r="C76" s="239" t="str">
        <f t="shared" si="39"/>
        <v/>
      </c>
      <c r="D76" s="239" t="str">
        <f t="shared" si="34"/>
        <v/>
      </c>
      <c r="E76" s="248" t="str">
        <f t="shared" si="24"/>
        <v/>
      </c>
      <c r="F76" s="1045" t="str">
        <f t="shared" si="25"/>
        <v/>
      </c>
      <c r="G76" s="184" t="str">
        <f t="shared" si="26"/>
        <v/>
      </c>
      <c r="H76" s="941" t="e">
        <f t="shared" si="40"/>
        <v>#VALUE!</v>
      </c>
      <c r="I76" s="353" t="e">
        <f t="shared" si="41"/>
        <v>#VALUE!</v>
      </c>
      <c r="J76" s="239"/>
      <c r="K76" s="477" t="str">
        <f t="shared" si="29"/>
        <v/>
      </c>
      <c r="L76" s="246" t="str">
        <f t="shared" si="35"/>
        <v/>
      </c>
      <c r="M76" s="246" t="str">
        <f t="shared" si="36"/>
        <v/>
      </c>
      <c r="N76" s="246" t="str">
        <f t="shared" si="37"/>
        <v/>
      </c>
      <c r="O76" s="69"/>
      <c r="P76" s="69"/>
      <c r="Q76" s="69"/>
      <c r="R76" s="470"/>
      <c r="S76" s="69"/>
      <c r="T76" s="69"/>
      <c r="U76" s="69"/>
      <c r="V76" s="69"/>
      <c r="W76" s="69"/>
      <c r="X76" s="69"/>
      <c r="Y76" s="69"/>
      <c r="Z76" s="69"/>
      <c r="AA76" s="69"/>
      <c r="AB76" s="69"/>
      <c r="AC76" s="69"/>
      <c r="AD76" s="69"/>
      <c r="AE76" s="69"/>
      <c r="AF76" s="69"/>
      <c r="AG76" s="69"/>
      <c r="AH76" s="69"/>
      <c r="AI76" s="69"/>
      <c r="AJ76" s="69"/>
      <c r="AK76" s="193" t="e">
        <f t="shared" si="42"/>
        <v>#VALUE!</v>
      </c>
      <c r="AL76" s="461" t="e">
        <f t="shared" ref="AL76:AL107" si="43">IF(AK76="",10000000,TorlTervElsoTorl-AK76)</f>
        <v>#VALUE!</v>
      </c>
      <c r="AM76" s="461" t="e">
        <f t="shared" si="5"/>
        <v>#VALUE!</v>
      </c>
      <c r="AN76" s="194" t="e">
        <f t="shared" si="6"/>
        <v>#VALUE!</v>
      </c>
      <c r="AO76" s="462"/>
      <c r="AP76" s="462"/>
      <c r="AQ76" s="441"/>
    </row>
    <row r="77" spans="2:43" x14ac:dyDescent="0.15">
      <c r="B77" s="354" t="str">
        <f t="shared" si="38"/>
        <v/>
      </c>
      <c r="C77" s="239" t="str">
        <f t="shared" si="39"/>
        <v/>
      </c>
      <c r="D77" s="239" t="str">
        <f t="shared" si="34"/>
        <v/>
      </c>
      <c r="E77" s="248" t="str">
        <f t="shared" si="24"/>
        <v/>
      </c>
      <c r="F77" s="1045" t="str">
        <f t="shared" si="25"/>
        <v/>
      </c>
      <c r="G77" s="184" t="str">
        <f t="shared" si="26"/>
        <v/>
      </c>
      <c r="H77" s="941" t="e">
        <f t="shared" si="40"/>
        <v>#VALUE!</v>
      </c>
      <c r="I77" s="353" t="e">
        <f t="shared" si="41"/>
        <v>#VALUE!</v>
      </c>
      <c r="J77" s="239"/>
      <c r="K77" s="477" t="str">
        <f t="shared" si="29"/>
        <v/>
      </c>
      <c r="L77" s="246" t="str">
        <f t="shared" si="35"/>
        <v/>
      </c>
      <c r="M77" s="246" t="str">
        <f t="shared" si="36"/>
        <v/>
      </c>
      <c r="N77" s="246" t="str">
        <f t="shared" si="37"/>
        <v/>
      </c>
      <c r="O77" s="69"/>
      <c r="P77" s="69"/>
      <c r="Q77" s="69"/>
      <c r="R77" s="470"/>
      <c r="S77" s="69"/>
      <c r="T77" s="69"/>
      <c r="U77" s="69"/>
      <c r="V77" s="69"/>
      <c r="W77" s="69"/>
      <c r="X77" s="69"/>
      <c r="Y77" s="69"/>
      <c r="Z77" s="69"/>
      <c r="AA77" s="69"/>
      <c r="AB77" s="69"/>
      <c r="AC77" s="69"/>
      <c r="AD77" s="69"/>
      <c r="AE77" s="69"/>
      <c r="AF77" s="69"/>
      <c r="AG77" s="69"/>
      <c r="AH77" s="69"/>
      <c r="AI77" s="69"/>
      <c r="AJ77" s="69"/>
      <c r="AK77" s="193" t="e">
        <f t="shared" si="42"/>
        <v>#VALUE!</v>
      </c>
      <c r="AL77" s="461" t="e">
        <f t="shared" si="43"/>
        <v>#VALUE!</v>
      </c>
      <c r="AM77" s="461" t="e">
        <f t="shared" ref="AM77:AM236" si="44">AM76+(IF(AN77="",0,1))</f>
        <v>#VALUE!</v>
      </c>
      <c r="AN77" s="194" t="e">
        <f t="shared" ref="AN77:AN236" si="45">IF(AL77&gt;0,"",AK77)</f>
        <v>#VALUE!</v>
      </c>
      <c r="AO77" s="462"/>
      <c r="AP77" s="462"/>
      <c r="AQ77" s="441"/>
    </row>
    <row r="78" spans="2:43" x14ac:dyDescent="0.15">
      <c r="B78" s="354" t="str">
        <f t="shared" si="38"/>
        <v/>
      </c>
      <c r="C78" s="239" t="str">
        <f t="shared" si="39"/>
        <v/>
      </c>
      <c r="D78" s="239" t="str">
        <f t="shared" si="34"/>
        <v/>
      </c>
      <c r="E78" s="248" t="str">
        <f t="shared" si="24"/>
        <v/>
      </c>
      <c r="F78" s="1045" t="str">
        <f t="shared" si="25"/>
        <v/>
      </c>
      <c r="G78" s="184" t="str">
        <f t="shared" si="26"/>
        <v/>
      </c>
      <c r="H78" s="941" t="e">
        <f t="shared" si="40"/>
        <v>#VALUE!</v>
      </c>
      <c r="I78" s="353" t="e">
        <f t="shared" si="41"/>
        <v>#VALUE!</v>
      </c>
      <c r="J78" s="239"/>
      <c r="K78" s="477" t="str">
        <f t="shared" si="29"/>
        <v/>
      </c>
      <c r="L78" s="246" t="str">
        <f t="shared" si="35"/>
        <v/>
      </c>
      <c r="M78" s="246" t="str">
        <f t="shared" si="36"/>
        <v/>
      </c>
      <c r="N78" s="246" t="str">
        <f t="shared" si="37"/>
        <v/>
      </c>
      <c r="O78" s="69"/>
      <c r="P78" s="69"/>
      <c r="Q78" s="69"/>
      <c r="R78" s="470"/>
      <c r="S78" s="69"/>
      <c r="T78" s="69"/>
      <c r="U78" s="69"/>
      <c r="V78" s="69"/>
      <c r="W78" s="69"/>
      <c r="X78" s="69"/>
      <c r="Y78" s="69"/>
      <c r="Z78" s="69"/>
      <c r="AA78" s="69"/>
      <c r="AB78" s="69"/>
      <c r="AC78" s="69"/>
      <c r="AD78" s="69"/>
      <c r="AE78" s="69"/>
      <c r="AF78" s="69"/>
      <c r="AG78" s="69"/>
      <c r="AH78" s="69"/>
      <c r="AI78" s="69"/>
      <c r="AJ78" s="69"/>
      <c r="AK78" s="193" t="e">
        <f t="shared" si="42"/>
        <v>#VALUE!</v>
      </c>
      <c r="AL78" s="461" t="e">
        <f t="shared" si="43"/>
        <v>#VALUE!</v>
      </c>
      <c r="AM78" s="461" t="e">
        <f t="shared" si="44"/>
        <v>#VALUE!</v>
      </c>
      <c r="AN78" s="194" t="e">
        <f t="shared" si="45"/>
        <v>#VALUE!</v>
      </c>
      <c r="AO78" s="462"/>
      <c r="AP78" s="462"/>
      <c r="AQ78" s="441"/>
    </row>
    <row r="79" spans="2:43" x14ac:dyDescent="0.15">
      <c r="B79" s="354" t="str">
        <f t="shared" si="38"/>
        <v/>
      </c>
      <c r="C79" s="239" t="str">
        <f t="shared" si="39"/>
        <v/>
      </c>
      <c r="D79" s="239" t="str">
        <f t="shared" si="34"/>
        <v/>
      </c>
      <c r="E79" s="248" t="str">
        <f t="shared" si="24"/>
        <v/>
      </c>
      <c r="F79" s="1045" t="str">
        <f t="shared" si="25"/>
        <v/>
      </c>
      <c r="G79" s="184" t="str">
        <f t="shared" si="26"/>
        <v/>
      </c>
      <c r="H79" s="941" t="e">
        <f t="shared" si="40"/>
        <v>#VALUE!</v>
      </c>
      <c r="I79" s="353" t="e">
        <f t="shared" si="41"/>
        <v>#VALUE!</v>
      </c>
      <c r="J79" s="239"/>
      <c r="K79" s="477" t="str">
        <f t="shared" si="29"/>
        <v/>
      </c>
      <c r="L79" s="246" t="str">
        <f t="shared" si="35"/>
        <v/>
      </c>
      <c r="M79" s="246" t="str">
        <f t="shared" si="36"/>
        <v/>
      </c>
      <c r="N79" s="246" t="str">
        <f t="shared" si="37"/>
        <v/>
      </c>
      <c r="O79" s="69"/>
      <c r="P79" s="69"/>
      <c r="Q79" s="69"/>
      <c r="R79" s="470"/>
      <c r="S79" s="69"/>
      <c r="T79" s="69"/>
      <c r="U79" s="69"/>
      <c r="V79" s="69"/>
      <c r="W79" s="69"/>
      <c r="X79" s="69"/>
      <c r="Y79" s="69"/>
      <c r="Z79" s="69"/>
      <c r="AA79" s="69"/>
      <c r="AB79" s="69"/>
      <c r="AC79" s="69"/>
      <c r="AD79" s="69"/>
      <c r="AE79" s="69"/>
      <c r="AF79" s="69"/>
      <c r="AG79" s="69"/>
      <c r="AH79" s="69"/>
      <c r="AI79" s="69"/>
      <c r="AJ79" s="69"/>
      <c r="AK79" s="193" t="e">
        <f t="shared" si="42"/>
        <v>#VALUE!</v>
      </c>
      <c r="AL79" s="461" t="e">
        <f t="shared" si="43"/>
        <v>#VALUE!</v>
      </c>
      <c r="AM79" s="461" t="e">
        <f t="shared" si="44"/>
        <v>#VALUE!</v>
      </c>
      <c r="AN79" s="194" t="e">
        <f t="shared" si="45"/>
        <v>#VALUE!</v>
      </c>
      <c r="AO79" s="462"/>
      <c r="AP79" s="462"/>
      <c r="AQ79" s="441"/>
    </row>
    <row r="80" spans="2:43" x14ac:dyDescent="0.15">
      <c r="B80" s="354" t="str">
        <f t="shared" si="38"/>
        <v/>
      </c>
      <c r="C80" s="239" t="str">
        <f t="shared" si="39"/>
        <v/>
      </c>
      <c r="D80" s="239" t="str">
        <f t="shared" si="34"/>
        <v/>
      </c>
      <c r="E80" s="248" t="str">
        <f t="shared" si="24"/>
        <v/>
      </c>
      <c r="F80" s="1045" t="str">
        <f t="shared" si="25"/>
        <v/>
      </c>
      <c r="G80" s="184" t="str">
        <f t="shared" si="26"/>
        <v/>
      </c>
      <c r="H80" s="941" t="e">
        <f t="shared" si="40"/>
        <v>#VALUE!</v>
      </c>
      <c r="I80" s="353" t="e">
        <f t="shared" si="41"/>
        <v>#VALUE!</v>
      </c>
      <c r="J80" s="239"/>
      <c r="K80" s="477" t="str">
        <f t="shared" si="29"/>
        <v/>
      </c>
      <c r="L80" s="246" t="str">
        <f t="shared" si="35"/>
        <v/>
      </c>
      <c r="M80" s="246" t="str">
        <f t="shared" si="36"/>
        <v/>
      </c>
      <c r="N80" s="246" t="str">
        <f t="shared" si="37"/>
        <v/>
      </c>
      <c r="O80" s="69"/>
      <c r="P80" s="69"/>
      <c r="Q80" s="69"/>
      <c r="R80" s="470"/>
      <c r="S80" s="69"/>
      <c r="T80" s="69"/>
      <c r="U80" s="69"/>
      <c r="V80" s="69"/>
      <c r="W80" s="69"/>
      <c r="X80" s="69"/>
      <c r="Y80" s="69"/>
      <c r="Z80" s="69"/>
      <c r="AA80" s="69"/>
      <c r="AB80" s="69"/>
      <c r="AC80" s="69"/>
      <c r="AD80" s="69"/>
      <c r="AE80" s="69"/>
      <c r="AF80" s="69"/>
      <c r="AG80" s="69"/>
      <c r="AH80" s="69"/>
      <c r="AI80" s="69"/>
      <c r="AJ80" s="69"/>
      <c r="AK80" s="193" t="e">
        <f t="shared" si="42"/>
        <v>#VALUE!</v>
      </c>
      <c r="AL80" s="461" t="e">
        <f t="shared" si="43"/>
        <v>#VALUE!</v>
      </c>
      <c r="AM80" s="461" t="e">
        <f t="shared" si="44"/>
        <v>#VALUE!</v>
      </c>
      <c r="AN80" s="194" t="e">
        <f t="shared" si="45"/>
        <v>#VALUE!</v>
      </c>
      <c r="AO80" s="462"/>
      <c r="AP80" s="462"/>
      <c r="AQ80" s="441"/>
    </row>
    <row r="81" spans="2:43" x14ac:dyDescent="0.15">
      <c r="B81" s="354" t="str">
        <f t="shared" si="38"/>
        <v/>
      </c>
      <c r="C81" s="239" t="str">
        <f t="shared" si="39"/>
        <v/>
      </c>
      <c r="D81" s="239" t="str">
        <f t="shared" si="34"/>
        <v/>
      </c>
      <c r="E81" s="248" t="str">
        <f t="shared" si="24"/>
        <v/>
      </c>
      <c r="F81" s="1045" t="str">
        <f t="shared" si="25"/>
        <v/>
      </c>
      <c r="G81" s="184" t="str">
        <f t="shared" si="26"/>
        <v/>
      </c>
      <c r="H81" s="941" t="e">
        <f t="shared" si="40"/>
        <v>#VALUE!</v>
      </c>
      <c r="I81" s="353" t="e">
        <f t="shared" si="41"/>
        <v>#VALUE!</v>
      </c>
      <c r="J81" s="239"/>
      <c r="K81" s="477" t="str">
        <f t="shared" si="29"/>
        <v/>
      </c>
      <c r="L81" s="246" t="str">
        <f t="shared" si="35"/>
        <v/>
      </c>
      <c r="M81" s="246" t="str">
        <f t="shared" si="36"/>
        <v/>
      </c>
      <c r="N81" s="246" t="str">
        <f t="shared" si="37"/>
        <v/>
      </c>
      <c r="O81" s="69"/>
      <c r="P81" s="69"/>
      <c r="Q81" s="69"/>
      <c r="R81" s="470"/>
      <c r="S81" s="69"/>
      <c r="T81" s="69"/>
      <c r="U81" s="69"/>
      <c r="V81" s="69"/>
      <c r="W81" s="69"/>
      <c r="X81" s="69"/>
      <c r="Y81" s="69"/>
      <c r="Z81" s="69"/>
      <c r="AA81" s="69"/>
      <c r="AB81" s="69"/>
      <c r="AC81" s="69"/>
      <c r="AD81" s="69"/>
      <c r="AE81" s="69"/>
      <c r="AF81" s="69"/>
      <c r="AG81" s="69"/>
      <c r="AH81" s="69"/>
      <c r="AI81" s="69"/>
      <c r="AJ81" s="69"/>
      <c r="AK81" s="193" t="e">
        <f>+W10</f>
        <v>#VALUE!</v>
      </c>
      <c r="AL81" s="461" t="e">
        <f t="shared" si="43"/>
        <v>#VALUE!</v>
      </c>
      <c r="AM81" s="461" t="e">
        <f t="shared" si="44"/>
        <v>#VALUE!</v>
      </c>
      <c r="AN81" s="194" t="e">
        <f t="shared" si="45"/>
        <v>#VALUE!</v>
      </c>
      <c r="AO81" s="462"/>
      <c r="AP81" s="462"/>
      <c r="AQ81" s="441"/>
    </row>
    <row r="82" spans="2:43" x14ac:dyDescent="0.15">
      <c r="B82" s="354" t="str">
        <f t="shared" si="38"/>
        <v/>
      </c>
      <c r="C82" s="239" t="str">
        <f t="shared" si="39"/>
        <v/>
      </c>
      <c r="D82" s="239" t="str">
        <f t="shared" si="34"/>
        <v/>
      </c>
      <c r="E82" s="248" t="str">
        <f t="shared" si="24"/>
        <v/>
      </c>
      <c r="F82" s="1045" t="str">
        <f t="shared" si="25"/>
        <v/>
      </c>
      <c r="G82" s="184" t="str">
        <f t="shared" si="26"/>
        <v/>
      </c>
      <c r="H82" s="941" t="e">
        <f t="shared" si="40"/>
        <v>#VALUE!</v>
      </c>
      <c r="I82" s="353" t="e">
        <f t="shared" si="41"/>
        <v>#VALUE!</v>
      </c>
      <c r="J82" s="239"/>
      <c r="K82" s="477" t="str">
        <f t="shared" si="29"/>
        <v/>
      </c>
      <c r="L82" s="246" t="str">
        <f t="shared" si="35"/>
        <v/>
      </c>
      <c r="M82" s="246" t="str">
        <f t="shared" si="36"/>
        <v/>
      </c>
      <c r="N82" s="246" t="str">
        <f t="shared" si="37"/>
        <v/>
      </c>
      <c r="O82" s="69"/>
      <c r="P82" s="69"/>
      <c r="Q82" s="69"/>
      <c r="R82" s="470"/>
      <c r="S82" s="69"/>
      <c r="T82" s="69"/>
      <c r="U82" s="69"/>
      <c r="V82" s="69"/>
      <c r="W82" s="69"/>
      <c r="X82" s="69"/>
      <c r="Y82" s="69"/>
      <c r="Z82" s="69"/>
      <c r="AA82" s="69"/>
      <c r="AB82" s="69"/>
      <c r="AC82" s="69"/>
      <c r="AD82" s="69"/>
      <c r="AE82" s="69"/>
      <c r="AF82" s="69"/>
      <c r="AG82" s="69"/>
      <c r="AH82" s="69"/>
      <c r="AI82" s="69"/>
      <c r="AJ82" s="69"/>
      <c r="AK82" s="193" t="e">
        <f>+W11</f>
        <v>#VALUE!</v>
      </c>
      <c r="AL82" s="461" t="e">
        <f t="shared" si="43"/>
        <v>#VALUE!</v>
      </c>
      <c r="AM82" s="461" t="e">
        <f t="shared" si="44"/>
        <v>#VALUE!</v>
      </c>
      <c r="AN82" s="194" t="e">
        <f t="shared" si="45"/>
        <v>#VALUE!</v>
      </c>
      <c r="AO82" s="462"/>
      <c r="AP82" s="462"/>
      <c r="AQ82" s="441"/>
    </row>
    <row r="83" spans="2:43" x14ac:dyDescent="0.15">
      <c r="B83" s="354" t="str">
        <f t="shared" si="38"/>
        <v/>
      </c>
      <c r="C83" s="239" t="str">
        <f t="shared" si="39"/>
        <v/>
      </c>
      <c r="D83" s="239" t="str">
        <f t="shared" si="34"/>
        <v/>
      </c>
      <c r="E83" s="248" t="str">
        <f t="shared" si="24"/>
        <v/>
      </c>
      <c r="F83" s="1045" t="str">
        <f t="shared" si="25"/>
        <v/>
      </c>
      <c r="G83" s="184" t="str">
        <f t="shared" si="26"/>
        <v/>
      </c>
      <c r="H83" s="941" t="e">
        <f t="shared" si="40"/>
        <v>#VALUE!</v>
      </c>
      <c r="I83" s="353" t="e">
        <f t="shared" si="41"/>
        <v>#VALUE!</v>
      </c>
      <c r="J83" s="239"/>
      <c r="K83" s="477" t="str">
        <f t="shared" si="29"/>
        <v/>
      </c>
      <c r="L83" s="246" t="str">
        <f t="shared" si="35"/>
        <v/>
      </c>
      <c r="M83" s="246" t="str">
        <f t="shared" si="36"/>
        <v/>
      </c>
      <c r="N83" s="246" t="str">
        <f t="shared" si="37"/>
        <v/>
      </c>
      <c r="O83" s="69"/>
      <c r="P83" s="69"/>
      <c r="Q83" s="69"/>
      <c r="R83" s="470"/>
      <c r="S83" s="69"/>
      <c r="T83" s="69"/>
      <c r="U83" s="69"/>
      <c r="V83" s="69"/>
      <c r="W83" s="69"/>
      <c r="X83" s="69"/>
      <c r="Y83" s="69"/>
      <c r="Z83" s="69"/>
      <c r="AA83" s="69"/>
      <c r="AB83" s="69"/>
      <c r="AC83" s="69"/>
      <c r="AD83" s="69"/>
      <c r="AE83" s="69"/>
      <c r="AF83" s="69"/>
      <c r="AG83" s="69"/>
      <c r="AH83" s="69"/>
      <c r="AI83" s="69"/>
      <c r="AJ83" s="69"/>
      <c r="AK83" s="193" t="e">
        <f t="shared" ref="AK83:AK92" si="46">+W13</f>
        <v>#VALUE!</v>
      </c>
      <c r="AL83" s="461" t="e">
        <f t="shared" si="43"/>
        <v>#VALUE!</v>
      </c>
      <c r="AM83" s="461" t="e">
        <f t="shared" si="44"/>
        <v>#VALUE!</v>
      </c>
      <c r="AN83" s="194" t="e">
        <f t="shared" si="45"/>
        <v>#VALUE!</v>
      </c>
      <c r="AO83" s="462"/>
      <c r="AP83" s="462"/>
      <c r="AQ83" s="441"/>
    </row>
    <row r="84" spans="2:43" x14ac:dyDescent="0.15">
      <c r="B84" s="354" t="str">
        <f t="shared" si="38"/>
        <v/>
      </c>
      <c r="C84" s="239" t="str">
        <f t="shared" si="39"/>
        <v/>
      </c>
      <c r="D84" s="239" t="str">
        <f t="shared" si="34"/>
        <v/>
      </c>
      <c r="E84" s="248" t="str">
        <f t="shared" si="24"/>
        <v/>
      </c>
      <c r="F84" s="1045" t="str">
        <f t="shared" si="25"/>
        <v/>
      </c>
      <c r="G84" s="184" t="str">
        <f t="shared" si="26"/>
        <v/>
      </c>
      <c r="H84" s="941" t="e">
        <f t="shared" si="40"/>
        <v>#VALUE!</v>
      </c>
      <c r="I84" s="353" t="e">
        <f t="shared" si="41"/>
        <v>#VALUE!</v>
      </c>
      <c r="J84" s="239"/>
      <c r="K84" s="477" t="str">
        <f t="shared" si="29"/>
        <v/>
      </c>
      <c r="L84" s="246" t="str">
        <f t="shared" si="35"/>
        <v/>
      </c>
      <c r="M84" s="246" t="str">
        <f t="shared" si="36"/>
        <v/>
      </c>
      <c r="N84" s="246" t="str">
        <f t="shared" si="37"/>
        <v/>
      </c>
      <c r="O84" s="69"/>
      <c r="P84" s="69"/>
      <c r="Q84" s="69"/>
      <c r="R84" s="470"/>
      <c r="S84" s="69"/>
      <c r="T84" s="69"/>
      <c r="U84" s="69"/>
      <c r="V84" s="69"/>
      <c r="W84" s="69"/>
      <c r="X84" s="69"/>
      <c r="Y84" s="69"/>
      <c r="Z84" s="69"/>
      <c r="AA84" s="69"/>
      <c r="AB84" s="69"/>
      <c r="AC84" s="69"/>
      <c r="AD84" s="69"/>
      <c r="AE84" s="69"/>
      <c r="AF84" s="69"/>
      <c r="AG84" s="69"/>
      <c r="AH84" s="69"/>
      <c r="AI84" s="69"/>
      <c r="AJ84" s="69"/>
      <c r="AK84" s="193" t="e">
        <f t="shared" si="46"/>
        <v>#VALUE!</v>
      </c>
      <c r="AL84" s="461" t="e">
        <f t="shared" si="43"/>
        <v>#VALUE!</v>
      </c>
      <c r="AM84" s="461" t="e">
        <f t="shared" si="44"/>
        <v>#VALUE!</v>
      </c>
      <c r="AN84" s="194" t="e">
        <f t="shared" si="45"/>
        <v>#VALUE!</v>
      </c>
      <c r="AO84" s="462"/>
      <c r="AP84" s="462"/>
      <c r="AQ84" s="441"/>
    </row>
    <row r="85" spans="2:43" x14ac:dyDescent="0.15">
      <c r="B85" s="354" t="str">
        <f t="shared" si="38"/>
        <v/>
      </c>
      <c r="C85" s="239" t="str">
        <f t="shared" si="39"/>
        <v/>
      </c>
      <c r="D85" s="239" t="str">
        <f t="shared" si="34"/>
        <v/>
      </c>
      <c r="E85" s="248" t="str">
        <f t="shared" si="24"/>
        <v/>
      </c>
      <c r="F85" s="1045" t="str">
        <f t="shared" si="25"/>
        <v/>
      </c>
      <c r="G85" s="184" t="str">
        <f t="shared" si="26"/>
        <v/>
      </c>
      <c r="H85" s="941" t="e">
        <f t="shared" si="40"/>
        <v>#VALUE!</v>
      </c>
      <c r="I85" s="353" t="e">
        <f t="shared" si="41"/>
        <v>#VALUE!</v>
      </c>
      <c r="J85" s="239"/>
      <c r="K85" s="477" t="str">
        <f t="shared" si="29"/>
        <v/>
      </c>
      <c r="L85" s="246" t="str">
        <f t="shared" si="35"/>
        <v/>
      </c>
      <c r="M85" s="246" t="str">
        <f t="shared" si="36"/>
        <v/>
      </c>
      <c r="N85" s="246" t="str">
        <f t="shared" si="37"/>
        <v/>
      </c>
      <c r="O85" s="69"/>
      <c r="P85" s="69"/>
      <c r="Q85" s="69"/>
      <c r="R85" s="470"/>
      <c r="S85" s="69"/>
      <c r="T85" s="69"/>
      <c r="U85" s="69"/>
      <c r="V85" s="69"/>
      <c r="W85" s="69"/>
      <c r="X85" s="69"/>
      <c r="Y85" s="69"/>
      <c r="Z85" s="69"/>
      <c r="AA85" s="69"/>
      <c r="AB85" s="69"/>
      <c r="AC85" s="69"/>
      <c r="AD85" s="69"/>
      <c r="AE85" s="69"/>
      <c r="AF85" s="69"/>
      <c r="AG85" s="69"/>
      <c r="AH85" s="69"/>
      <c r="AI85" s="69"/>
      <c r="AJ85" s="69"/>
      <c r="AK85" s="193" t="e">
        <f t="shared" si="46"/>
        <v>#VALUE!</v>
      </c>
      <c r="AL85" s="461" t="e">
        <f t="shared" si="43"/>
        <v>#VALUE!</v>
      </c>
      <c r="AM85" s="461" t="e">
        <f t="shared" si="44"/>
        <v>#VALUE!</v>
      </c>
      <c r="AN85" s="194" t="e">
        <f t="shared" si="45"/>
        <v>#VALUE!</v>
      </c>
      <c r="AO85" s="462"/>
      <c r="AP85" s="462"/>
      <c r="AQ85" s="441"/>
    </row>
    <row r="86" spans="2:43" x14ac:dyDescent="0.15">
      <c r="B86" s="354" t="str">
        <f t="shared" si="38"/>
        <v/>
      </c>
      <c r="C86" s="239" t="str">
        <f t="shared" si="39"/>
        <v/>
      </c>
      <c r="D86" s="239" t="str">
        <f t="shared" si="34"/>
        <v/>
      </c>
      <c r="E86" s="248" t="str">
        <f t="shared" si="24"/>
        <v/>
      </c>
      <c r="F86" s="1045" t="str">
        <f t="shared" si="25"/>
        <v/>
      </c>
      <c r="G86" s="184" t="str">
        <f t="shared" si="26"/>
        <v/>
      </c>
      <c r="H86" s="941" t="e">
        <f t="shared" si="40"/>
        <v>#VALUE!</v>
      </c>
      <c r="I86" s="353" t="e">
        <f t="shared" si="41"/>
        <v>#VALUE!</v>
      </c>
      <c r="J86" s="239"/>
      <c r="K86" s="477" t="str">
        <f t="shared" si="29"/>
        <v/>
      </c>
      <c r="L86" s="246" t="str">
        <f t="shared" si="35"/>
        <v/>
      </c>
      <c r="M86" s="246" t="str">
        <f t="shared" si="36"/>
        <v/>
      </c>
      <c r="N86" s="246" t="str">
        <f t="shared" si="37"/>
        <v/>
      </c>
      <c r="O86" s="69"/>
      <c r="P86" s="69"/>
      <c r="Q86" s="69"/>
      <c r="R86" s="470"/>
      <c r="S86" s="69"/>
      <c r="T86" s="69"/>
      <c r="U86" s="69"/>
      <c r="V86" s="69"/>
      <c r="W86" s="69"/>
      <c r="X86" s="69"/>
      <c r="Y86" s="69"/>
      <c r="Z86" s="69"/>
      <c r="AA86" s="69"/>
      <c r="AB86" s="69"/>
      <c r="AC86" s="69"/>
      <c r="AD86" s="69"/>
      <c r="AE86" s="69"/>
      <c r="AF86" s="69"/>
      <c r="AG86" s="69"/>
      <c r="AH86" s="69"/>
      <c r="AI86" s="69"/>
      <c r="AJ86" s="69"/>
      <c r="AK86" s="193" t="e">
        <f t="shared" si="46"/>
        <v>#VALUE!</v>
      </c>
      <c r="AL86" s="461" t="e">
        <f t="shared" si="43"/>
        <v>#VALUE!</v>
      </c>
      <c r="AM86" s="461" t="e">
        <f t="shared" si="44"/>
        <v>#VALUE!</v>
      </c>
      <c r="AN86" s="194" t="e">
        <f t="shared" si="45"/>
        <v>#VALUE!</v>
      </c>
      <c r="AO86" s="462"/>
      <c r="AP86" s="462"/>
      <c r="AQ86" s="441"/>
    </row>
    <row r="87" spans="2:43" x14ac:dyDescent="0.15">
      <c r="B87" s="354" t="str">
        <f t="shared" si="38"/>
        <v/>
      </c>
      <c r="C87" s="239" t="str">
        <f t="shared" si="39"/>
        <v/>
      </c>
      <c r="D87" s="239" t="str">
        <f t="shared" si="34"/>
        <v/>
      </c>
      <c r="E87" s="248" t="str">
        <f t="shared" si="24"/>
        <v/>
      </c>
      <c r="F87" s="1045" t="str">
        <f t="shared" si="25"/>
        <v/>
      </c>
      <c r="G87" s="184" t="str">
        <f t="shared" si="26"/>
        <v/>
      </c>
      <c r="H87" s="941" t="e">
        <f t="shared" si="40"/>
        <v>#VALUE!</v>
      </c>
      <c r="I87" s="353" t="e">
        <f t="shared" si="41"/>
        <v>#VALUE!</v>
      </c>
      <c r="J87" s="239"/>
      <c r="K87" s="477" t="str">
        <f t="shared" si="29"/>
        <v/>
      </c>
      <c r="L87" s="246" t="str">
        <f t="shared" si="35"/>
        <v/>
      </c>
      <c r="M87" s="246" t="str">
        <f t="shared" si="36"/>
        <v/>
      </c>
      <c r="N87" s="246" t="str">
        <f t="shared" si="37"/>
        <v/>
      </c>
      <c r="O87" s="69"/>
      <c r="P87" s="69"/>
      <c r="Q87" s="69"/>
      <c r="R87" s="470"/>
      <c r="S87" s="69"/>
      <c r="T87" s="69"/>
      <c r="U87" s="69"/>
      <c r="V87" s="69"/>
      <c r="W87" s="69"/>
      <c r="X87" s="69"/>
      <c r="Y87" s="69"/>
      <c r="Z87" s="69"/>
      <c r="AA87" s="69"/>
      <c r="AB87" s="69"/>
      <c r="AC87" s="69"/>
      <c r="AD87" s="69"/>
      <c r="AE87" s="69"/>
      <c r="AF87" s="69"/>
      <c r="AG87" s="69"/>
      <c r="AH87" s="69"/>
      <c r="AI87" s="69"/>
      <c r="AJ87" s="69"/>
      <c r="AK87" s="193" t="e">
        <f t="shared" si="46"/>
        <v>#VALUE!</v>
      </c>
      <c r="AL87" s="461" t="e">
        <f t="shared" si="43"/>
        <v>#VALUE!</v>
      </c>
      <c r="AM87" s="461" t="e">
        <f t="shared" si="44"/>
        <v>#VALUE!</v>
      </c>
      <c r="AN87" s="194" t="e">
        <f t="shared" si="45"/>
        <v>#VALUE!</v>
      </c>
      <c r="AO87" s="462"/>
      <c r="AP87" s="462"/>
      <c r="AQ87" s="441"/>
    </row>
    <row r="88" spans="2:43" x14ac:dyDescent="0.15">
      <c r="B88" s="354" t="str">
        <f t="shared" si="38"/>
        <v/>
      </c>
      <c r="C88" s="239" t="str">
        <f t="shared" si="39"/>
        <v/>
      </c>
      <c r="D88" s="239" t="str">
        <f t="shared" si="34"/>
        <v/>
      </c>
      <c r="E88" s="248" t="str">
        <f t="shared" si="24"/>
        <v/>
      </c>
      <c r="F88" s="1045" t="str">
        <f t="shared" si="25"/>
        <v/>
      </c>
      <c r="G88" s="184" t="str">
        <f t="shared" si="26"/>
        <v/>
      </c>
      <c r="H88" s="941" t="e">
        <f t="shared" si="40"/>
        <v>#VALUE!</v>
      </c>
      <c r="I88" s="353" t="e">
        <f t="shared" si="41"/>
        <v>#VALUE!</v>
      </c>
      <c r="J88" s="239"/>
      <c r="K88" s="477" t="str">
        <f t="shared" si="29"/>
        <v/>
      </c>
      <c r="L88" s="246" t="str">
        <f t="shared" si="35"/>
        <v/>
      </c>
      <c r="M88" s="246" t="str">
        <f t="shared" si="36"/>
        <v/>
      </c>
      <c r="N88" s="246" t="str">
        <f t="shared" si="37"/>
        <v/>
      </c>
      <c r="O88" s="69"/>
      <c r="P88" s="69"/>
      <c r="Q88" s="69"/>
      <c r="R88" s="470"/>
      <c r="S88" s="69"/>
      <c r="T88" s="69"/>
      <c r="U88" s="69"/>
      <c r="V88" s="69"/>
      <c r="W88" s="69"/>
      <c r="X88" s="69"/>
      <c r="Y88" s="69"/>
      <c r="Z88" s="69"/>
      <c r="AA88" s="69"/>
      <c r="AB88" s="69"/>
      <c r="AC88" s="69"/>
      <c r="AD88" s="69"/>
      <c r="AE88" s="69"/>
      <c r="AF88" s="69"/>
      <c r="AG88" s="69"/>
      <c r="AH88" s="69"/>
      <c r="AI88" s="69"/>
      <c r="AJ88" s="69"/>
      <c r="AK88" s="193" t="e">
        <f t="shared" si="46"/>
        <v>#VALUE!</v>
      </c>
      <c r="AL88" s="461" t="e">
        <f t="shared" si="43"/>
        <v>#VALUE!</v>
      </c>
      <c r="AM88" s="461" t="e">
        <f t="shared" si="44"/>
        <v>#VALUE!</v>
      </c>
      <c r="AN88" s="194" t="e">
        <f t="shared" si="45"/>
        <v>#VALUE!</v>
      </c>
      <c r="AO88" s="462"/>
      <c r="AP88" s="462"/>
      <c r="AQ88" s="441"/>
    </row>
    <row r="89" spans="2:43" x14ac:dyDescent="0.15">
      <c r="B89" s="354" t="str">
        <f t="shared" si="38"/>
        <v/>
      </c>
      <c r="C89" s="239" t="str">
        <f t="shared" si="39"/>
        <v/>
      </c>
      <c r="D89" s="239" t="str">
        <f t="shared" si="34"/>
        <v/>
      </c>
      <c r="E89" s="248" t="str">
        <f t="shared" si="24"/>
        <v/>
      </c>
      <c r="F89" s="1045" t="str">
        <f t="shared" si="25"/>
        <v/>
      </c>
      <c r="G89" s="184" t="str">
        <f t="shared" si="26"/>
        <v/>
      </c>
      <c r="H89" s="941" t="e">
        <f t="shared" si="40"/>
        <v>#VALUE!</v>
      </c>
      <c r="I89" s="353" t="e">
        <f t="shared" si="41"/>
        <v>#VALUE!</v>
      </c>
      <c r="J89" s="239"/>
      <c r="K89" s="477" t="str">
        <f t="shared" si="29"/>
        <v/>
      </c>
      <c r="L89" s="246" t="str">
        <f t="shared" si="35"/>
        <v/>
      </c>
      <c r="M89" s="246" t="str">
        <f t="shared" si="36"/>
        <v/>
      </c>
      <c r="N89" s="246" t="str">
        <f t="shared" si="37"/>
        <v/>
      </c>
      <c r="O89" s="69"/>
      <c r="P89" s="69"/>
      <c r="Q89" s="69"/>
      <c r="R89" s="470"/>
      <c r="S89" s="69"/>
      <c r="T89" s="69"/>
      <c r="U89" s="69"/>
      <c r="V89" s="69"/>
      <c r="W89" s="69"/>
      <c r="X89" s="69"/>
      <c r="Y89" s="69"/>
      <c r="Z89" s="69"/>
      <c r="AA89" s="69"/>
      <c r="AB89" s="69"/>
      <c r="AC89" s="69"/>
      <c r="AD89" s="69"/>
      <c r="AE89" s="69"/>
      <c r="AF89" s="69"/>
      <c r="AG89" s="69"/>
      <c r="AH89" s="69"/>
      <c r="AI89" s="69"/>
      <c r="AJ89" s="69"/>
      <c r="AK89" s="193" t="e">
        <f t="shared" si="46"/>
        <v>#VALUE!</v>
      </c>
      <c r="AL89" s="461" t="e">
        <f t="shared" si="43"/>
        <v>#VALUE!</v>
      </c>
      <c r="AM89" s="461" t="e">
        <f t="shared" si="44"/>
        <v>#VALUE!</v>
      </c>
      <c r="AN89" s="194" t="e">
        <f t="shared" si="45"/>
        <v>#VALUE!</v>
      </c>
      <c r="AO89" s="462"/>
      <c r="AP89" s="462"/>
      <c r="AQ89" s="441"/>
    </row>
    <row r="90" spans="2:43" x14ac:dyDescent="0.15">
      <c r="B90" s="354" t="str">
        <f t="shared" si="38"/>
        <v/>
      </c>
      <c r="C90" s="239" t="str">
        <f t="shared" si="39"/>
        <v/>
      </c>
      <c r="D90" s="239" t="str">
        <f t="shared" si="34"/>
        <v/>
      </c>
      <c r="E90" s="248" t="str">
        <f t="shared" si="24"/>
        <v/>
      </c>
      <c r="F90" s="1045" t="str">
        <f t="shared" si="25"/>
        <v/>
      </c>
      <c r="G90" s="184" t="str">
        <f t="shared" si="26"/>
        <v/>
      </c>
      <c r="H90" s="941" t="e">
        <f t="shared" si="40"/>
        <v>#VALUE!</v>
      </c>
      <c r="I90" s="353" t="e">
        <f t="shared" si="41"/>
        <v>#VALUE!</v>
      </c>
      <c r="J90" s="239"/>
      <c r="K90" s="477" t="str">
        <f t="shared" si="29"/>
        <v/>
      </c>
      <c r="L90" s="246" t="str">
        <f t="shared" si="35"/>
        <v/>
      </c>
      <c r="M90" s="246" t="str">
        <f t="shared" si="36"/>
        <v/>
      </c>
      <c r="N90" s="246" t="str">
        <f t="shared" si="37"/>
        <v/>
      </c>
      <c r="O90" s="69"/>
      <c r="P90" s="69"/>
      <c r="Q90" s="69"/>
      <c r="R90" s="470"/>
      <c r="S90" s="69"/>
      <c r="T90" s="69"/>
      <c r="U90" s="69"/>
      <c r="V90" s="69"/>
      <c r="W90" s="69"/>
      <c r="X90" s="69"/>
      <c r="Y90" s="69"/>
      <c r="Z90" s="69"/>
      <c r="AA90" s="69"/>
      <c r="AB90" s="69"/>
      <c r="AC90" s="69"/>
      <c r="AD90" s="69"/>
      <c r="AE90" s="69"/>
      <c r="AF90" s="69"/>
      <c r="AG90" s="69"/>
      <c r="AH90" s="69"/>
      <c r="AI90" s="69"/>
      <c r="AJ90" s="69"/>
      <c r="AK90" s="193" t="e">
        <f t="shared" si="46"/>
        <v>#VALUE!</v>
      </c>
      <c r="AL90" s="461" t="e">
        <f t="shared" si="43"/>
        <v>#VALUE!</v>
      </c>
      <c r="AM90" s="461" t="e">
        <f t="shared" si="44"/>
        <v>#VALUE!</v>
      </c>
      <c r="AN90" s="194" t="e">
        <f t="shared" si="45"/>
        <v>#VALUE!</v>
      </c>
      <c r="AO90" s="462"/>
      <c r="AP90" s="462"/>
      <c r="AQ90" s="441"/>
    </row>
    <row r="91" spans="2:43" x14ac:dyDescent="0.15">
      <c r="B91" s="354" t="str">
        <f t="shared" si="38"/>
        <v/>
      </c>
      <c r="C91" s="239" t="str">
        <f t="shared" si="39"/>
        <v/>
      </c>
      <c r="D91" s="239" t="str">
        <f t="shared" si="34"/>
        <v/>
      </c>
      <c r="E91" s="248" t="str">
        <f t="shared" si="24"/>
        <v/>
      </c>
      <c r="F91" s="1045" t="str">
        <f t="shared" si="25"/>
        <v/>
      </c>
      <c r="G91" s="184" t="str">
        <f t="shared" si="26"/>
        <v/>
      </c>
      <c r="H91" s="941" t="e">
        <f t="shared" si="40"/>
        <v>#VALUE!</v>
      </c>
      <c r="I91" s="353" t="e">
        <f t="shared" si="41"/>
        <v>#VALUE!</v>
      </c>
      <c r="J91" s="239"/>
      <c r="K91" s="477" t="str">
        <f t="shared" si="29"/>
        <v/>
      </c>
      <c r="L91" s="246" t="str">
        <f t="shared" si="35"/>
        <v/>
      </c>
      <c r="M91" s="246" t="str">
        <f t="shared" si="36"/>
        <v/>
      </c>
      <c r="N91" s="246" t="str">
        <f t="shared" si="37"/>
        <v/>
      </c>
      <c r="O91" s="69"/>
      <c r="P91" s="69"/>
      <c r="Q91" s="69"/>
      <c r="R91" s="470"/>
      <c r="S91" s="69"/>
      <c r="T91" s="69"/>
      <c r="U91" s="69"/>
      <c r="V91" s="69"/>
      <c r="W91" s="69"/>
      <c r="X91" s="69"/>
      <c r="Y91" s="69"/>
      <c r="Z91" s="69"/>
      <c r="AA91" s="69"/>
      <c r="AB91" s="69"/>
      <c r="AC91" s="69"/>
      <c r="AD91" s="69"/>
      <c r="AE91" s="69"/>
      <c r="AF91" s="69"/>
      <c r="AG91" s="69"/>
      <c r="AH91" s="69"/>
      <c r="AI91" s="69"/>
      <c r="AJ91" s="69"/>
      <c r="AK91" s="193" t="e">
        <f t="shared" si="46"/>
        <v>#VALUE!</v>
      </c>
      <c r="AL91" s="461" t="e">
        <f t="shared" si="43"/>
        <v>#VALUE!</v>
      </c>
      <c r="AM91" s="461" t="e">
        <f t="shared" si="44"/>
        <v>#VALUE!</v>
      </c>
      <c r="AN91" s="194" t="e">
        <f t="shared" si="45"/>
        <v>#VALUE!</v>
      </c>
      <c r="AO91" s="462"/>
      <c r="AP91" s="462"/>
      <c r="AQ91" s="441"/>
    </row>
    <row r="92" spans="2:43" x14ac:dyDescent="0.15">
      <c r="B92" s="354" t="str">
        <f t="shared" si="38"/>
        <v/>
      </c>
      <c r="C92" s="239" t="str">
        <f t="shared" si="39"/>
        <v/>
      </c>
      <c r="D92" s="239" t="str">
        <f t="shared" si="34"/>
        <v/>
      </c>
      <c r="E92" s="248" t="str">
        <f t="shared" si="24"/>
        <v/>
      </c>
      <c r="F92" s="1045" t="str">
        <f t="shared" si="25"/>
        <v/>
      </c>
      <c r="G92" s="184" t="str">
        <f t="shared" si="26"/>
        <v/>
      </c>
      <c r="H92" s="941" t="e">
        <f t="shared" si="40"/>
        <v>#VALUE!</v>
      </c>
      <c r="I92" s="353" t="e">
        <f t="shared" si="41"/>
        <v>#VALUE!</v>
      </c>
      <c r="J92" s="239"/>
      <c r="K92" s="477" t="str">
        <f t="shared" si="29"/>
        <v/>
      </c>
      <c r="L92" s="246" t="str">
        <f t="shared" si="35"/>
        <v/>
      </c>
      <c r="M92" s="246" t="str">
        <f t="shared" si="36"/>
        <v/>
      </c>
      <c r="N92" s="246" t="str">
        <f t="shared" si="37"/>
        <v/>
      </c>
      <c r="O92" s="69"/>
      <c r="P92" s="69"/>
      <c r="Q92" s="69"/>
      <c r="R92" s="470"/>
      <c r="S92" s="69"/>
      <c r="T92" s="69"/>
      <c r="U92" s="69"/>
      <c r="V92" s="69"/>
      <c r="W92" s="69"/>
      <c r="X92" s="69"/>
      <c r="Y92" s="69"/>
      <c r="Z92" s="69"/>
      <c r="AA92" s="69"/>
      <c r="AB92" s="69"/>
      <c r="AC92" s="69"/>
      <c r="AD92" s="69"/>
      <c r="AE92" s="69"/>
      <c r="AF92" s="69"/>
      <c r="AG92" s="69"/>
      <c r="AH92" s="69"/>
      <c r="AI92" s="69"/>
      <c r="AJ92" s="69"/>
      <c r="AK92" s="193" t="e">
        <f t="shared" si="46"/>
        <v>#VALUE!</v>
      </c>
      <c r="AL92" s="461" t="e">
        <f t="shared" si="43"/>
        <v>#VALUE!</v>
      </c>
      <c r="AM92" s="461" t="e">
        <f t="shared" si="44"/>
        <v>#VALUE!</v>
      </c>
      <c r="AN92" s="194" t="e">
        <f t="shared" si="45"/>
        <v>#VALUE!</v>
      </c>
      <c r="AO92" s="462"/>
      <c r="AP92" s="462"/>
      <c r="AQ92" s="441"/>
    </row>
    <row r="93" spans="2:43" x14ac:dyDescent="0.15">
      <c r="B93" s="354" t="str">
        <f t="shared" si="38"/>
        <v/>
      </c>
      <c r="C93" s="239" t="str">
        <f t="shared" si="39"/>
        <v/>
      </c>
      <c r="D93" s="239" t="str">
        <f t="shared" si="34"/>
        <v/>
      </c>
      <c r="E93" s="248" t="str">
        <f t="shared" si="24"/>
        <v/>
      </c>
      <c r="F93" s="1045" t="str">
        <f t="shared" si="25"/>
        <v/>
      </c>
      <c r="G93" s="184" t="str">
        <f t="shared" si="26"/>
        <v/>
      </c>
      <c r="H93" s="941" t="e">
        <f t="shared" si="40"/>
        <v>#VALUE!</v>
      </c>
      <c r="I93" s="353" t="e">
        <f t="shared" si="41"/>
        <v>#VALUE!</v>
      </c>
      <c r="J93" s="239"/>
      <c r="K93" s="477" t="str">
        <f t="shared" si="29"/>
        <v/>
      </c>
      <c r="L93" s="246" t="str">
        <f t="shared" si="35"/>
        <v/>
      </c>
      <c r="M93" s="246" t="str">
        <f t="shared" si="36"/>
        <v/>
      </c>
      <c r="N93" s="246" t="str">
        <f t="shared" si="37"/>
        <v/>
      </c>
      <c r="O93" s="69"/>
      <c r="P93" s="69"/>
      <c r="Q93" s="69"/>
      <c r="R93" s="470"/>
      <c r="S93" s="69"/>
      <c r="T93" s="69"/>
      <c r="U93" s="69"/>
      <c r="V93" s="69"/>
      <c r="W93" s="69"/>
      <c r="X93" s="69"/>
      <c r="Y93" s="69"/>
      <c r="Z93" s="69"/>
      <c r="AA93" s="69"/>
      <c r="AB93" s="69"/>
      <c r="AC93" s="69"/>
      <c r="AD93" s="69"/>
      <c r="AE93" s="69"/>
      <c r="AF93" s="69"/>
      <c r="AG93" s="69"/>
      <c r="AH93" s="69"/>
      <c r="AI93" s="69"/>
      <c r="AJ93" s="69"/>
      <c r="AK93" s="193" t="e">
        <f>+X10</f>
        <v>#VALUE!</v>
      </c>
      <c r="AL93" s="461" t="e">
        <f t="shared" si="43"/>
        <v>#VALUE!</v>
      </c>
      <c r="AM93" s="461" t="e">
        <f t="shared" si="44"/>
        <v>#VALUE!</v>
      </c>
      <c r="AN93" s="194" t="e">
        <f t="shared" si="45"/>
        <v>#VALUE!</v>
      </c>
      <c r="AO93" s="462"/>
      <c r="AP93" s="462"/>
      <c r="AQ93" s="441"/>
    </row>
    <row r="94" spans="2:43" x14ac:dyDescent="0.15">
      <c r="B94" s="354" t="str">
        <f t="shared" si="38"/>
        <v/>
      </c>
      <c r="C94" s="239" t="str">
        <f t="shared" si="39"/>
        <v/>
      </c>
      <c r="D94" s="239" t="str">
        <f t="shared" si="34"/>
        <v/>
      </c>
      <c r="E94" s="248" t="str">
        <f t="shared" si="24"/>
        <v/>
      </c>
      <c r="F94" s="1045" t="str">
        <f t="shared" si="25"/>
        <v/>
      </c>
      <c r="G94" s="184" t="str">
        <f t="shared" si="26"/>
        <v/>
      </c>
      <c r="H94" s="941" t="e">
        <f t="shared" si="40"/>
        <v>#VALUE!</v>
      </c>
      <c r="I94" s="353" t="e">
        <f t="shared" si="41"/>
        <v>#VALUE!</v>
      </c>
      <c r="J94" s="239"/>
      <c r="K94" s="477" t="str">
        <f t="shared" si="29"/>
        <v/>
      </c>
      <c r="L94" s="246" t="str">
        <f t="shared" si="35"/>
        <v/>
      </c>
      <c r="M94" s="246" t="str">
        <f t="shared" si="36"/>
        <v/>
      </c>
      <c r="N94" s="246" t="str">
        <f t="shared" si="37"/>
        <v/>
      </c>
      <c r="O94" s="69"/>
      <c r="P94" s="69"/>
      <c r="Q94" s="69"/>
      <c r="R94" s="470"/>
      <c r="S94" s="69"/>
      <c r="T94" s="69"/>
      <c r="U94" s="69"/>
      <c r="V94" s="69"/>
      <c r="W94" s="69"/>
      <c r="X94" s="69"/>
      <c r="Y94" s="69"/>
      <c r="Z94" s="69"/>
      <c r="AA94" s="69"/>
      <c r="AB94" s="69"/>
      <c r="AC94" s="69"/>
      <c r="AD94" s="69"/>
      <c r="AE94" s="69"/>
      <c r="AF94" s="69"/>
      <c r="AG94" s="69"/>
      <c r="AH94" s="69"/>
      <c r="AI94" s="69"/>
      <c r="AJ94" s="69"/>
      <c r="AK94" s="193" t="e">
        <f>+X11</f>
        <v>#VALUE!</v>
      </c>
      <c r="AL94" s="461" t="e">
        <f t="shared" si="43"/>
        <v>#VALUE!</v>
      </c>
      <c r="AM94" s="461" t="e">
        <f t="shared" si="44"/>
        <v>#VALUE!</v>
      </c>
      <c r="AN94" s="194" t="e">
        <f t="shared" si="45"/>
        <v>#VALUE!</v>
      </c>
      <c r="AO94" s="462"/>
      <c r="AP94" s="462"/>
      <c r="AQ94" s="441"/>
    </row>
    <row r="95" spans="2:43" x14ac:dyDescent="0.15">
      <c r="B95" s="354" t="str">
        <f t="shared" si="38"/>
        <v/>
      </c>
      <c r="C95" s="239" t="str">
        <f t="shared" si="39"/>
        <v/>
      </c>
      <c r="D95" s="239" t="str">
        <f t="shared" si="34"/>
        <v/>
      </c>
      <c r="E95" s="248" t="str">
        <f t="shared" si="24"/>
        <v/>
      </c>
      <c r="F95" s="1045" t="str">
        <f t="shared" si="25"/>
        <v/>
      </c>
      <c r="G95" s="184" t="str">
        <f t="shared" si="26"/>
        <v/>
      </c>
      <c r="H95" s="941" t="e">
        <f t="shared" si="40"/>
        <v>#VALUE!</v>
      </c>
      <c r="I95" s="353" t="e">
        <f t="shared" si="41"/>
        <v>#VALUE!</v>
      </c>
      <c r="J95" s="239"/>
      <c r="K95" s="477" t="str">
        <f t="shared" si="29"/>
        <v/>
      </c>
      <c r="L95" s="246" t="str">
        <f t="shared" si="35"/>
        <v/>
      </c>
      <c r="M95" s="246" t="str">
        <f t="shared" si="36"/>
        <v/>
      </c>
      <c r="N95" s="246" t="str">
        <f t="shared" si="37"/>
        <v/>
      </c>
      <c r="O95" s="69"/>
      <c r="P95" s="69"/>
      <c r="Q95" s="69"/>
      <c r="R95" s="470"/>
      <c r="S95" s="69"/>
      <c r="T95" s="69"/>
      <c r="U95" s="69"/>
      <c r="V95" s="69"/>
      <c r="W95" s="69"/>
      <c r="X95" s="69"/>
      <c r="Y95" s="69"/>
      <c r="Z95" s="69"/>
      <c r="AA95" s="69"/>
      <c r="AB95" s="69"/>
      <c r="AC95" s="69"/>
      <c r="AD95" s="69"/>
      <c r="AE95" s="69"/>
      <c r="AF95" s="69"/>
      <c r="AG95" s="69"/>
      <c r="AH95" s="69"/>
      <c r="AI95" s="69"/>
      <c r="AJ95" s="69"/>
      <c r="AK95" s="193" t="e">
        <f t="shared" ref="AK95:AK104" si="47">+X13</f>
        <v>#VALUE!</v>
      </c>
      <c r="AL95" s="461" t="e">
        <f t="shared" si="43"/>
        <v>#VALUE!</v>
      </c>
      <c r="AM95" s="461" t="e">
        <f t="shared" si="44"/>
        <v>#VALUE!</v>
      </c>
      <c r="AN95" s="194" t="e">
        <f t="shared" si="45"/>
        <v>#VALUE!</v>
      </c>
      <c r="AO95" s="462"/>
      <c r="AP95" s="462"/>
      <c r="AQ95" s="441"/>
    </row>
    <row r="96" spans="2:43" x14ac:dyDescent="0.15">
      <c r="B96" s="354" t="str">
        <f t="shared" si="38"/>
        <v/>
      </c>
      <c r="C96" s="239" t="str">
        <f t="shared" si="39"/>
        <v/>
      </c>
      <c r="D96" s="239" t="str">
        <f t="shared" si="34"/>
        <v/>
      </c>
      <c r="E96" s="248" t="str">
        <f t="shared" si="24"/>
        <v/>
      </c>
      <c r="F96" s="1045" t="str">
        <f t="shared" si="25"/>
        <v/>
      </c>
      <c r="G96" s="184" t="str">
        <f t="shared" si="26"/>
        <v/>
      </c>
      <c r="H96" s="941" t="e">
        <f t="shared" si="40"/>
        <v>#VALUE!</v>
      </c>
      <c r="I96" s="353" t="e">
        <f t="shared" si="41"/>
        <v>#VALUE!</v>
      </c>
      <c r="J96" s="239"/>
      <c r="K96" s="477" t="str">
        <f t="shared" si="29"/>
        <v/>
      </c>
      <c r="L96" s="246" t="str">
        <f t="shared" si="35"/>
        <v/>
      </c>
      <c r="M96" s="246" t="str">
        <f t="shared" si="36"/>
        <v/>
      </c>
      <c r="N96" s="246" t="str">
        <f t="shared" si="37"/>
        <v/>
      </c>
      <c r="O96" s="69"/>
      <c r="P96" s="69"/>
      <c r="Q96" s="69"/>
      <c r="R96" s="470"/>
      <c r="S96" s="69"/>
      <c r="T96" s="69"/>
      <c r="U96" s="69"/>
      <c r="V96" s="69"/>
      <c r="W96" s="69"/>
      <c r="X96" s="69"/>
      <c r="Y96" s="69"/>
      <c r="Z96" s="69"/>
      <c r="AA96" s="69"/>
      <c r="AB96" s="69"/>
      <c r="AC96" s="69"/>
      <c r="AD96" s="69"/>
      <c r="AE96" s="69"/>
      <c r="AF96" s="69"/>
      <c r="AG96" s="69"/>
      <c r="AH96" s="69"/>
      <c r="AI96" s="69"/>
      <c r="AJ96" s="69"/>
      <c r="AK96" s="193" t="e">
        <f t="shared" si="47"/>
        <v>#VALUE!</v>
      </c>
      <c r="AL96" s="461" t="e">
        <f t="shared" si="43"/>
        <v>#VALUE!</v>
      </c>
      <c r="AM96" s="461" t="e">
        <f t="shared" si="44"/>
        <v>#VALUE!</v>
      </c>
      <c r="AN96" s="194" t="e">
        <f t="shared" si="45"/>
        <v>#VALUE!</v>
      </c>
      <c r="AO96" s="462"/>
      <c r="AP96" s="462"/>
      <c r="AQ96" s="441"/>
    </row>
    <row r="97" spans="2:43" x14ac:dyDescent="0.15">
      <c r="B97" s="354" t="str">
        <f t="shared" si="38"/>
        <v/>
      </c>
      <c r="C97" s="239" t="str">
        <f t="shared" si="39"/>
        <v/>
      </c>
      <c r="D97" s="239" t="str">
        <f t="shared" si="34"/>
        <v/>
      </c>
      <c r="E97" s="248" t="str">
        <f t="shared" si="24"/>
        <v/>
      </c>
      <c r="F97" s="1045" t="str">
        <f t="shared" si="25"/>
        <v/>
      </c>
      <c r="G97" s="184" t="str">
        <f t="shared" si="26"/>
        <v/>
      </c>
      <c r="H97" s="941" t="e">
        <f t="shared" si="40"/>
        <v>#VALUE!</v>
      </c>
      <c r="I97" s="353" t="e">
        <f t="shared" si="41"/>
        <v>#VALUE!</v>
      </c>
      <c r="J97" s="239"/>
      <c r="K97" s="477" t="str">
        <f t="shared" si="29"/>
        <v/>
      </c>
      <c r="L97" s="246" t="str">
        <f t="shared" si="35"/>
        <v/>
      </c>
      <c r="M97" s="246" t="str">
        <f t="shared" si="36"/>
        <v/>
      </c>
      <c r="N97" s="246" t="str">
        <f t="shared" si="37"/>
        <v/>
      </c>
      <c r="O97" s="69"/>
      <c r="P97" s="69"/>
      <c r="Q97" s="69"/>
      <c r="R97" s="470"/>
      <c r="S97" s="69"/>
      <c r="T97" s="69"/>
      <c r="U97" s="69"/>
      <c r="V97" s="69"/>
      <c r="W97" s="69"/>
      <c r="X97" s="69"/>
      <c r="Y97" s="69"/>
      <c r="Z97" s="69"/>
      <c r="AA97" s="69"/>
      <c r="AB97" s="69"/>
      <c r="AC97" s="69"/>
      <c r="AD97" s="69"/>
      <c r="AE97" s="69"/>
      <c r="AF97" s="69"/>
      <c r="AG97" s="69"/>
      <c r="AH97" s="69"/>
      <c r="AI97" s="69"/>
      <c r="AJ97" s="69"/>
      <c r="AK97" s="193" t="e">
        <f t="shared" si="47"/>
        <v>#VALUE!</v>
      </c>
      <c r="AL97" s="461" t="e">
        <f t="shared" si="43"/>
        <v>#VALUE!</v>
      </c>
      <c r="AM97" s="461" t="e">
        <f t="shared" si="44"/>
        <v>#VALUE!</v>
      </c>
      <c r="AN97" s="194" t="e">
        <f t="shared" si="45"/>
        <v>#VALUE!</v>
      </c>
      <c r="AO97" s="462"/>
      <c r="AP97" s="462"/>
      <c r="AQ97" s="441"/>
    </row>
    <row r="98" spans="2:43" x14ac:dyDescent="0.15">
      <c r="B98" s="354" t="str">
        <f t="shared" ref="B98:B129" si="48">+IF(B97&lt;$C$11/$C$17,B97+1,IF(B97="","",""))</f>
        <v/>
      </c>
      <c r="C98" s="239" t="str">
        <f t="shared" si="39"/>
        <v/>
      </c>
      <c r="D98" s="239" t="str">
        <f t="shared" si="34"/>
        <v/>
      </c>
      <c r="E98" s="248" t="str">
        <f t="shared" si="24"/>
        <v/>
      </c>
      <c r="F98" s="1045" t="str">
        <f t="shared" si="25"/>
        <v/>
      </c>
      <c r="G98" s="184" t="str">
        <f t="shared" si="26"/>
        <v/>
      </c>
      <c r="H98" s="941" t="e">
        <f t="shared" si="40"/>
        <v>#VALUE!</v>
      </c>
      <c r="I98" s="353" t="e">
        <f t="shared" si="41"/>
        <v>#VALUE!</v>
      </c>
      <c r="J98" s="239"/>
      <c r="K98" s="477" t="str">
        <f t="shared" si="29"/>
        <v/>
      </c>
      <c r="L98" s="246" t="str">
        <f t="shared" si="35"/>
        <v/>
      </c>
      <c r="M98" s="246" t="str">
        <f t="shared" si="36"/>
        <v/>
      </c>
      <c r="N98" s="246" t="str">
        <f t="shared" si="37"/>
        <v/>
      </c>
      <c r="O98" s="69"/>
      <c r="P98" s="69"/>
      <c r="Q98" s="69"/>
      <c r="R98" s="470"/>
      <c r="S98" s="69"/>
      <c r="T98" s="69"/>
      <c r="U98" s="69"/>
      <c r="V98" s="69"/>
      <c r="W98" s="69"/>
      <c r="X98" s="69"/>
      <c r="Y98" s="69"/>
      <c r="Z98" s="69"/>
      <c r="AA98" s="69"/>
      <c r="AB98" s="69"/>
      <c r="AC98" s="69"/>
      <c r="AD98" s="69"/>
      <c r="AE98" s="69"/>
      <c r="AF98" s="69"/>
      <c r="AG98" s="69"/>
      <c r="AH98" s="69"/>
      <c r="AI98" s="69"/>
      <c r="AJ98" s="69"/>
      <c r="AK98" s="193" t="e">
        <f t="shared" si="47"/>
        <v>#VALUE!</v>
      </c>
      <c r="AL98" s="461" t="e">
        <f t="shared" si="43"/>
        <v>#VALUE!</v>
      </c>
      <c r="AM98" s="461" t="e">
        <f t="shared" si="44"/>
        <v>#VALUE!</v>
      </c>
      <c r="AN98" s="194" t="e">
        <f t="shared" si="45"/>
        <v>#VALUE!</v>
      </c>
      <c r="AO98" s="462"/>
      <c r="AP98" s="462"/>
      <c r="AQ98" s="441"/>
    </row>
    <row r="99" spans="2:43" x14ac:dyDescent="0.15">
      <c r="B99" s="354" t="str">
        <f t="shared" si="48"/>
        <v/>
      </c>
      <c r="C99" s="239" t="str">
        <f t="shared" si="39"/>
        <v/>
      </c>
      <c r="D99" s="239" t="str">
        <f t="shared" si="34"/>
        <v/>
      </c>
      <c r="E99" s="248" t="str">
        <f t="shared" si="24"/>
        <v/>
      </c>
      <c r="F99" s="1045" t="str">
        <f t="shared" si="25"/>
        <v/>
      </c>
      <c r="G99" s="184" t="str">
        <f t="shared" si="26"/>
        <v/>
      </c>
      <c r="H99" s="941" t="e">
        <f t="shared" si="40"/>
        <v>#VALUE!</v>
      </c>
      <c r="I99" s="353" t="e">
        <f t="shared" si="41"/>
        <v>#VALUE!</v>
      </c>
      <c r="J99" s="239"/>
      <c r="K99" s="477" t="str">
        <f t="shared" si="29"/>
        <v/>
      </c>
      <c r="L99" s="246" t="str">
        <f t="shared" si="35"/>
        <v/>
      </c>
      <c r="M99" s="246" t="str">
        <f t="shared" si="36"/>
        <v/>
      </c>
      <c r="N99" s="246" t="str">
        <f t="shared" si="37"/>
        <v/>
      </c>
      <c r="O99" s="69"/>
      <c r="P99" s="69"/>
      <c r="Q99" s="69"/>
      <c r="R99" s="470"/>
      <c r="S99" s="69"/>
      <c r="T99" s="69"/>
      <c r="U99" s="69"/>
      <c r="V99" s="69"/>
      <c r="W99" s="69"/>
      <c r="X99" s="69"/>
      <c r="Y99" s="69"/>
      <c r="Z99" s="69"/>
      <c r="AA99" s="69"/>
      <c r="AB99" s="69"/>
      <c r="AC99" s="69"/>
      <c r="AD99" s="69"/>
      <c r="AE99" s="69"/>
      <c r="AF99" s="69"/>
      <c r="AG99" s="69"/>
      <c r="AH99" s="69"/>
      <c r="AI99" s="69"/>
      <c r="AJ99" s="69"/>
      <c r="AK99" s="193" t="e">
        <f t="shared" si="47"/>
        <v>#VALUE!</v>
      </c>
      <c r="AL99" s="461" t="e">
        <f t="shared" si="43"/>
        <v>#VALUE!</v>
      </c>
      <c r="AM99" s="461" t="e">
        <f t="shared" si="44"/>
        <v>#VALUE!</v>
      </c>
      <c r="AN99" s="194" t="e">
        <f t="shared" si="45"/>
        <v>#VALUE!</v>
      </c>
      <c r="AO99" s="462"/>
      <c r="AP99" s="462"/>
      <c r="AQ99" s="441"/>
    </row>
    <row r="100" spans="2:43" x14ac:dyDescent="0.15">
      <c r="B100" s="354" t="str">
        <f t="shared" si="48"/>
        <v/>
      </c>
      <c r="C100" s="239" t="str">
        <f t="shared" si="39"/>
        <v/>
      </c>
      <c r="D100" s="239" t="str">
        <f t="shared" si="34"/>
        <v/>
      </c>
      <c r="E100" s="248" t="str">
        <f t="shared" si="24"/>
        <v/>
      </c>
      <c r="F100" s="1045" t="str">
        <f t="shared" si="25"/>
        <v/>
      </c>
      <c r="G100" s="184" t="str">
        <f t="shared" si="26"/>
        <v/>
      </c>
      <c r="H100" s="941" t="e">
        <f t="shared" si="40"/>
        <v>#VALUE!</v>
      </c>
      <c r="I100" s="353" t="e">
        <f t="shared" si="41"/>
        <v>#VALUE!</v>
      </c>
      <c r="J100" s="239"/>
      <c r="K100" s="477" t="str">
        <f t="shared" si="29"/>
        <v/>
      </c>
      <c r="L100" s="246" t="str">
        <f t="shared" si="35"/>
        <v/>
      </c>
      <c r="M100" s="246" t="str">
        <f t="shared" si="36"/>
        <v/>
      </c>
      <c r="N100" s="246" t="str">
        <f t="shared" si="37"/>
        <v/>
      </c>
      <c r="O100" s="69"/>
      <c r="P100" s="69"/>
      <c r="Q100" s="69"/>
      <c r="R100" s="470"/>
      <c r="S100" s="69"/>
      <c r="T100" s="69"/>
      <c r="U100" s="69"/>
      <c r="V100" s="69"/>
      <c r="W100" s="69"/>
      <c r="X100" s="69"/>
      <c r="Y100" s="69"/>
      <c r="Z100" s="69"/>
      <c r="AA100" s="69"/>
      <c r="AB100" s="69"/>
      <c r="AC100" s="69"/>
      <c r="AD100" s="69"/>
      <c r="AE100" s="69"/>
      <c r="AF100" s="69"/>
      <c r="AG100" s="69"/>
      <c r="AH100" s="69"/>
      <c r="AI100" s="69"/>
      <c r="AJ100" s="69"/>
      <c r="AK100" s="193" t="e">
        <f t="shared" si="47"/>
        <v>#VALUE!</v>
      </c>
      <c r="AL100" s="461" t="e">
        <f t="shared" si="43"/>
        <v>#VALUE!</v>
      </c>
      <c r="AM100" s="461" t="e">
        <f t="shared" si="44"/>
        <v>#VALUE!</v>
      </c>
      <c r="AN100" s="194" t="e">
        <f t="shared" si="45"/>
        <v>#VALUE!</v>
      </c>
      <c r="AO100" s="462"/>
      <c r="AP100" s="462"/>
      <c r="AQ100" s="441"/>
    </row>
    <row r="101" spans="2:43" x14ac:dyDescent="0.15">
      <c r="B101" s="354" t="str">
        <f t="shared" si="48"/>
        <v/>
      </c>
      <c r="C101" s="239" t="str">
        <f t="shared" si="39"/>
        <v/>
      </c>
      <c r="D101" s="239" t="str">
        <f t="shared" ref="D101:D132" si="49">IF(B101="","",VLOOKUP(B101,AM:AN,2,FALSE))</f>
        <v/>
      </c>
      <c r="E101" s="248" t="str">
        <f t="shared" si="24"/>
        <v/>
      </c>
      <c r="F101" s="1045" t="str">
        <f t="shared" si="25"/>
        <v/>
      </c>
      <c r="G101" s="184" t="str">
        <f t="shared" si="26"/>
        <v/>
      </c>
      <c r="H101" s="941" t="e">
        <f t="shared" si="40"/>
        <v>#VALUE!</v>
      </c>
      <c r="I101" s="353" t="e">
        <f t="shared" si="41"/>
        <v>#VALUE!</v>
      </c>
      <c r="J101" s="239"/>
      <c r="K101" s="477" t="str">
        <f t="shared" si="29"/>
        <v/>
      </c>
      <c r="L101" s="246" t="str">
        <f t="shared" ref="L101:L132" si="50">+IF(K101&lt;&gt;"",$L$30/$L$28,"")</f>
        <v/>
      </c>
      <c r="M101" s="246" t="str">
        <f t="shared" ref="M101:M132" si="51">IF(K101=$M$28,$E$33,IF(K101&lt;&gt;"",($M$30-$M$36)/($M$28-1),""))</f>
        <v/>
      </c>
      <c r="N101" s="246" t="str">
        <f t="shared" ref="N101:N132" si="52">+IF(K101&lt;&gt;"",($N$30-$N$36)/$N$28,"")</f>
        <v/>
      </c>
      <c r="O101" s="69"/>
      <c r="P101" s="69"/>
      <c r="Q101" s="69"/>
      <c r="R101" s="470"/>
      <c r="S101" s="69"/>
      <c r="T101" s="69"/>
      <c r="U101" s="69"/>
      <c r="V101" s="69"/>
      <c r="W101" s="69"/>
      <c r="X101" s="69"/>
      <c r="Y101" s="69"/>
      <c r="Z101" s="69"/>
      <c r="AA101" s="69"/>
      <c r="AB101" s="69"/>
      <c r="AC101" s="69"/>
      <c r="AD101" s="69"/>
      <c r="AE101" s="69"/>
      <c r="AF101" s="69"/>
      <c r="AG101" s="69"/>
      <c r="AH101" s="69"/>
      <c r="AI101" s="69"/>
      <c r="AJ101" s="69"/>
      <c r="AK101" s="193" t="e">
        <f t="shared" si="47"/>
        <v>#VALUE!</v>
      </c>
      <c r="AL101" s="461" t="e">
        <f t="shared" si="43"/>
        <v>#VALUE!</v>
      </c>
      <c r="AM101" s="461" t="e">
        <f t="shared" si="44"/>
        <v>#VALUE!</v>
      </c>
      <c r="AN101" s="194" t="e">
        <f t="shared" si="45"/>
        <v>#VALUE!</v>
      </c>
      <c r="AO101" s="462"/>
      <c r="AP101" s="462"/>
      <c r="AQ101" s="441"/>
    </row>
    <row r="102" spans="2:43" x14ac:dyDescent="0.15">
      <c r="B102" s="354" t="str">
        <f t="shared" si="48"/>
        <v/>
      </c>
      <c r="C102" s="239" t="str">
        <f t="shared" ref="C102:C133" si="53">+IF(B102="","",EDATE(C$35,$C$17*B101))</f>
        <v/>
      </c>
      <c r="D102" s="239" t="str">
        <f t="shared" si="49"/>
        <v/>
      </c>
      <c r="E102" s="248" t="str">
        <f t="shared" ref="E102:E165" si="54">+IF(F102="","",F102)</f>
        <v/>
      </c>
      <c r="F102" s="1045" t="str">
        <f t="shared" ref="F102:F165" si="55">+IF(G102="","",ROUND(G102,0))</f>
        <v/>
      </c>
      <c r="G102" s="184" t="str">
        <f t="shared" ref="G102:G165" si="56">IF($L$25=3,L102,IF($L$25=1,M102,IF($L$25=2,N102,"")))</f>
        <v/>
      </c>
      <c r="H102" s="941" t="e">
        <f t="shared" ref="H102:H133" si="57">+IF(H101&lt;$C$11/$C$18,H101+1,IF(H101="","",""))</f>
        <v>#VALUE!</v>
      </c>
      <c r="I102" s="353" t="e">
        <f t="shared" ref="I102:I133" si="58">+IF(H102="","",EDATE(I$35,$C$18*H101))</f>
        <v>#VALUE!</v>
      </c>
      <c r="J102" s="239"/>
      <c r="K102" s="477" t="str">
        <f t="shared" ref="K102:K165" si="59">+B102</f>
        <v/>
      </c>
      <c r="L102" s="246" t="str">
        <f t="shared" si="50"/>
        <v/>
      </c>
      <c r="M102" s="246" t="str">
        <f t="shared" si="51"/>
        <v/>
      </c>
      <c r="N102" s="246" t="str">
        <f t="shared" si="52"/>
        <v/>
      </c>
      <c r="O102" s="69"/>
      <c r="P102" s="69"/>
      <c r="Q102" s="69"/>
      <c r="R102" s="470"/>
      <c r="S102" s="69"/>
      <c r="T102" s="69"/>
      <c r="U102" s="69"/>
      <c r="V102" s="69"/>
      <c r="W102" s="69"/>
      <c r="X102" s="69"/>
      <c r="Y102" s="69"/>
      <c r="Z102" s="69"/>
      <c r="AA102" s="69"/>
      <c r="AB102" s="69"/>
      <c r="AC102" s="69"/>
      <c r="AD102" s="69"/>
      <c r="AE102" s="69"/>
      <c r="AF102" s="69"/>
      <c r="AG102" s="69"/>
      <c r="AH102" s="69"/>
      <c r="AI102" s="69"/>
      <c r="AJ102" s="69"/>
      <c r="AK102" s="193" t="e">
        <f t="shared" si="47"/>
        <v>#VALUE!</v>
      </c>
      <c r="AL102" s="461" t="e">
        <f t="shared" si="43"/>
        <v>#VALUE!</v>
      </c>
      <c r="AM102" s="461" t="e">
        <f t="shared" si="44"/>
        <v>#VALUE!</v>
      </c>
      <c r="AN102" s="194" t="e">
        <f t="shared" si="45"/>
        <v>#VALUE!</v>
      </c>
      <c r="AO102" s="462"/>
      <c r="AP102" s="462"/>
      <c r="AQ102" s="441"/>
    </row>
    <row r="103" spans="2:43" x14ac:dyDescent="0.15">
      <c r="B103" s="354" t="str">
        <f t="shared" si="48"/>
        <v/>
      </c>
      <c r="C103" s="239" t="str">
        <f t="shared" si="53"/>
        <v/>
      </c>
      <c r="D103" s="239" t="str">
        <f t="shared" si="49"/>
        <v/>
      </c>
      <c r="E103" s="248" t="str">
        <f t="shared" si="54"/>
        <v/>
      </c>
      <c r="F103" s="1045" t="str">
        <f t="shared" si="55"/>
        <v/>
      </c>
      <c r="G103" s="184" t="str">
        <f t="shared" si="56"/>
        <v/>
      </c>
      <c r="H103" s="941" t="e">
        <f t="shared" si="57"/>
        <v>#VALUE!</v>
      </c>
      <c r="I103" s="353" t="e">
        <f t="shared" si="58"/>
        <v>#VALUE!</v>
      </c>
      <c r="J103" s="239"/>
      <c r="K103" s="477" t="str">
        <f t="shared" si="59"/>
        <v/>
      </c>
      <c r="L103" s="246" t="str">
        <f t="shared" si="50"/>
        <v/>
      </c>
      <c r="M103" s="246" t="str">
        <f t="shared" si="51"/>
        <v/>
      </c>
      <c r="N103" s="246" t="str">
        <f t="shared" si="52"/>
        <v/>
      </c>
      <c r="O103" s="69"/>
      <c r="P103" s="69"/>
      <c r="Q103" s="69"/>
      <c r="R103" s="470"/>
      <c r="S103" s="69"/>
      <c r="T103" s="69"/>
      <c r="U103" s="69"/>
      <c r="V103" s="69"/>
      <c r="W103" s="69"/>
      <c r="X103" s="69"/>
      <c r="Y103" s="69"/>
      <c r="Z103" s="69"/>
      <c r="AA103" s="69"/>
      <c r="AB103" s="69"/>
      <c r="AC103" s="69"/>
      <c r="AD103" s="69"/>
      <c r="AE103" s="69"/>
      <c r="AF103" s="69"/>
      <c r="AG103" s="69"/>
      <c r="AH103" s="69"/>
      <c r="AI103" s="69"/>
      <c r="AJ103" s="69"/>
      <c r="AK103" s="193" t="e">
        <f t="shared" si="47"/>
        <v>#VALUE!</v>
      </c>
      <c r="AL103" s="461" t="e">
        <f t="shared" si="43"/>
        <v>#VALUE!</v>
      </c>
      <c r="AM103" s="461" t="e">
        <f t="shared" si="44"/>
        <v>#VALUE!</v>
      </c>
      <c r="AN103" s="194" t="e">
        <f t="shared" si="45"/>
        <v>#VALUE!</v>
      </c>
      <c r="AO103" s="462"/>
      <c r="AP103" s="462"/>
      <c r="AQ103" s="441"/>
    </row>
    <row r="104" spans="2:43" x14ac:dyDescent="0.15">
      <c r="B104" s="354" t="str">
        <f t="shared" si="48"/>
        <v/>
      </c>
      <c r="C104" s="239" t="str">
        <f t="shared" si="53"/>
        <v/>
      </c>
      <c r="D104" s="239" t="str">
        <f t="shared" si="49"/>
        <v/>
      </c>
      <c r="E104" s="248" t="str">
        <f t="shared" si="54"/>
        <v/>
      </c>
      <c r="F104" s="1045" t="str">
        <f t="shared" si="55"/>
        <v/>
      </c>
      <c r="G104" s="184" t="str">
        <f t="shared" si="56"/>
        <v/>
      </c>
      <c r="H104" s="941" t="e">
        <f t="shared" si="57"/>
        <v>#VALUE!</v>
      </c>
      <c r="I104" s="353" t="e">
        <f t="shared" si="58"/>
        <v>#VALUE!</v>
      </c>
      <c r="J104" s="239"/>
      <c r="K104" s="477" t="str">
        <f t="shared" si="59"/>
        <v/>
      </c>
      <c r="L104" s="246" t="str">
        <f t="shared" si="50"/>
        <v/>
      </c>
      <c r="M104" s="246" t="str">
        <f t="shared" si="51"/>
        <v/>
      </c>
      <c r="N104" s="246" t="str">
        <f t="shared" si="52"/>
        <v/>
      </c>
      <c r="O104" s="69"/>
      <c r="P104" s="69"/>
      <c r="Q104" s="69"/>
      <c r="R104" s="470"/>
      <c r="S104" s="69"/>
      <c r="T104" s="69"/>
      <c r="U104" s="69"/>
      <c r="V104" s="69"/>
      <c r="W104" s="69"/>
      <c r="X104" s="69"/>
      <c r="Y104" s="69"/>
      <c r="Z104" s="69"/>
      <c r="AA104" s="69"/>
      <c r="AB104" s="69"/>
      <c r="AC104" s="69"/>
      <c r="AD104" s="69"/>
      <c r="AE104" s="69"/>
      <c r="AF104" s="69"/>
      <c r="AG104" s="69"/>
      <c r="AH104" s="69"/>
      <c r="AI104" s="69"/>
      <c r="AJ104" s="69"/>
      <c r="AK104" s="193" t="e">
        <f t="shared" si="47"/>
        <v>#VALUE!</v>
      </c>
      <c r="AL104" s="461" t="e">
        <f t="shared" si="43"/>
        <v>#VALUE!</v>
      </c>
      <c r="AM104" s="461" t="e">
        <f t="shared" si="44"/>
        <v>#VALUE!</v>
      </c>
      <c r="AN104" s="194" t="e">
        <f t="shared" si="45"/>
        <v>#VALUE!</v>
      </c>
      <c r="AO104" s="462"/>
      <c r="AP104" s="462"/>
      <c r="AQ104" s="441"/>
    </row>
    <row r="105" spans="2:43" x14ac:dyDescent="0.15">
      <c r="B105" s="354" t="str">
        <f t="shared" si="48"/>
        <v/>
      </c>
      <c r="C105" s="239" t="str">
        <f t="shared" si="53"/>
        <v/>
      </c>
      <c r="D105" s="239" t="str">
        <f t="shared" si="49"/>
        <v/>
      </c>
      <c r="E105" s="248" t="str">
        <f t="shared" si="54"/>
        <v/>
      </c>
      <c r="F105" s="1045" t="str">
        <f t="shared" si="55"/>
        <v/>
      </c>
      <c r="G105" s="184" t="str">
        <f t="shared" si="56"/>
        <v/>
      </c>
      <c r="H105" s="941" t="e">
        <f t="shared" si="57"/>
        <v>#VALUE!</v>
      </c>
      <c r="I105" s="353" t="e">
        <f t="shared" si="58"/>
        <v>#VALUE!</v>
      </c>
      <c r="J105" s="239"/>
      <c r="K105" s="477" t="str">
        <f t="shared" si="59"/>
        <v/>
      </c>
      <c r="L105" s="246" t="str">
        <f t="shared" si="50"/>
        <v/>
      </c>
      <c r="M105" s="246" t="str">
        <f t="shared" si="51"/>
        <v/>
      </c>
      <c r="N105" s="246" t="str">
        <f t="shared" si="52"/>
        <v/>
      </c>
      <c r="O105" s="69"/>
      <c r="P105" s="69"/>
      <c r="Q105" s="69"/>
      <c r="R105" s="470"/>
      <c r="S105" s="69"/>
      <c r="T105" s="69"/>
      <c r="U105" s="69"/>
      <c r="V105" s="69"/>
      <c r="W105" s="69"/>
      <c r="X105" s="69"/>
      <c r="Y105" s="69"/>
      <c r="Z105" s="69"/>
      <c r="AA105" s="69"/>
      <c r="AB105" s="69"/>
      <c r="AC105" s="69"/>
      <c r="AD105" s="69"/>
      <c r="AE105" s="69"/>
      <c r="AF105" s="69"/>
      <c r="AG105" s="69"/>
      <c r="AH105" s="69"/>
      <c r="AI105" s="69"/>
      <c r="AJ105" s="69"/>
      <c r="AK105" s="193" t="e">
        <f>+Y10</f>
        <v>#VALUE!</v>
      </c>
      <c r="AL105" s="461" t="e">
        <f t="shared" si="43"/>
        <v>#VALUE!</v>
      </c>
      <c r="AM105" s="461" t="e">
        <f t="shared" si="44"/>
        <v>#VALUE!</v>
      </c>
      <c r="AN105" s="194" t="e">
        <f t="shared" si="45"/>
        <v>#VALUE!</v>
      </c>
      <c r="AO105" s="462"/>
      <c r="AP105" s="462"/>
      <c r="AQ105" s="441"/>
    </row>
    <row r="106" spans="2:43" x14ac:dyDescent="0.15">
      <c r="B106" s="354" t="str">
        <f t="shared" si="48"/>
        <v/>
      </c>
      <c r="C106" s="239" t="str">
        <f t="shared" si="53"/>
        <v/>
      </c>
      <c r="D106" s="239" t="str">
        <f t="shared" si="49"/>
        <v/>
      </c>
      <c r="E106" s="248" t="str">
        <f t="shared" si="54"/>
        <v/>
      </c>
      <c r="F106" s="1045" t="str">
        <f t="shared" si="55"/>
        <v/>
      </c>
      <c r="G106" s="184" t="str">
        <f t="shared" si="56"/>
        <v/>
      </c>
      <c r="H106" s="941" t="e">
        <f t="shared" si="57"/>
        <v>#VALUE!</v>
      </c>
      <c r="I106" s="353" t="e">
        <f t="shared" si="58"/>
        <v>#VALUE!</v>
      </c>
      <c r="J106" s="239"/>
      <c r="K106" s="477" t="str">
        <f t="shared" si="59"/>
        <v/>
      </c>
      <c r="L106" s="246" t="str">
        <f t="shared" si="50"/>
        <v/>
      </c>
      <c r="M106" s="246" t="str">
        <f t="shared" si="51"/>
        <v/>
      </c>
      <c r="N106" s="246" t="str">
        <f t="shared" si="52"/>
        <v/>
      </c>
      <c r="O106" s="69"/>
      <c r="P106" s="69"/>
      <c r="Q106" s="69"/>
      <c r="R106" s="470"/>
      <c r="S106" s="69"/>
      <c r="T106" s="69"/>
      <c r="U106" s="69"/>
      <c r="V106" s="69"/>
      <c r="W106" s="69"/>
      <c r="X106" s="69"/>
      <c r="Y106" s="69"/>
      <c r="Z106" s="69"/>
      <c r="AA106" s="69"/>
      <c r="AB106" s="69"/>
      <c r="AC106" s="69"/>
      <c r="AD106" s="69"/>
      <c r="AE106" s="69"/>
      <c r="AF106" s="69"/>
      <c r="AG106" s="69"/>
      <c r="AH106" s="69"/>
      <c r="AI106" s="69"/>
      <c r="AJ106" s="69"/>
      <c r="AK106" s="193" t="e">
        <f>+Y11</f>
        <v>#VALUE!</v>
      </c>
      <c r="AL106" s="461" t="e">
        <f t="shared" si="43"/>
        <v>#VALUE!</v>
      </c>
      <c r="AM106" s="461" t="e">
        <f t="shared" si="44"/>
        <v>#VALUE!</v>
      </c>
      <c r="AN106" s="194" t="e">
        <f t="shared" si="45"/>
        <v>#VALUE!</v>
      </c>
      <c r="AO106" s="462"/>
      <c r="AP106" s="462"/>
      <c r="AQ106" s="441"/>
    </row>
    <row r="107" spans="2:43" x14ac:dyDescent="0.15">
      <c r="B107" s="354" t="str">
        <f t="shared" si="48"/>
        <v/>
      </c>
      <c r="C107" s="239" t="str">
        <f t="shared" si="53"/>
        <v/>
      </c>
      <c r="D107" s="239" t="str">
        <f t="shared" si="49"/>
        <v/>
      </c>
      <c r="E107" s="248" t="str">
        <f t="shared" si="54"/>
        <v/>
      </c>
      <c r="F107" s="1045" t="str">
        <f t="shared" si="55"/>
        <v/>
      </c>
      <c r="G107" s="184" t="str">
        <f t="shared" si="56"/>
        <v/>
      </c>
      <c r="H107" s="941" t="e">
        <f t="shared" si="57"/>
        <v>#VALUE!</v>
      </c>
      <c r="I107" s="353" t="e">
        <f t="shared" si="58"/>
        <v>#VALUE!</v>
      </c>
      <c r="J107" s="239"/>
      <c r="K107" s="477" t="str">
        <f t="shared" si="59"/>
        <v/>
      </c>
      <c r="L107" s="246" t="str">
        <f t="shared" si="50"/>
        <v/>
      </c>
      <c r="M107" s="246" t="str">
        <f t="shared" si="51"/>
        <v/>
      </c>
      <c r="N107" s="246" t="str">
        <f t="shared" si="52"/>
        <v/>
      </c>
      <c r="O107" s="69"/>
      <c r="P107" s="69"/>
      <c r="Q107" s="69"/>
      <c r="R107" s="470"/>
      <c r="S107" s="69"/>
      <c r="T107" s="69"/>
      <c r="U107" s="69"/>
      <c r="V107" s="69"/>
      <c r="W107" s="69"/>
      <c r="X107" s="69"/>
      <c r="Y107" s="69"/>
      <c r="Z107" s="69"/>
      <c r="AA107" s="69"/>
      <c r="AB107" s="69"/>
      <c r="AC107" s="69"/>
      <c r="AD107" s="69"/>
      <c r="AE107" s="69"/>
      <c r="AF107" s="69"/>
      <c r="AG107" s="69"/>
      <c r="AH107" s="69"/>
      <c r="AI107" s="69"/>
      <c r="AJ107" s="69"/>
      <c r="AK107" s="193" t="e">
        <f t="shared" ref="AK107:AK116" si="60">+Y13</f>
        <v>#VALUE!</v>
      </c>
      <c r="AL107" s="461" t="e">
        <f t="shared" si="43"/>
        <v>#VALUE!</v>
      </c>
      <c r="AM107" s="461" t="e">
        <f t="shared" si="44"/>
        <v>#VALUE!</v>
      </c>
      <c r="AN107" s="194" t="e">
        <f t="shared" si="45"/>
        <v>#VALUE!</v>
      </c>
      <c r="AO107" s="462"/>
      <c r="AP107" s="462"/>
      <c r="AQ107" s="441"/>
    </row>
    <row r="108" spans="2:43" x14ac:dyDescent="0.15">
      <c r="B108" s="354" t="str">
        <f t="shared" si="48"/>
        <v/>
      </c>
      <c r="C108" s="239" t="str">
        <f t="shared" si="53"/>
        <v/>
      </c>
      <c r="D108" s="239" t="str">
        <f t="shared" si="49"/>
        <v/>
      </c>
      <c r="E108" s="248" t="str">
        <f t="shared" si="54"/>
        <v/>
      </c>
      <c r="F108" s="1045" t="str">
        <f t="shared" si="55"/>
        <v/>
      </c>
      <c r="G108" s="184" t="str">
        <f t="shared" si="56"/>
        <v/>
      </c>
      <c r="H108" s="941" t="e">
        <f t="shared" si="57"/>
        <v>#VALUE!</v>
      </c>
      <c r="I108" s="353" t="e">
        <f t="shared" si="58"/>
        <v>#VALUE!</v>
      </c>
      <c r="J108" s="239"/>
      <c r="K108" s="477" t="str">
        <f t="shared" si="59"/>
        <v/>
      </c>
      <c r="L108" s="246" t="str">
        <f t="shared" si="50"/>
        <v/>
      </c>
      <c r="M108" s="246" t="str">
        <f t="shared" si="51"/>
        <v/>
      </c>
      <c r="N108" s="246" t="str">
        <f t="shared" si="52"/>
        <v/>
      </c>
      <c r="O108" s="69"/>
      <c r="P108" s="69"/>
      <c r="Q108" s="69"/>
      <c r="R108" s="470"/>
      <c r="S108" s="69"/>
      <c r="T108" s="69"/>
      <c r="U108" s="69"/>
      <c r="V108" s="69"/>
      <c r="W108" s="69"/>
      <c r="X108" s="69"/>
      <c r="Y108" s="69"/>
      <c r="Z108" s="69"/>
      <c r="AA108" s="69"/>
      <c r="AB108" s="69"/>
      <c r="AC108" s="69"/>
      <c r="AD108" s="69"/>
      <c r="AE108" s="69"/>
      <c r="AF108" s="69"/>
      <c r="AG108" s="69"/>
      <c r="AH108" s="69"/>
      <c r="AI108" s="69"/>
      <c r="AJ108" s="69"/>
      <c r="AK108" s="193" t="e">
        <f t="shared" si="60"/>
        <v>#VALUE!</v>
      </c>
      <c r="AL108" s="461" t="e">
        <f t="shared" ref="AL108:AL235" si="61">IF(AK108="",10000000,TorlTervElsoTorl-AK108)</f>
        <v>#VALUE!</v>
      </c>
      <c r="AM108" s="461" t="e">
        <f t="shared" si="44"/>
        <v>#VALUE!</v>
      </c>
      <c r="AN108" s="194" t="e">
        <f t="shared" si="45"/>
        <v>#VALUE!</v>
      </c>
      <c r="AO108" s="462"/>
      <c r="AP108" s="462"/>
      <c r="AQ108" s="441"/>
    </row>
    <row r="109" spans="2:43" x14ac:dyDescent="0.15">
      <c r="B109" s="354" t="str">
        <f t="shared" si="48"/>
        <v/>
      </c>
      <c r="C109" s="239" t="str">
        <f t="shared" si="53"/>
        <v/>
      </c>
      <c r="D109" s="239" t="str">
        <f t="shared" si="49"/>
        <v/>
      </c>
      <c r="E109" s="248" t="str">
        <f t="shared" si="54"/>
        <v/>
      </c>
      <c r="F109" s="1045" t="str">
        <f t="shared" si="55"/>
        <v/>
      </c>
      <c r="G109" s="184" t="str">
        <f t="shared" si="56"/>
        <v/>
      </c>
      <c r="H109" s="941" t="e">
        <f t="shared" si="57"/>
        <v>#VALUE!</v>
      </c>
      <c r="I109" s="353" t="e">
        <f t="shared" si="58"/>
        <v>#VALUE!</v>
      </c>
      <c r="J109" s="239"/>
      <c r="K109" s="477" t="str">
        <f t="shared" si="59"/>
        <v/>
      </c>
      <c r="L109" s="246" t="str">
        <f t="shared" si="50"/>
        <v/>
      </c>
      <c r="M109" s="246" t="str">
        <f t="shared" si="51"/>
        <v/>
      </c>
      <c r="N109" s="246" t="str">
        <f t="shared" si="52"/>
        <v/>
      </c>
      <c r="O109" s="69"/>
      <c r="P109" s="69"/>
      <c r="Q109" s="69"/>
      <c r="R109" s="470"/>
      <c r="S109" s="69"/>
      <c r="T109" s="69"/>
      <c r="U109" s="69"/>
      <c r="V109" s="69"/>
      <c r="W109" s="69"/>
      <c r="X109" s="69"/>
      <c r="Y109" s="69"/>
      <c r="Z109" s="69"/>
      <c r="AA109" s="69"/>
      <c r="AB109" s="69"/>
      <c r="AC109" s="69"/>
      <c r="AD109" s="69"/>
      <c r="AE109" s="69"/>
      <c r="AF109" s="69"/>
      <c r="AG109" s="69"/>
      <c r="AH109" s="69"/>
      <c r="AI109" s="69"/>
      <c r="AJ109" s="69"/>
      <c r="AK109" s="193" t="e">
        <f t="shared" si="60"/>
        <v>#VALUE!</v>
      </c>
      <c r="AL109" s="461" t="e">
        <f t="shared" si="61"/>
        <v>#VALUE!</v>
      </c>
      <c r="AM109" s="461" t="e">
        <f t="shared" si="44"/>
        <v>#VALUE!</v>
      </c>
      <c r="AN109" s="194" t="e">
        <f t="shared" si="45"/>
        <v>#VALUE!</v>
      </c>
      <c r="AO109" s="462"/>
      <c r="AP109" s="462"/>
      <c r="AQ109" s="441"/>
    </row>
    <row r="110" spans="2:43" x14ac:dyDescent="0.15">
      <c r="B110" s="354" t="str">
        <f t="shared" si="48"/>
        <v/>
      </c>
      <c r="C110" s="239" t="str">
        <f t="shared" si="53"/>
        <v/>
      </c>
      <c r="D110" s="239" t="str">
        <f t="shared" si="49"/>
        <v/>
      </c>
      <c r="E110" s="248" t="str">
        <f t="shared" si="54"/>
        <v/>
      </c>
      <c r="F110" s="1045" t="str">
        <f t="shared" si="55"/>
        <v/>
      </c>
      <c r="G110" s="184" t="str">
        <f t="shared" si="56"/>
        <v/>
      </c>
      <c r="H110" s="941" t="e">
        <f t="shared" si="57"/>
        <v>#VALUE!</v>
      </c>
      <c r="I110" s="353" t="e">
        <f t="shared" si="58"/>
        <v>#VALUE!</v>
      </c>
      <c r="J110" s="239"/>
      <c r="K110" s="477" t="str">
        <f t="shared" si="59"/>
        <v/>
      </c>
      <c r="L110" s="246" t="str">
        <f t="shared" si="50"/>
        <v/>
      </c>
      <c r="M110" s="246" t="str">
        <f t="shared" si="51"/>
        <v/>
      </c>
      <c r="N110" s="246" t="str">
        <f t="shared" si="52"/>
        <v/>
      </c>
      <c r="O110" s="69"/>
      <c r="P110" s="69"/>
      <c r="Q110" s="69"/>
      <c r="R110" s="470"/>
      <c r="S110" s="69"/>
      <c r="T110" s="69"/>
      <c r="U110" s="69"/>
      <c r="V110" s="69"/>
      <c r="W110" s="69"/>
      <c r="X110" s="69"/>
      <c r="Y110" s="69"/>
      <c r="Z110" s="69"/>
      <c r="AA110" s="69"/>
      <c r="AB110" s="69"/>
      <c r="AC110" s="69"/>
      <c r="AD110" s="69"/>
      <c r="AE110" s="69"/>
      <c r="AF110" s="69"/>
      <c r="AG110" s="69"/>
      <c r="AH110" s="69"/>
      <c r="AI110" s="69"/>
      <c r="AJ110" s="69"/>
      <c r="AK110" s="193" t="e">
        <f t="shared" si="60"/>
        <v>#VALUE!</v>
      </c>
      <c r="AL110" s="461" t="e">
        <f t="shared" si="61"/>
        <v>#VALUE!</v>
      </c>
      <c r="AM110" s="461" t="e">
        <f t="shared" si="44"/>
        <v>#VALUE!</v>
      </c>
      <c r="AN110" s="194" t="e">
        <f t="shared" si="45"/>
        <v>#VALUE!</v>
      </c>
      <c r="AO110" s="462"/>
      <c r="AP110" s="462"/>
      <c r="AQ110" s="441"/>
    </row>
    <row r="111" spans="2:43" x14ac:dyDescent="0.15">
      <c r="B111" s="354" t="str">
        <f t="shared" si="48"/>
        <v/>
      </c>
      <c r="C111" s="239" t="str">
        <f t="shared" si="53"/>
        <v/>
      </c>
      <c r="D111" s="239" t="str">
        <f t="shared" si="49"/>
        <v/>
      </c>
      <c r="E111" s="248" t="str">
        <f t="shared" si="54"/>
        <v/>
      </c>
      <c r="F111" s="1045" t="str">
        <f t="shared" si="55"/>
        <v/>
      </c>
      <c r="G111" s="184" t="str">
        <f t="shared" si="56"/>
        <v/>
      </c>
      <c r="H111" s="941" t="e">
        <f t="shared" si="57"/>
        <v>#VALUE!</v>
      </c>
      <c r="I111" s="353" t="e">
        <f t="shared" si="58"/>
        <v>#VALUE!</v>
      </c>
      <c r="J111" s="239"/>
      <c r="K111" s="477" t="str">
        <f t="shared" si="59"/>
        <v/>
      </c>
      <c r="L111" s="246" t="str">
        <f t="shared" si="50"/>
        <v/>
      </c>
      <c r="M111" s="246" t="str">
        <f t="shared" si="51"/>
        <v/>
      </c>
      <c r="N111" s="246" t="str">
        <f t="shared" si="52"/>
        <v/>
      </c>
      <c r="O111" s="69"/>
      <c r="P111" s="69"/>
      <c r="Q111" s="69"/>
      <c r="R111" s="470"/>
      <c r="S111" s="69"/>
      <c r="T111" s="69"/>
      <c r="U111" s="69"/>
      <c r="V111" s="69"/>
      <c r="W111" s="69"/>
      <c r="X111" s="69"/>
      <c r="Y111" s="69"/>
      <c r="Z111" s="69"/>
      <c r="AA111" s="69"/>
      <c r="AB111" s="69"/>
      <c r="AC111" s="69"/>
      <c r="AD111" s="69"/>
      <c r="AE111" s="69"/>
      <c r="AF111" s="69"/>
      <c r="AG111" s="69"/>
      <c r="AH111" s="69"/>
      <c r="AI111" s="69"/>
      <c r="AJ111" s="69"/>
      <c r="AK111" s="193" t="e">
        <f t="shared" si="60"/>
        <v>#VALUE!</v>
      </c>
      <c r="AL111" s="461" t="e">
        <f t="shared" si="61"/>
        <v>#VALUE!</v>
      </c>
      <c r="AM111" s="461" t="e">
        <f t="shared" si="44"/>
        <v>#VALUE!</v>
      </c>
      <c r="AN111" s="194" t="e">
        <f t="shared" si="45"/>
        <v>#VALUE!</v>
      </c>
      <c r="AO111" s="462"/>
      <c r="AP111" s="462"/>
      <c r="AQ111" s="441"/>
    </row>
    <row r="112" spans="2:43" x14ac:dyDescent="0.15">
      <c r="B112" s="354" t="str">
        <f t="shared" si="48"/>
        <v/>
      </c>
      <c r="C112" s="239" t="str">
        <f t="shared" si="53"/>
        <v/>
      </c>
      <c r="D112" s="239" t="str">
        <f t="shared" si="49"/>
        <v/>
      </c>
      <c r="E112" s="248" t="str">
        <f t="shared" si="54"/>
        <v/>
      </c>
      <c r="F112" s="1045" t="str">
        <f t="shared" si="55"/>
        <v/>
      </c>
      <c r="G112" s="184" t="str">
        <f t="shared" si="56"/>
        <v/>
      </c>
      <c r="H112" s="941" t="e">
        <f t="shared" si="57"/>
        <v>#VALUE!</v>
      </c>
      <c r="I112" s="353" t="e">
        <f t="shared" si="58"/>
        <v>#VALUE!</v>
      </c>
      <c r="J112" s="239"/>
      <c r="K112" s="477" t="str">
        <f t="shared" si="59"/>
        <v/>
      </c>
      <c r="L112" s="246" t="str">
        <f t="shared" si="50"/>
        <v/>
      </c>
      <c r="M112" s="246" t="str">
        <f t="shared" si="51"/>
        <v/>
      </c>
      <c r="N112" s="246" t="str">
        <f t="shared" si="52"/>
        <v/>
      </c>
      <c r="O112" s="69"/>
      <c r="P112" s="69"/>
      <c r="Q112" s="69"/>
      <c r="R112" s="470"/>
      <c r="S112" s="69"/>
      <c r="T112" s="69"/>
      <c r="U112" s="69"/>
      <c r="V112" s="69"/>
      <c r="W112" s="69"/>
      <c r="X112" s="69"/>
      <c r="Y112" s="69"/>
      <c r="Z112" s="69"/>
      <c r="AA112" s="69"/>
      <c r="AB112" s="69"/>
      <c r="AC112" s="69"/>
      <c r="AD112" s="69"/>
      <c r="AE112" s="69"/>
      <c r="AF112" s="69"/>
      <c r="AG112" s="69"/>
      <c r="AH112" s="69"/>
      <c r="AI112" s="69"/>
      <c r="AJ112" s="69"/>
      <c r="AK112" s="193" t="e">
        <f t="shared" si="60"/>
        <v>#VALUE!</v>
      </c>
      <c r="AL112" s="461" t="e">
        <f t="shared" si="61"/>
        <v>#VALUE!</v>
      </c>
      <c r="AM112" s="461" t="e">
        <f t="shared" si="44"/>
        <v>#VALUE!</v>
      </c>
      <c r="AN112" s="194" t="e">
        <f t="shared" si="45"/>
        <v>#VALUE!</v>
      </c>
      <c r="AO112" s="462"/>
      <c r="AP112" s="462"/>
      <c r="AQ112" s="441"/>
    </row>
    <row r="113" spans="2:43" x14ac:dyDescent="0.15">
      <c r="B113" s="354" t="str">
        <f t="shared" si="48"/>
        <v/>
      </c>
      <c r="C113" s="239" t="str">
        <f t="shared" si="53"/>
        <v/>
      </c>
      <c r="D113" s="239" t="str">
        <f t="shared" si="49"/>
        <v/>
      </c>
      <c r="E113" s="248" t="str">
        <f t="shared" si="54"/>
        <v/>
      </c>
      <c r="F113" s="1045" t="str">
        <f t="shared" si="55"/>
        <v/>
      </c>
      <c r="G113" s="184" t="str">
        <f t="shared" si="56"/>
        <v/>
      </c>
      <c r="H113" s="941" t="e">
        <f t="shared" si="57"/>
        <v>#VALUE!</v>
      </c>
      <c r="I113" s="353" t="e">
        <f t="shared" si="58"/>
        <v>#VALUE!</v>
      </c>
      <c r="J113" s="239"/>
      <c r="K113" s="477" t="str">
        <f t="shared" si="59"/>
        <v/>
      </c>
      <c r="L113" s="246" t="str">
        <f t="shared" si="50"/>
        <v/>
      </c>
      <c r="M113" s="246" t="str">
        <f t="shared" si="51"/>
        <v/>
      </c>
      <c r="N113" s="246" t="str">
        <f t="shared" si="52"/>
        <v/>
      </c>
      <c r="O113" s="69"/>
      <c r="P113" s="69"/>
      <c r="Q113" s="69"/>
      <c r="R113" s="470"/>
      <c r="S113" s="69"/>
      <c r="T113" s="69"/>
      <c r="U113" s="69"/>
      <c r="V113" s="69"/>
      <c r="W113" s="69"/>
      <c r="X113" s="69"/>
      <c r="Y113" s="69"/>
      <c r="Z113" s="69"/>
      <c r="AA113" s="69"/>
      <c r="AB113" s="69"/>
      <c r="AC113" s="69"/>
      <c r="AD113" s="69"/>
      <c r="AE113" s="69"/>
      <c r="AF113" s="69"/>
      <c r="AG113" s="69"/>
      <c r="AH113" s="69"/>
      <c r="AI113" s="69"/>
      <c r="AJ113" s="69"/>
      <c r="AK113" s="193" t="e">
        <f t="shared" si="60"/>
        <v>#VALUE!</v>
      </c>
      <c r="AL113" s="461" t="e">
        <f t="shared" si="61"/>
        <v>#VALUE!</v>
      </c>
      <c r="AM113" s="461" t="e">
        <f t="shared" si="44"/>
        <v>#VALUE!</v>
      </c>
      <c r="AN113" s="194" t="e">
        <f t="shared" si="45"/>
        <v>#VALUE!</v>
      </c>
      <c r="AO113" s="462"/>
      <c r="AP113" s="462"/>
      <c r="AQ113" s="441"/>
    </row>
    <row r="114" spans="2:43" x14ac:dyDescent="0.15">
      <c r="B114" s="354" t="str">
        <f t="shared" si="48"/>
        <v/>
      </c>
      <c r="C114" s="239" t="str">
        <f t="shared" si="53"/>
        <v/>
      </c>
      <c r="D114" s="239" t="str">
        <f t="shared" si="49"/>
        <v/>
      </c>
      <c r="E114" s="248" t="str">
        <f t="shared" si="54"/>
        <v/>
      </c>
      <c r="F114" s="1045" t="str">
        <f t="shared" si="55"/>
        <v/>
      </c>
      <c r="G114" s="184" t="str">
        <f t="shared" si="56"/>
        <v/>
      </c>
      <c r="H114" s="941" t="e">
        <f t="shared" si="57"/>
        <v>#VALUE!</v>
      </c>
      <c r="I114" s="353" t="e">
        <f t="shared" si="58"/>
        <v>#VALUE!</v>
      </c>
      <c r="J114" s="239"/>
      <c r="K114" s="477" t="str">
        <f t="shared" si="59"/>
        <v/>
      </c>
      <c r="L114" s="246" t="str">
        <f t="shared" si="50"/>
        <v/>
      </c>
      <c r="M114" s="246" t="str">
        <f t="shared" si="51"/>
        <v/>
      </c>
      <c r="N114" s="246" t="str">
        <f t="shared" si="52"/>
        <v/>
      </c>
      <c r="O114" s="69"/>
      <c r="P114" s="69"/>
      <c r="Q114" s="69"/>
      <c r="R114" s="470"/>
      <c r="S114" s="69"/>
      <c r="T114" s="69"/>
      <c r="U114" s="69"/>
      <c r="V114" s="69"/>
      <c r="W114" s="69"/>
      <c r="X114" s="69"/>
      <c r="Y114" s="69"/>
      <c r="Z114" s="69"/>
      <c r="AA114" s="69"/>
      <c r="AB114" s="69"/>
      <c r="AC114" s="69"/>
      <c r="AD114" s="69"/>
      <c r="AE114" s="69"/>
      <c r="AF114" s="69"/>
      <c r="AG114" s="69"/>
      <c r="AH114" s="69"/>
      <c r="AI114" s="69"/>
      <c r="AJ114" s="69"/>
      <c r="AK114" s="193" t="e">
        <f t="shared" si="60"/>
        <v>#VALUE!</v>
      </c>
      <c r="AL114" s="461" t="e">
        <f t="shared" si="61"/>
        <v>#VALUE!</v>
      </c>
      <c r="AM114" s="461" t="e">
        <f t="shared" si="44"/>
        <v>#VALUE!</v>
      </c>
      <c r="AN114" s="194" t="e">
        <f t="shared" si="45"/>
        <v>#VALUE!</v>
      </c>
      <c r="AO114" s="462"/>
      <c r="AP114" s="462"/>
      <c r="AQ114" s="441"/>
    </row>
    <row r="115" spans="2:43" x14ac:dyDescent="0.15">
      <c r="B115" s="354" t="str">
        <f t="shared" si="48"/>
        <v/>
      </c>
      <c r="C115" s="239" t="str">
        <f t="shared" si="53"/>
        <v/>
      </c>
      <c r="D115" s="239" t="str">
        <f t="shared" si="49"/>
        <v/>
      </c>
      <c r="E115" s="248" t="str">
        <f t="shared" si="54"/>
        <v/>
      </c>
      <c r="F115" s="1045" t="str">
        <f t="shared" si="55"/>
        <v/>
      </c>
      <c r="G115" s="184" t="str">
        <f t="shared" si="56"/>
        <v/>
      </c>
      <c r="H115" s="941" t="e">
        <f t="shared" si="57"/>
        <v>#VALUE!</v>
      </c>
      <c r="I115" s="353" t="e">
        <f t="shared" si="58"/>
        <v>#VALUE!</v>
      </c>
      <c r="J115" s="239"/>
      <c r="K115" s="477" t="str">
        <f t="shared" si="59"/>
        <v/>
      </c>
      <c r="L115" s="246" t="str">
        <f t="shared" si="50"/>
        <v/>
      </c>
      <c r="M115" s="246" t="str">
        <f t="shared" si="51"/>
        <v/>
      </c>
      <c r="N115" s="246" t="str">
        <f t="shared" si="52"/>
        <v/>
      </c>
      <c r="O115" s="69"/>
      <c r="P115" s="69"/>
      <c r="Q115" s="69"/>
      <c r="R115" s="470"/>
      <c r="S115" s="69"/>
      <c r="T115" s="69"/>
      <c r="U115" s="69"/>
      <c r="V115" s="69"/>
      <c r="W115" s="69"/>
      <c r="X115" s="69"/>
      <c r="Y115" s="69"/>
      <c r="Z115" s="69"/>
      <c r="AA115" s="69"/>
      <c r="AB115" s="69"/>
      <c r="AC115" s="69"/>
      <c r="AD115" s="69"/>
      <c r="AE115" s="69"/>
      <c r="AF115" s="69"/>
      <c r="AG115" s="69"/>
      <c r="AH115" s="69"/>
      <c r="AI115" s="69"/>
      <c r="AJ115" s="69"/>
      <c r="AK115" s="193" t="e">
        <f t="shared" si="60"/>
        <v>#VALUE!</v>
      </c>
      <c r="AL115" s="461" t="e">
        <f t="shared" si="61"/>
        <v>#VALUE!</v>
      </c>
      <c r="AM115" s="461" t="e">
        <f t="shared" si="44"/>
        <v>#VALUE!</v>
      </c>
      <c r="AN115" s="194" t="e">
        <f t="shared" si="45"/>
        <v>#VALUE!</v>
      </c>
      <c r="AO115" s="462"/>
      <c r="AP115" s="462"/>
      <c r="AQ115" s="441"/>
    </row>
    <row r="116" spans="2:43" x14ac:dyDescent="0.15">
      <c r="B116" s="354" t="str">
        <f t="shared" si="48"/>
        <v/>
      </c>
      <c r="C116" s="239" t="str">
        <f t="shared" si="53"/>
        <v/>
      </c>
      <c r="D116" s="239" t="str">
        <f t="shared" si="49"/>
        <v/>
      </c>
      <c r="E116" s="248" t="str">
        <f t="shared" si="54"/>
        <v/>
      </c>
      <c r="F116" s="1045" t="str">
        <f t="shared" si="55"/>
        <v/>
      </c>
      <c r="G116" s="184" t="str">
        <f t="shared" si="56"/>
        <v/>
      </c>
      <c r="H116" s="941" t="e">
        <f t="shared" si="57"/>
        <v>#VALUE!</v>
      </c>
      <c r="I116" s="353" t="e">
        <f t="shared" si="58"/>
        <v>#VALUE!</v>
      </c>
      <c r="J116" s="239"/>
      <c r="K116" s="477" t="str">
        <f t="shared" si="59"/>
        <v/>
      </c>
      <c r="L116" s="246" t="str">
        <f t="shared" si="50"/>
        <v/>
      </c>
      <c r="M116" s="246" t="str">
        <f t="shared" si="51"/>
        <v/>
      </c>
      <c r="N116" s="246" t="str">
        <f t="shared" si="52"/>
        <v/>
      </c>
      <c r="O116" s="69"/>
      <c r="P116" s="69"/>
      <c r="Q116" s="69"/>
      <c r="R116" s="470"/>
      <c r="S116" s="69"/>
      <c r="T116" s="69"/>
      <c r="U116" s="69"/>
      <c r="V116" s="69"/>
      <c r="W116" s="69"/>
      <c r="X116" s="69"/>
      <c r="Y116" s="69"/>
      <c r="Z116" s="69"/>
      <c r="AA116" s="69"/>
      <c r="AB116" s="69"/>
      <c r="AC116" s="69"/>
      <c r="AD116" s="69"/>
      <c r="AE116" s="69"/>
      <c r="AF116" s="69"/>
      <c r="AG116" s="69"/>
      <c r="AH116" s="69"/>
      <c r="AI116" s="69"/>
      <c r="AJ116" s="69"/>
      <c r="AK116" s="193" t="e">
        <f t="shared" si="60"/>
        <v>#VALUE!</v>
      </c>
      <c r="AL116" s="461" t="e">
        <f t="shared" si="61"/>
        <v>#VALUE!</v>
      </c>
      <c r="AM116" s="461" t="e">
        <f t="shared" si="44"/>
        <v>#VALUE!</v>
      </c>
      <c r="AN116" s="194" t="e">
        <f t="shared" si="45"/>
        <v>#VALUE!</v>
      </c>
      <c r="AO116" s="462"/>
      <c r="AP116" s="462"/>
      <c r="AQ116" s="441"/>
    </row>
    <row r="117" spans="2:43" x14ac:dyDescent="0.15">
      <c r="B117" s="354" t="str">
        <f t="shared" si="48"/>
        <v/>
      </c>
      <c r="C117" s="239" t="str">
        <f t="shared" si="53"/>
        <v/>
      </c>
      <c r="D117" s="239" t="str">
        <f t="shared" si="49"/>
        <v/>
      </c>
      <c r="E117" s="248" t="str">
        <f t="shared" si="54"/>
        <v/>
      </c>
      <c r="F117" s="1045" t="str">
        <f t="shared" si="55"/>
        <v/>
      </c>
      <c r="G117" s="184" t="str">
        <f t="shared" si="56"/>
        <v/>
      </c>
      <c r="H117" s="941" t="e">
        <f t="shared" si="57"/>
        <v>#VALUE!</v>
      </c>
      <c r="I117" s="353" t="e">
        <f t="shared" si="58"/>
        <v>#VALUE!</v>
      </c>
      <c r="J117" s="239"/>
      <c r="K117" s="477" t="str">
        <f t="shared" si="59"/>
        <v/>
      </c>
      <c r="L117" s="246" t="str">
        <f t="shared" si="50"/>
        <v/>
      </c>
      <c r="M117" s="246" t="str">
        <f t="shared" si="51"/>
        <v/>
      </c>
      <c r="N117" s="246" t="str">
        <f t="shared" si="52"/>
        <v/>
      </c>
      <c r="O117" s="69"/>
      <c r="P117" s="69"/>
      <c r="Q117" s="69"/>
      <c r="R117" s="470"/>
      <c r="S117" s="69"/>
      <c r="T117" s="69"/>
      <c r="U117" s="69"/>
      <c r="V117" s="69"/>
      <c r="W117" s="69"/>
      <c r="X117" s="69"/>
      <c r="Y117" s="69"/>
      <c r="Z117" s="69"/>
      <c r="AA117" s="69"/>
      <c r="AB117" s="69"/>
      <c r="AC117" s="69"/>
      <c r="AD117" s="69"/>
      <c r="AE117" s="69"/>
      <c r="AF117" s="69"/>
      <c r="AG117" s="69"/>
      <c r="AH117" s="69"/>
      <c r="AI117" s="69"/>
      <c r="AJ117" s="69"/>
      <c r="AK117" s="193" t="e">
        <f>+Z10</f>
        <v>#VALUE!</v>
      </c>
      <c r="AL117" s="461" t="e">
        <f t="shared" si="61"/>
        <v>#VALUE!</v>
      </c>
      <c r="AM117" s="461" t="e">
        <f t="shared" si="44"/>
        <v>#VALUE!</v>
      </c>
      <c r="AN117" s="194" t="e">
        <f t="shared" si="45"/>
        <v>#VALUE!</v>
      </c>
      <c r="AO117" s="462"/>
      <c r="AP117" s="462"/>
      <c r="AQ117" s="441"/>
    </row>
    <row r="118" spans="2:43" x14ac:dyDescent="0.15">
      <c r="B118" s="354" t="str">
        <f t="shared" si="48"/>
        <v/>
      </c>
      <c r="C118" s="239" t="str">
        <f t="shared" si="53"/>
        <v/>
      </c>
      <c r="D118" s="239" t="str">
        <f t="shared" si="49"/>
        <v/>
      </c>
      <c r="E118" s="248" t="str">
        <f t="shared" si="54"/>
        <v/>
      </c>
      <c r="F118" s="1045" t="str">
        <f t="shared" si="55"/>
        <v/>
      </c>
      <c r="G118" s="184" t="str">
        <f t="shared" si="56"/>
        <v/>
      </c>
      <c r="H118" s="941" t="e">
        <f t="shared" si="57"/>
        <v>#VALUE!</v>
      </c>
      <c r="I118" s="353" t="e">
        <f t="shared" si="58"/>
        <v>#VALUE!</v>
      </c>
      <c r="J118" s="239"/>
      <c r="K118" s="477" t="str">
        <f t="shared" si="59"/>
        <v/>
      </c>
      <c r="L118" s="246" t="str">
        <f t="shared" si="50"/>
        <v/>
      </c>
      <c r="M118" s="246" t="str">
        <f t="shared" si="51"/>
        <v/>
      </c>
      <c r="N118" s="246" t="str">
        <f t="shared" si="52"/>
        <v/>
      </c>
      <c r="O118" s="69"/>
      <c r="P118" s="69"/>
      <c r="Q118" s="69"/>
      <c r="R118" s="470"/>
      <c r="S118" s="69"/>
      <c r="T118" s="69"/>
      <c r="U118" s="69"/>
      <c r="V118" s="69"/>
      <c r="W118" s="69"/>
      <c r="X118" s="69"/>
      <c r="Y118" s="69"/>
      <c r="Z118" s="69"/>
      <c r="AA118" s="69"/>
      <c r="AB118" s="69"/>
      <c r="AC118" s="69"/>
      <c r="AD118" s="69"/>
      <c r="AE118" s="69"/>
      <c r="AF118" s="69"/>
      <c r="AG118" s="69"/>
      <c r="AH118" s="69"/>
      <c r="AI118" s="69"/>
      <c r="AJ118" s="69"/>
      <c r="AK118" s="193" t="e">
        <f>+Z11</f>
        <v>#VALUE!</v>
      </c>
      <c r="AL118" s="461" t="e">
        <f t="shared" si="61"/>
        <v>#VALUE!</v>
      </c>
      <c r="AM118" s="461" t="e">
        <f t="shared" si="44"/>
        <v>#VALUE!</v>
      </c>
      <c r="AN118" s="194" t="e">
        <f t="shared" si="45"/>
        <v>#VALUE!</v>
      </c>
      <c r="AO118" s="462"/>
      <c r="AP118" s="462"/>
      <c r="AQ118" s="441"/>
    </row>
    <row r="119" spans="2:43" x14ac:dyDescent="0.15">
      <c r="B119" s="354" t="str">
        <f t="shared" si="48"/>
        <v/>
      </c>
      <c r="C119" s="239" t="str">
        <f t="shared" si="53"/>
        <v/>
      </c>
      <c r="D119" s="239" t="str">
        <f t="shared" si="49"/>
        <v/>
      </c>
      <c r="E119" s="248" t="str">
        <f t="shared" si="54"/>
        <v/>
      </c>
      <c r="F119" s="1045" t="str">
        <f t="shared" si="55"/>
        <v/>
      </c>
      <c r="G119" s="184" t="str">
        <f t="shared" si="56"/>
        <v/>
      </c>
      <c r="H119" s="941" t="e">
        <f t="shared" si="57"/>
        <v>#VALUE!</v>
      </c>
      <c r="I119" s="353" t="e">
        <f t="shared" si="58"/>
        <v>#VALUE!</v>
      </c>
      <c r="J119" s="239"/>
      <c r="K119" s="477" t="str">
        <f t="shared" si="59"/>
        <v/>
      </c>
      <c r="L119" s="246" t="str">
        <f t="shared" si="50"/>
        <v/>
      </c>
      <c r="M119" s="246" t="str">
        <f t="shared" si="51"/>
        <v/>
      </c>
      <c r="N119" s="246" t="str">
        <f t="shared" si="52"/>
        <v/>
      </c>
      <c r="O119" s="69"/>
      <c r="P119" s="69"/>
      <c r="Q119" s="69"/>
      <c r="R119" s="470"/>
      <c r="S119" s="69"/>
      <c r="T119" s="69"/>
      <c r="U119" s="69"/>
      <c r="V119" s="69"/>
      <c r="W119" s="69"/>
      <c r="X119" s="69"/>
      <c r="Y119" s="69"/>
      <c r="Z119" s="69"/>
      <c r="AA119" s="69"/>
      <c r="AB119" s="69"/>
      <c r="AC119" s="69"/>
      <c r="AD119" s="69"/>
      <c r="AE119" s="69"/>
      <c r="AF119" s="69"/>
      <c r="AG119" s="69"/>
      <c r="AH119" s="69"/>
      <c r="AI119" s="69"/>
      <c r="AJ119" s="69"/>
      <c r="AK119" s="193" t="e">
        <f t="shared" ref="AK119:AK128" si="62">+Z13</f>
        <v>#VALUE!</v>
      </c>
      <c r="AL119" s="461" t="e">
        <f t="shared" si="61"/>
        <v>#VALUE!</v>
      </c>
      <c r="AM119" s="461" t="e">
        <f t="shared" si="44"/>
        <v>#VALUE!</v>
      </c>
      <c r="AN119" s="194" t="e">
        <f t="shared" si="45"/>
        <v>#VALUE!</v>
      </c>
      <c r="AO119" s="462"/>
      <c r="AP119" s="462"/>
      <c r="AQ119" s="441"/>
    </row>
    <row r="120" spans="2:43" x14ac:dyDescent="0.15">
      <c r="B120" s="354" t="str">
        <f t="shared" si="48"/>
        <v/>
      </c>
      <c r="C120" s="239" t="str">
        <f t="shared" si="53"/>
        <v/>
      </c>
      <c r="D120" s="239" t="str">
        <f t="shared" si="49"/>
        <v/>
      </c>
      <c r="E120" s="248" t="str">
        <f t="shared" si="54"/>
        <v/>
      </c>
      <c r="F120" s="1045" t="str">
        <f t="shared" si="55"/>
        <v/>
      </c>
      <c r="G120" s="184" t="str">
        <f t="shared" si="56"/>
        <v/>
      </c>
      <c r="H120" s="941" t="e">
        <f t="shared" si="57"/>
        <v>#VALUE!</v>
      </c>
      <c r="I120" s="353" t="e">
        <f t="shared" si="58"/>
        <v>#VALUE!</v>
      </c>
      <c r="J120" s="239"/>
      <c r="K120" s="477" t="str">
        <f t="shared" si="59"/>
        <v/>
      </c>
      <c r="L120" s="246" t="str">
        <f t="shared" si="50"/>
        <v/>
      </c>
      <c r="M120" s="246" t="str">
        <f t="shared" si="51"/>
        <v/>
      </c>
      <c r="N120" s="246" t="str">
        <f t="shared" si="52"/>
        <v/>
      </c>
      <c r="O120" s="69"/>
      <c r="P120" s="69"/>
      <c r="Q120" s="69"/>
      <c r="R120" s="470"/>
      <c r="S120" s="69"/>
      <c r="T120" s="69"/>
      <c r="U120" s="69"/>
      <c r="V120" s="69"/>
      <c r="W120" s="69"/>
      <c r="X120" s="69"/>
      <c r="Y120" s="69"/>
      <c r="Z120" s="69"/>
      <c r="AA120" s="69"/>
      <c r="AB120" s="69"/>
      <c r="AC120" s="69"/>
      <c r="AD120" s="69"/>
      <c r="AE120" s="69"/>
      <c r="AF120" s="69"/>
      <c r="AG120" s="69"/>
      <c r="AH120" s="69"/>
      <c r="AI120" s="69"/>
      <c r="AJ120" s="69"/>
      <c r="AK120" s="193" t="e">
        <f t="shared" si="62"/>
        <v>#VALUE!</v>
      </c>
      <c r="AL120" s="461" t="e">
        <f t="shared" si="61"/>
        <v>#VALUE!</v>
      </c>
      <c r="AM120" s="461" t="e">
        <f t="shared" si="44"/>
        <v>#VALUE!</v>
      </c>
      <c r="AN120" s="194" t="e">
        <f t="shared" si="45"/>
        <v>#VALUE!</v>
      </c>
      <c r="AO120" s="462"/>
      <c r="AP120" s="462"/>
      <c r="AQ120" s="441"/>
    </row>
    <row r="121" spans="2:43" x14ac:dyDescent="0.15">
      <c r="B121" s="354" t="str">
        <f t="shared" si="48"/>
        <v/>
      </c>
      <c r="C121" s="239" t="str">
        <f t="shared" si="53"/>
        <v/>
      </c>
      <c r="D121" s="239" t="str">
        <f t="shared" si="49"/>
        <v/>
      </c>
      <c r="E121" s="248" t="str">
        <f t="shared" si="54"/>
        <v/>
      </c>
      <c r="F121" s="1045" t="str">
        <f t="shared" si="55"/>
        <v/>
      </c>
      <c r="G121" s="184" t="str">
        <f t="shared" si="56"/>
        <v/>
      </c>
      <c r="H121" s="941" t="e">
        <f t="shared" si="57"/>
        <v>#VALUE!</v>
      </c>
      <c r="I121" s="353" t="e">
        <f t="shared" si="58"/>
        <v>#VALUE!</v>
      </c>
      <c r="J121" s="239"/>
      <c r="K121" s="477" t="str">
        <f t="shared" si="59"/>
        <v/>
      </c>
      <c r="L121" s="246" t="str">
        <f t="shared" si="50"/>
        <v/>
      </c>
      <c r="M121" s="246" t="str">
        <f t="shared" si="51"/>
        <v/>
      </c>
      <c r="N121" s="246" t="str">
        <f t="shared" si="52"/>
        <v/>
      </c>
      <c r="O121" s="69"/>
      <c r="P121" s="69"/>
      <c r="Q121" s="69"/>
      <c r="R121" s="470"/>
      <c r="S121" s="69"/>
      <c r="T121" s="69"/>
      <c r="U121" s="69"/>
      <c r="V121" s="69"/>
      <c r="W121" s="69"/>
      <c r="X121" s="69"/>
      <c r="Y121" s="69"/>
      <c r="Z121" s="69"/>
      <c r="AA121" s="69"/>
      <c r="AB121" s="69"/>
      <c r="AC121" s="69"/>
      <c r="AD121" s="69"/>
      <c r="AE121" s="69"/>
      <c r="AF121" s="69"/>
      <c r="AG121" s="69"/>
      <c r="AH121" s="69"/>
      <c r="AI121" s="69"/>
      <c r="AJ121" s="69"/>
      <c r="AK121" s="193" t="e">
        <f t="shared" si="62"/>
        <v>#VALUE!</v>
      </c>
      <c r="AL121" s="461" t="e">
        <f t="shared" si="61"/>
        <v>#VALUE!</v>
      </c>
      <c r="AM121" s="461" t="e">
        <f t="shared" si="44"/>
        <v>#VALUE!</v>
      </c>
      <c r="AN121" s="194" t="e">
        <f t="shared" si="45"/>
        <v>#VALUE!</v>
      </c>
      <c r="AO121" s="462"/>
      <c r="AP121" s="462"/>
      <c r="AQ121" s="441"/>
    </row>
    <row r="122" spans="2:43" x14ac:dyDescent="0.15">
      <c r="B122" s="354" t="str">
        <f t="shared" si="48"/>
        <v/>
      </c>
      <c r="C122" s="239" t="str">
        <f t="shared" si="53"/>
        <v/>
      </c>
      <c r="D122" s="239" t="str">
        <f t="shared" si="49"/>
        <v/>
      </c>
      <c r="E122" s="248" t="str">
        <f t="shared" si="54"/>
        <v/>
      </c>
      <c r="F122" s="1045" t="str">
        <f t="shared" si="55"/>
        <v/>
      </c>
      <c r="G122" s="184" t="str">
        <f t="shared" si="56"/>
        <v/>
      </c>
      <c r="H122" s="941" t="e">
        <f t="shared" si="57"/>
        <v>#VALUE!</v>
      </c>
      <c r="I122" s="353" t="e">
        <f t="shared" si="58"/>
        <v>#VALUE!</v>
      </c>
      <c r="J122" s="239"/>
      <c r="K122" s="477" t="str">
        <f t="shared" si="59"/>
        <v/>
      </c>
      <c r="L122" s="246" t="str">
        <f t="shared" si="50"/>
        <v/>
      </c>
      <c r="M122" s="246" t="str">
        <f t="shared" si="51"/>
        <v/>
      </c>
      <c r="N122" s="246" t="str">
        <f t="shared" si="52"/>
        <v/>
      </c>
      <c r="O122" s="69"/>
      <c r="P122" s="69"/>
      <c r="Q122" s="69"/>
      <c r="R122" s="470"/>
      <c r="S122" s="69"/>
      <c r="T122" s="69"/>
      <c r="U122" s="69"/>
      <c r="V122" s="69"/>
      <c r="W122" s="69"/>
      <c r="X122" s="69"/>
      <c r="Y122" s="69"/>
      <c r="Z122" s="69"/>
      <c r="AA122" s="69"/>
      <c r="AB122" s="69"/>
      <c r="AC122" s="69"/>
      <c r="AD122" s="69"/>
      <c r="AE122" s="69"/>
      <c r="AF122" s="69"/>
      <c r="AG122" s="69"/>
      <c r="AH122" s="69"/>
      <c r="AI122" s="69"/>
      <c r="AJ122" s="69"/>
      <c r="AK122" s="193" t="e">
        <f t="shared" si="62"/>
        <v>#VALUE!</v>
      </c>
      <c r="AL122" s="461" t="e">
        <f t="shared" si="61"/>
        <v>#VALUE!</v>
      </c>
      <c r="AM122" s="461" t="e">
        <f t="shared" si="44"/>
        <v>#VALUE!</v>
      </c>
      <c r="AN122" s="194" t="e">
        <f t="shared" si="45"/>
        <v>#VALUE!</v>
      </c>
      <c r="AO122" s="462"/>
      <c r="AP122" s="462"/>
      <c r="AQ122" s="441"/>
    </row>
    <row r="123" spans="2:43" x14ac:dyDescent="0.15">
      <c r="B123" s="354" t="str">
        <f t="shared" si="48"/>
        <v/>
      </c>
      <c r="C123" s="239" t="str">
        <f t="shared" si="53"/>
        <v/>
      </c>
      <c r="D123" s="239" t="str">
        <f t="shared" si="49"/>
        <v/>
      </c>
      <c r="E123" s="248" t="str">
        <f t="shared" si="54"/>
        <v/>
      </c>
      <c r="F123" s="1045" t="str">
        <f t="shared" si="55"/>
        <v/>
      </c>
      <c r="G123" s="184" t="str">
        <f t="shared" si="56"/>
        <v/>
      </c>
      <c r="H123" s="941" t="e">
        <f t="shared" si="57"/>
        <v>#VALUE!</v>
      </c>
      <c r="I123" s="353" t="e">
        <f t="shared" si="58"/>
        <v>#VALUE!</v>
      </c>
      <c r="J123" s="239"/>
      <c r="K123" s="477" t="str">
        <f t="shared" si="59"/>
        <v/>
      </c>
      <c r="L123" s="246" t="str">
        <f t="shared" si="50"/>
        <v/>
      </c>
      <c r="M123" s="246" t="str">
        <f t="shared" si="51"/>
        <v/>
      </c>
      <c r="N123" s="246" t="str">
        <f t="shared" si="52"/>
        <v/>
      </c>
      <c r="O123" s="69"/>
      <c r="P123" s="69"/>
      <c r="Q123" s="69"/>
      <c r="R123" s="470"/>
      <c r="S123" s="69"/>
      <c r="T123" s="69"/>
      <c r="U123" s="69"/>
      <c r="V123" s="69"/>
      <c r="W123" s="69"/>
      <c r="X123" s="69"/>
      <c r="Y123" s="69"/>
      <c r="Z123" s="69"/>
      <c r="AA123" s="69"/>
      <c r="AB123" s="69"/>
      <c r="AC123" s="69"/>
      <c r="AD123" s="69"/>
      <c r="AE123" s="69"/>
      <c r="AF123" s="69"/>
      <c r="AG123" s="69"/>
      <c r="AH123" s="69"/>
      <c r="AI123" s="69"/>
      <c r="AJ123" s="69"/>
      <c r="AK123" s="193" t="e">
        <f t="shared" si="62"/>
        <v>#VALUE!</v>
      </c>
      <c r="AL123" s="461" t="e">
        <f t="shared" si="61"/>
        <v>#VALUE!</v>
      </c>
      <c r="AM123" s="461" t="e">
        <f t="shared" si="44"/>
        <v>#VALUE!</v>
      </c>
      <c r="AN123" s="194" t="e">
        <f t="shared" si="45"/>
        <v>#VALUE!</v>
      </c>
      <c r="AO123" s="462"/>
      <c r="AP123" s="462"/>
      <c r="AQ123" s="441"/>
    </row>
    <row r="124" spans="2:43" x14ac:dyDescent="0.15">
      <c r="B124" s="354" t="str">
        <f t="shared" si="48"/>
        <v/>
      </c>
      <c r="C124" s="239" t="str">
        <f t="shared" si="53"/>
        <v/>
      </c>
      <c r="D124" s="239" t="str">
        <f t="shared" si="49"/>
        <v/>
      </c>
      <c r="E124" s="248" t="str">
        <f t="shared" si="54"/>
        <v/>
      </c>
      <c r="F124" s="1045" t="str">
        <f t="shared" si="55"/>
        <v/>
      </c>
      <c r="G124" s="184" t="str">
        <f t="shared" si="56"/>
        <v/>
      </c>
      <c r="H124" s="941" t="e">
        <f t="shared" si="57"/>
        <v>#VALUE!</v>
      </c>
      <c r="I124" s="353" t="e">
        <f t="shared" si="58"/>
        <v>#VALUE!</v>
      </c>
      <c r="J124" s="239"/>
      <c r="K124" s="477" t="str">
        <f t="shared" si="59"/>
        <v/>
      </c>
      <c r="L124" s="246" t="str">
        <f t="shared" si="50"/>
        <v/>
      </c>
      <c r="M124" s="246" t="str">
        <f t="shared" si="51"/>
        <v/>
      </c>
      <c r="N124" s="246" t="str">
        <f t="shared" si="52"/>
        <v/>
      </c>
      <c r="O124" s="69"/>
      <c r="P124" s="69"/>
      <c r="Q124" s="69"/>
      <c r="R124" s="470"/>
      <c r="S124" s="69"/>
      <c r="T124" s="69"/>
      <c r="U124" s="69"/>
      <c r="V124" s="69"/>
      <c r="W124" s="69"/>
      <c r="X124" s="69"/>
      <c r="Y124" s="69"/>
      <c r="Z124" s="69"/>
      <c r="AA124" s="69"/>
      <c r="AB124" s="69"/>
      <c r="AC124" s="69"/>
      <c r="AD124" s="69"/>
      <c r="AE124" s="69"/>
      <c r="AF124" s="69"/>
      <c r="AG124" s="69"/>
      <c r="AH124" s="69"/>
      <c r="AI124" s="69"/>
      <c r="AJ124" s="69"/>
      <c r="AK124" s="193" t="e">
        <f t="shared" si="62"/>
        <v>#VALUE!</v>
      </c>
      <c r="AL124" s="461" t="e">
        <f t="shared" si="61"/>
        <v>#VALUE!</v>
      </c>
      <c r="AM124" s="461" t="e">
        <f t="shared" si="44"/>
        <v>#VALUE!</v>
      </c>
      <c r="AN124" s="194" t="e">
        <f t="shared" si="45"/>
        <v>#VALUE!</v>
      </c>
      <c r="AO124" s="462"/>
      <c r="AP124" s="462"/>
      <c r="AQ124" s="441"/>
    </row>
    <row r="125" spans="2:43" x14ac:dyDescent="0.15">
      <c r="B125" s="354" t="str">
        <f t="shared" si="48"/>
        <v/>
      </c>
      <c r="C125" s="239" t="str">
        <f t="shared" si="53"/>
        <v/>
      </c>
      <c r="D125" s="239" t="str">
        <f t="shared" si="49"/>
        <v/>
      </c>
      <c r="E125" s="248" t="str">
        <f t="shared" si="54"/>
        <v/>
      </c>
      <c r="F125" s="1045" t="str">
        <f t="shared" si="55"/>
        <v/>
      </c>
      <c r="G125" s="184" t="str">
        <f t="shared" si="56"/>
        <v/>
      </c>
      <c r="H125" s="941" t="e">
        <f t="shared" si="57"/>
        <v>#VALUE!</v>
      </c>
      <c r="I125" s="353" t="e">
        <f t="shared" si="58"/>
        <v>#VALUE!</v>
      </c>
      <c r="J125" s="239"/>
      <c r="K125" s="477" t="str">
        <f t="shared" si="59"/>
        <v/>
      </c>
      <c r="L125" s="246" t="str">
        <f t="shared" si="50"/>
        <v/>
      </c>
      <c r="M125" s="246" t="str">
        <f t="shared" si="51"/>
        <v/>
      </c>
      <c r="N125" s="246" t="str">
        <f t="shared" si="52"/>
        <v/>
      </c>
      <c r="O125" s="69"/>
      <c r="P125" s="69"/>
      <c r="Q125" s="69"/>
      <c r="R125" s="470"/>
      <c r="S125" s="69"/>
      <c r="T125" s="69"/>
      <c r="U125" s="69"/>
      <c r="V125" s="69"/>
      <c r="W125" s="69"/>
      <c r="X125" s="69"/>
      <c r="Y125" s="69"/>
      <c r="Z125" s="69"/>
      <c r="AA125" s="69"/>
      <c r="AB125" s="69"/>
      <c r="AC125" s="69"/>
      <c r="AD125" s="69"/>
      <c r="AE125" s="69"/>
      <c r="AF125" s="69"/>
      <c r="AG125" s="69"/>
      <c r="AH125" s="69"/>
      <c r="AI125" s="69"/>
      <c r="AJ125" s="69"/>
      <c r="AK125" s="193" t="e">
        <f t="shared" si="62"/>
        <v>#VALUE!</v>
      </c>
      <c r="AL125" s="461" t="e">
        <f t="shared" si="61"/>
        <v>#VALUE!</v>
      </c>
      <c r="AM125" s="461" t="e">
        <f t="shared" si="44"/>
        <v>#VALUE!</v>
      </c>
      <c r="AN125" s="194" t="e">
        <f t="shared" si="45"/>
        <v>#VALUE!</v>
      </c>
      <c r="AO125" s="462"/>
      <c r="AP125" s="462"/>
      <c r="AQ125" s="441"/>
    </row>
    <row r="126" spans="2:43" x14ac:dyDescent="0.15">
      <c r="B126" s="354" t="str">
        <f t="shared" si="48"/>
        <v/>
      </c>
      <c r="C126" s="239" t="str">
        <f t="shared" si="53"/>
        <v/>
      </c>
      <c r="D126" s="239" t="str">
        <f t="shared" si="49"/>
        <v/>
      </c>
      <c r="E126" s="248" t="str">
        <f t="shared" si="54"/>
        <v/>
      </c>
      <c r="F126" s="1045" t="str">
        <f t="shared" si="55"/>
        <v/>
      </c>
      <c r="G126" s="184" t="str">
        <f t="shared" si="56"/>
        <v/>
      </c>
      <c r="H126" s="941" t="e">
        <f t="shared" si="57"/>
        <v>#VALUE!</v>
      </c>
      <c r="I126" s="353" t="e">
        <f t="shared" si="58"/>
        <v>#VALUE!</v>
      </c>
      <c r="J126" s="239"/>
      <c r="K126" s="477" t="str">
        <f t="shared" si="59"/>
        <v/>
      </c>
      <c r="L126" s="246" t="str">
        <f t="shared" si="50"/>
        <v/>
      </c>
      <c r="M126" s="246" t="str">
        <f t="shared" si="51"/>
        <v/>
      </c>
      <c r="N126" s="246" t="str">
        <f t="shared" si="52"/>
        <v/>
      </c>
      <c r="O126" s="69"/>
      <c r="P126" s="69"/>
      <c r="Q126" s="69"/>
      <c r="R126" s="470"/>
      <c r="S126" s="69"/>
      <c r="T126" s="69"/>
      <c r="U126" s="69"/>
      <c r="V126" s="69"/>
      <c r="W126" s="69"/>
      <c r="X126" s="69"/>
      <c r="Y126" s="69"/>
      <c r="Z126" s="69"/>
      <c r="AA126" s="69"/>
      <c r="AB126" s="69"/>
      <c r="AC126" s="69"/>
      <c r="AD126" s="69"/>
      <c r="AE126" s="69"/>
      <c r="AF126" s="69"/>
      <c r="AG126" s="69"/>
      <c r="AH126" s="69"/>
      <c r="AI126" s="69"/>
      <c r="AJ126" s="69"/>
      <c r="AK126" s="193" t="e">
        <f t="shared" si="62"/>
        <v>#VALUE!</v>
      </c>
      <c r="AL126" s="461" t="e">
        <f t="shared" si="61"/>
        <v>#VALUE!</v>
      </c>
      <c r="AM126" s="461" t="e">
        <f t="shared" si="44"/>
        <v>#VALUE!</v>
      </c>
      <c r="AN126" s="194" t="e">
        <f t="shared" si="45"/>
        <v>#VALUE!</v>
      </c>
      <c r="AO126" s="462"/>
      <c r="AP126" s="462"/>
      <c r="AQ126" s="441"/>
    </row>
    <row r="127" spans="2:43" x14ac:dyDescent="0.15">
      <c r="B127" s="354" t="str">
        <f t="shared" si="48"/>
        <v/>
      </c>
      <c r="C127" s="239" t="str">
        <f t="shared" si="53"/>
        <v/>
      </c>
      <c r="D127" s="239" t="str">
        <f t="shared" si="49"/>
        <v/>
      </c>
      <c r="E127" s="248" t="str">
        <f t="shared" si="54"/>
        <v/>
      </c>
      <c r="F127" s="1045" t="str">
        <f t="shared" si="55"/>
        <v/>
      </c>
      <c r="G127" s="184" t="str">
        <f t="shared" si="56"/>
        <v/>
      </c>
      <c r="H127" s="941" t="e">
        <f t="shared" si="57"/>
        <v>#VALUE!</v>
      </c>
      <c r="I127" s="353" t="e">
        <f t="shared" si="58"/>
        <v>#VALUE!</v>
      </c>
      <c r="J127" s="239"/>
      <c r="K127" s="477" t="str">
        <f t="shared" si="59"/>
        <v/>
      </c>
      <c r="L127" s="246" t="str">
        <f t="shared" si="50"/>
        <v/>
      </c>
      <c r="M127" s="246" t="str">
        <f t="shared" si="51"/>
        <v/>
      </c>
      <c r="N127" s="246" t="str">
        <f t="shared" si="52"/>
        <v/>
      </c>
      <c r="O127" s="69"/>
      <c r="P127" s="69"/>
      <c r="Q127" s="69"/>
      <c r="R127" s="470"/>
      <c r="S127" s="69"/>
      <c r="T127" s="69"/>
      <c r="U127" s="69"/>
      <c r="V127" s="69"/>
      <c r="W127" s="69"/>
      <c r="X127" s="69"/>
      <c r="Y127" s="69"/>
      <c r="Z127" s="69"/>
      <c r="AA127" s="69"/>
      <c r="AB127" s="69"/>
      <c r="AC127" s="69"/>
      <c r="AD127" s="69"/>
      <c r="AE127" s="69"/>
      <c r="AF127" s="69"/>
      <c r="AG127" s="69"/>
      <c r="AH127" s="69"/>
      <c r="AI127" s="69"/>
      <c r="AJ127" s="69"/>
      <c r="AK127" s="193" t="e">
        <f t="shared" si="62"/>
        <v>#VALUE!</v>
      </c>
      <c r="AL127" s="461" t="e">
        <f t="shared" si="61"/>
        <v>#VALUE!</v>
      </c>
      <c r="AM127" s="461" t="e">
        <f t="shared" si="44"/>
        <v>#VALUE!</v>
      </c>
      <c r="AN127" s="194" t="e">
        <f t="shared" si="45"/>
        <v>#VALUE!</v>
      </c>
      <c r="AO127" s="462"/>
      <c r="AP127" s="462"/>
      <c r="AQ127" s="441"/>
    </row>
    <row r="128" spans="2:43" x14ac:dyDescent="0.15">
      <c r="B128" s="354" t="str">
        <f t="shared" si="48"/>
        <v/>
      </c>
      <c r="C128" s="239" t="str">
        <f t="shared" si="53"/>
        <v/>
      </c>
      <c r="D128" s="239" t="str">
        <f t="shared" si="49"/>
        <v/>
      </c>
      <c r="E128" s="248" t="str">
        <f t="shared" si="54"/>
        <v/>
      </c>
      <c r="F128" s="1045" t="str">
        <f t="shared" si="55"/>
        <v/>
      </c>
      <c r="G128" s="184" t="str">
        <f t="shared" si="56"/>
        <v/>
      </c>
      <c r="H128" s="941" t="e">
        <f t="shared" si="57"/>
        <v>#VALUE!</v>
      </c>
      <c r="I128" s="353" t="e">
        <f t="shared" si="58"/>
        <v>#VALUE!</v>
      </c>
      <c r="J128" s="239"/>
      <c r="K128" s="477" t="str">
        <f t="shared" si="59"/>
        <v/>
      </c>
      <c r="L128" s="246" t="str">
        <f t="shared" si="50"/>
        <v/>
      </c>
      <c r="M128" s="246" t="str">
        <f t="shared" si="51"/>
        <v/>
      </c>
      <c r="N128" s="246" t="str">
        <f t="shared" si="52"/>
        <v/>
      </c>
      <c r="O128" s="69"/>
      <c r="P128" s="69"/>
      <c r="Q128" s="69"/>
      <c r="R128" s="470"/>
      <c r="S128" s="69"/>
      <c r="T128" s="69"/>
      <c r="U128" s="69"/>
      <c r="V128" s="69"/>
      <c r="W128" s="69"/>
      <c r="X128" s="69"/>
      <c r="Y128" s="69"/>
      <c r="Z128" s="69"/>
      <c r="AA128" s="69"/>
      <c r="AB128" s="69"/>
      <c r="AC128" s="69"/>
      <c r="AD128" s="69"/>
      <c r="AE128" s="69"/>
      <c r="AF128" s="69"/>
      <c r="AG128" s="69"/>
      <c r="AH128" s="69"/>
      <c r="AI128" s="69"/>
      <c r="AJ128" s="69"/>
      <c r="AK128" s="193" t="e">
        <f t="shared" si="62"/>
        <v>#VALUE!</v>
      </c>
      <c r="AL128" s="461" t="e">
        <f t="shared" si="61"/>
        <v>#VALUE!</v>
      </c>
      <c r="AM128" s="461" t="e">
        <f t="shared" si="44"/>
        <v>#VALUE!</v>
      </c>
      <c r="AN128" s="194" t="e">
        <f t="shared" si="45"/>
        <v>#VALUE!</v>
      </c>
      <c r="AO128" s="462"/>
      <c r="AP128" s="462"/>
      <c r="AQ128" s="441"/>
    </row>
    <row r="129" spans="2:43" x14ac:dyDescent="0.15">
      <c r="B129" s="354" t="str">
        <f t="shared" si="48"/>
        <v/>
      </c>
      <c r="C129" s="239" t="str">
        <f t="shared" si="53"/>
        <v/>
      </c>
      <c r="D129" s="239" t="str">
        <f t="shared" si="49"/>
        <v/>
      </c>
      <c r="E129" s="248" t="str">
        <f t="shared" si="54"/>
        <v/>
      </c>
      <c r="F129" s="1045" t="str">
        <f t="shared" si="55"/>
        <v/>
      </c>
      <c r="G129" s="184" t="str">
        <f t="shared" si="56"/>
        <v/>
      </c>
      <c r="H129" s="941" t="e">
        <f t="shared" si="57"/>
        <v>#VALUE!</v>
      </c>
      <c r="I129" s="353" t="e">
        <f t="shared" si="58"/>
        <v>#VALUE!</v>
      </c>
      <c r="J129" s="239"/>
      <c r="K129" s="477" t="str">
        <f t="shared" si="59"/>
        <v/>
      </c>
      <c r="L129" s="246" t="str">
        <f t="shared" si="50"/>
        <v/>
      </c>
      <c r="M129" s="246" t="str">
        <f t="shared" si="51"/>
        <v/>
      </c>
      <c r="N129" s="246" t="str">
        <f t="shared" si="52"/>
        <v/>
      </c>
      <c r="O129" s="69"/>
      <c r="P129" s="69"/>
      <c r="Q129" s="69"/>
      <c r="R129" s="470"/>
      <c r="S129" s="69"/>
      <c r="T129" s="69"/>
      <c r="U129" s="69"/>
      <c r="V129" s="69"/>
      <c r="W129" s="69"/>
      <c r="X129" s="69"/>
      <c r="Y129" s="69"/>
      <c r="Z129" s="69"/>
      <c r="AA129" s="69"/>
      <c r="AB129" s="69"/>
      <c r="AC129" s="69"/>
      <c r="AD129" s="69"/>
      <c r="AE129" s="69"/>
      <c r="AF129" s="69"/>
      <c r="AG129" s="69"/>
      <c r="AH129" s="69"/>
      <c r="AI129" s="69"/>
      <c r="AJ129" s="69"/>
      <c r="AK129" s="193" t="e">
        <f>+AA10</f>
        <v>#VALUE!</v>
      </c>
      <c r="AL129" s="461" t="e">
        <f t="shared" si="61"/>
        <v>#VALUE!</v>
      </c>
      <c r="AM129" s="461" t="e">
        <f t="shared" si="44"/>
        <v>#VALUE!</v>
      </c>
      <c r="AN129" s="194" t="e">
        <f t="shared" si="45"/>
        <v>#VALUE!</v>
      </c>
      <c r="AO129" s="462"/>
      <c r="AP129" s="462"/>
      <c r="AQ129" s="441"/>
    </row>
    <row r="130" spans="2:43" x14ac:dyDescent="0.15">
      <c r="B130" s="354" t="str">
        <f t="shared" ref="B130:B161" si="63">+IF(B129&lt;$C$11/$C$17,B129+1,IF(B129="","",""))</f>
        <v/>
      </c>
      <c r="C130" s="239" t="str">
        <f t="shared" si="53"/>
        <v/>
      </c>
      <c r="D130" s="239" t="str">
        <f t="shared" si="49"/>
        <v/>
      </c>
      <c r="E130" s="248" t="str">
        <f t="shared" si="54"/>
        <v/>
      </c>
      <c r="F130" s="1045" t="str">
        <f t="shared" si="55"/>
        <v/>
      </c>
      <c r="G130" s="184" t="str">
        <f t="shared" si="56"/>
        <v/>
      </c>
      <c r="H130" s="941" t="e">
        <f t="shared" si="57"/>
        <v>#VALUE!</v>
      </c>
      <c r="I130" s="353" t="e">
        <f t="shared" si="58"/>
        <v>#VALUE!</v>
      </c>
      <c r="J130" s="239"/>
      <c r="K130" s="477" t="str">
        <f t="shared" si="59"/>
        <v/>
      </c>
      <c r="L130" s="246" t="str">
        <f t="shared" si="50"/>
        <v/>
      </c>
      <c r="M130" s="246" t="str">
        <f t="shared" si="51"/>
        <v/>
      </c>
      <c r="N130" s="246" t="str">
        <f t="shared" si="52"/>
        <v/>
      </c>
      <c r="O130" s="69"/>
      <c r="P130" s="69"/>
      <c r="Q130" s="69"/>
      <c r="R130" s="470"/>
      <c r="S130" s="69"/>
      <c r="T130" s="69"/>
      <c r="U130" s="69"/>
      <c r="V130" s="69"/>
      <c r="W130" s="69"/>
      <c r="X130" s="69"/>
      <c r="Y130" s="69"/>
      <c r="Z130" s="69"/>
      <c r="AA130" s="69"/>
      <c r="AB130" s="69"/>
      <c r="AC130" s="69"/>
      <c r="AD130" s="69"/>
      <c r="AE130" s="69"/>
      <c r="AF130" s="69"/>
      <c r="AG130" s="69"/>
      <c r="AH130" s="69"/>
      <c r="AI130" s="69"/>
      <c r="AJ130" s="69"/>
      <c r="AK130" s="193" t="e">
        <f>+AA11</f>
        <v>#VALUE!</v>
      </c>
      <c r="AL130" s="461" t="e">
        <f t="shared" si="61"/>
        <v>#VALUE!</v>
      </c>
      <c r="AM130" s="461" t="e">
        <f t="shared" si="44"/>
        <v>#VALUE!</v>
      </c>
      <c r="AN130" s="194" t="e">
        <f t="shared" si="45"/>
        <v>#VALUE!</v>
      </c>
      <c r="AO130" s="462"/>
      <c r="AP130" s="462"/>
      <c r="AQ130" s="441"/>
    </row>
    <row r="131" spans="2:43" x14ac:dyDescent="0.15">
      <c r="B131" s="354" t="str">
        <f t="shared" si="63"/>
        <v/>
      </c>
      <c r="C131" s="239" t="str">
        <f t="shared" si="53"/>
        <v/>
      </c>
      <c r="D131" s="239" t="str">
        <f t="shared" si="49"/>
        <v/>
      </c>
      <c r="E131" s="248" t="str">
        <f t="shared" si="54"/>
        <v/>
      </c>
      <c r="F131" s="1045" t="str">
        <f t="shared" si="55"/>
        <v/>
      </c>
      <c r="G131" s="184" t="str">
        <f t="shared" si="56"/>
        <v/>
      </c>
      <c r="H131" s="941" t="e">
        <f t="shared" si="57"/>
        <v>#VALUE!</v>
      </c>
      <c r="I131" s="353" t="e">
        <f t="shared" si="58"/>
        <v>#VALUE!</v>
      </c>
      <c r="J131" s="239"/>
      <c r="K131" s="477" t="str">
        <f t="shared" si="59"/>
        <v/>
      </c>
      <c r="L131" s="246" t="str">
        <f t="shared" si="50"/>
        <v/>
      </c>
      <c r="M131" s="246" t="str">
        <f t="shared" si="51"/>
        <v/>
      </c>
      <c r="N131" s="246" t="str">
        <f t="shared" si="52"/>
        <v/>
      </c>
      <c r="O131" s="69"/>
      <c r="P131" s="69"/>
      <c r="Q131" s="69"/>
      <c r="R131" s="470"/>
      <c r="S131" s="69"/>
      <c r="T131" s="69"/>
      <c r="U131" s="69"/>
      <c r="V131" s="69"/>
      <c r="W131" s="69"/>
      <c r="X131" s="69"/>
      <c r="Y131" s="69"/>
      <c r="Z131" s="69"/>
      <c r="AA131" s="69"/>
      <c r="AB131" s="69"/>
      <c r="AC131" s="69"/>
      <c r="AD131" s="69"/>
      <c r="AE131" s="69"/>
      <c r="AF131" s="69"/>
      <c r="AG131" s="69"/>
      <c r="AH131" s="69"/>
      <c r="AI131" s="69"/>
      <c r="AJ131" s="69"/>
      <c r="AK131" s="193" t="e">
        <f t="shared" ref="AK131:AK140" si="64">+AA13</f>
        <v>#VALUE!</v>
      </c>
      <c r="AL131" s="461" t="e">
        <f t="shared" si="61"/>
        <v>#VALUE!</v>
      </c>
      <c r="AM131" s="461" t="e">
        <f t="shared" si="44"/>
        <v>#VALUE!</v>
      </c>
      <c r="AN131" s="194" t="e">
        <f t="shared" si="45"/>
        <v>#VALUE!</v>
      </c>
      <c r="AO131" s="462"/>
      <c r="AP131" s="462"/>
      <c r="AQ131" s="441"/>
    </row>
    <row r="132" spans="2:43" x14ac:dyDescent="0.15">
      <c r="B132" s="354" t="str">
        <f t="shared" si="63"/>
        <v/>
      </c>
      <c r="C132" s="239" t="str">
        <f t="shared" si="53"/>
        <v/>
      </c>
      <c r="D132" s="239" t="str">
        <f t="shared" si="49"/>
        <v/>
      </c>
      <c r="E132" s="248" t="str">
        <f t="shared" si="54"/>
        <v/>
      </c>
      <c r="F132" s="1045" t="str">
        <f t="shared" si="55"/>
        <v/>
      </c>
      <c r="G132" s="184" t="str">
        <f t="shared" si="56"/>
        <v/>
      </c>
      <c r="H132" s="941" t="e">
        <f t="shared" si="57"/>
        <v>#VALUE!</v>
      </c>
      <c r="I132" s="353" t="e">
        <f t="shared" si="58"/>
        <v>#VALUE!</v>
      </c>
      <c r="J132" s="239"/>
      <c r="K132" s="477" t="str">
        <f t="shared" si="59"/>
        <v/>
      </c>
      <c r="L132" s="246" t="str">
        <f t="shared" si="50"/>
        <v/>
      </c>
      <c r="M132" s="246" t="str">
        <f t="shared" si="51"/>
        <v/>
      </c>
      <c r="N132" s="246" t="str">
        <f t="shared" si="52"/>
        <v/>
      </c>
      <c r="O132" s="69"/>
      <c r="P132" s="69"/>
      <c r="Q132" s="69"/>
      <c r="R132" s="470"/>
      <c r="S132" s="69"/>
      <c r="T132" s="69"/>
      <c r="U132" s="69"/>
      <c r="V132" s="69"/>
      <c r="W132" s="69"/>
      <c r="X132" s="69"/>
      <c r="Y132" s="69"/>
      <c r="Z132" s="69"/>
      <c r="AA132" s="69"/>
      <c r="AB132" s="69"/>
      <c r="AC132" s="69"/>
      <c r="AD132" s="69"/>
      <c r="AE132" s="69"/>
      <c r="AF132" s="69"/>
      <c r="AG132" s="69"/>
      <c r="AH132" s="69"/>
      <c r="AI132" s="69"/>
      <c r="AJ132" s="69"/>
      <c r="AK132" s="193" t="e">
        <f t="shared" si="64"/>
        <v>#VALUE!</v>
      </c>
      <c r="AL132" s="461" t="e">
        <f t="shared" si="61"/>
        <v>#VALUE!</v>
      </c>
      <c r="AM132" s="461" t="e">
        <f t="shared" si="44"/>
        <v>#VALUE!</v>
      </c>
      <c r="AN132" s="194" t="e">
        <f t="shared" si="45"/>
        <v>#VALUE!</v>
      </c>
      <c r="AO132" s="462"/>
      <c r="AP132" s="462"/>
      <c r="AQ132" s="441"/>
    </row>
    <row r="133" spans="2:43" x14ac:dyDescent="0.15">
      <c r="B133" s="354" t="str">
        <f t="shared" si="63"/>
        <v/>
      </c>
      <c r="C133" s="239" t="str">
        <f t="shared" si="53"/>
        <v/>
      </c>
      <c r="D133" s="239" t="str">
        <f t="shared" ref="D133:D164" si="65">IF(B133="","",VLOOKUP(B133,AM:AN,2,FALSE))</f>
        <v/>
      </c>
      <c r="E133" s="248" t="str">
        <f t="shared" si="54"/>
        <v/>
      </c>
      <c r="F133" s="1045" t="str">
        <f t="shared" si="55"/>
        <v/>
      </c>
      <c r="G133" s="184" t="str">
        <f t="shared" si="56"/>
        <v/>
      </c>
      <c r="H133" s="941" t="e">
        <f t="shared" si="57"/>
        <v>#VALUE!</v>
      </c>
      <c r="I133" s="353" t="e">
        <f t="shared" si="58"/>
        <v>#VALUE!</v>
      </c>
      <c r="J133" s="239"/>
      <c r="K133" s="477" t="str">
        <f t="shared" si="59"/>
        <v/>
      </c>
      <c r="L133" s="246" t="str">
        <f t="shared" ref="L133:L164" si="66">+IF(K133&lt;&gt;"",$L$30/$L$28,"")</f>
        <v/>
      </c>
      <c r="M133" s="246" t="str">
        <f t="shared" ref="M133:M164" si="67">IF(K133=$M$28,$E$33,IF(K133&lt;&gt;"",($M$30-$M$36)/($M$28-1),""))</f>
        <v/>
      </c>
      <c r="N133" s="246" t="str">
        <f t="shared" ref="N133:N164" si="68">+IF(K133&lt;&gt;"",($N$30-$N$36)/$N$28,"")</f>
        <v/>
      </c>
      <c r="O133" s="69"/>
      <c r="P133" s="69"/>
      <c r="Q133" s="69"/>
      <c r="R133" s="470"/>
      <c r="S133" s="69"/>
      <c r="T133" s="69"/>
      <c r="U133" s="69"/>
      <c r="V133" s="69"/>
      <c r="W133" s="69"/>
      <c r="X133" s="69"/>
      <c r="Y133" s="69"/>
      <c r="Z133" s="69"/>
      <c r="AA133" s="69"/>
      <c r="AB133" s="69"/>
      <c r="AC133" s="69"/>
      <c r="AD133" s="69"/>
      <c r="AE133" s="69"/>
      <c r="AF133" s="69"/>
      <c r="AG133" s="69"/>
      <c r="AH133" s="69"/>
      <c r="AI133" s="69"/>
      <c r="AJ133" s="69"/>
      <c r="AK133" s="193" t="e">
        <f t="shared" si="64"/>
        <v>#VALUE!</v>
      </c>
      <c r="AL133" s="461" t="e">
        <f t="shared" si="61"/>
        <v>#VALUE!</v>
      </c>
      <c r="AM133" s="461" t="e">
        <f t="shared" si="44"/>
        <v>#VALUE!</v>
      </c>
      <c r="AN133" s="194" t="e">
        <f t="shared" si="45"/>
        <v>#VALUE!</v>
      </c>
      <c r="AO133" s="462"/>
      <c r="AP133" s="462"/>
      <c r="AQ133" s="441"/>
    </row>
    <row r="134" spans="2:43" x14ac:dyDescent="0.15">
      <c r="B134" s="354" t="str">
        <f t="shared" si="63"/>
        <v/>
      </c>
      <c r="C134" s="239" t="str">
        <f t="shared" ref="C134:C165" si="69">+IF(B134="","",EDATE(C$35,$C$17*B133))</f>
        <v/>
      </c>
      <c r="D134" s="239" t="str">
        <f t="shared" si="65"/>
        <v/>
      </c>
      <c r="E134" s="248" t="str">
        <f t="shared" si="54"/>
        <v/>
      </c>
      <c r="F134" s="1045" t="str">
        <f t="shared" si="55"/>
        <v/>
      </c>
      <c r="G134" s="184" t="str">
        <f t="shared" si="56"/>
        <v/>
      </c>
      <c r="H134" s="941" t="e">
        <f t="shared" ref="H134:H165" si="70">+IF(H133&lt;$C$11/$C$18,H133+1,IF(H133="","",""))</f>
        <v>#VALUE!</v>
      </c>
      <c r="I134" s="353" t="e">
        <f t="shared" ref="I134:I165" si="71">+IF(H134="","",EDATE(I$35,$C$18*H133))</f>
        <v>#VALUE!</v>
      </c>
      <c r="J134" s="239"/>
      <c r="K134" s="477" t="str">
        <f t="shared" si="59"/>
        <v/>
      </c>
      <c r="L134" s="246" t="str">
        <f t="shared" si="66"/>
        <v/>
      </c>
      <c r="M134" s="246" t="str">
        <f t="shared" si="67"/>
        <v/>
      </c>
      <c r="N134" s="246" t="str">
        <f t="shared" si="68"/>
        <v/>
      </c>
      <c r="O134" s="69"/>
      <c r="P134" s="69"/>
      <c r="Q134" s="69"/>
      <c r="R134" s="470"/>
      <c r="S134" s="69"/>
      <c r="T134" s="69"/>
      <c r="U134" s="69"/>
      <c r="V134" s="69"/>
      <c r="W134" s="69"/>
      <c r="X134" s="69"/>
      <c r="Y134" s="69"/>
      <c r="Z134" s="69"/>
      <c r="AA134" s="69"/>
      <c r="AB134" s="69"/>
      <c r="AC134" s="69"/>
      <c r="AD134" s="69"/>
      <c r="AE134" s="69"/>
      <c r="AF134" s="69"/>
      <c r="AG134" s="69"/>
      <c r="AH134" s="69"/>
      <c r="AI134" s="69"/>
      <c r="AJ134" s="69"/>
      <c r="AK134" s="193" t="e">
        <f t="shared" si="64"/>
        <v>#VALUE!</v>
      </c>
      <c r="AL134" s="461" t="e">
        <f t="shared" si="61"/>
        <v>#VALUE!</v>
      </c>
      <c r="AM134" s="461" t="e">
        <f t="shared" si="44"/>
        <v>#VALUE!</v>
      </c>
      <c r="AN134" s="194" t="e">
        <f t="shared" si="45"/>
        <v>#VALUE!</v>
      </c>
      <c r="AO134" s="462"/>
      <c r="AP134" s="462"/>
      <c r="AQ134" s="441"/>
    </row>
    <row r="135" spans="2:43" x14ac:dyDescent="0.15">
      <c r="B135" s="354" t="str">
        <f t="shared" si="63"/>
        <v/>
      </c>
      <c r="C135" s="239" t="str">
        <f t="shared" si="69"/>
        <v/>
      </c>
      <c r="D135" s="239" t="str">
        <f t="shared" si="65"/>
        <v/>
      </c>
      <c r="E135" s="248" t="str">
        <f t="shared" si="54"/>
        <v/>
      </c>
      <c r="F135" s="1045" t="str">
        <f t="shared" si="55"/>
        <v/>
      </c>
      <c r="G135" s="184" t="str">
        <f t="shared" si="56"/>
        <v/>
      </c>
      <c r="H135" s="941" t="e">
        <f t="shared" si="70"/>
        <v>#VALUE!</v>
      </c>
      <c r="I135" s="353" t="e">
        <f t="shared" si="71"/>
        <v>#VALUE!</v>
      </c>
      <c r="J135" s="239"/>
      <c r="K135" s="477" t="str">
        <f t="shared" si="59"/>
        <v/>
      </c>
      <c r="L135" s="246" t="str">
        <f t="shared" si="66"/>
        <v/>
      </c>
      <c r="M135" s="246" t="str">
        <f t="shared" si="67"/>
        <v/>
      </c>
      <c r="N135" s="246" t="str">
        <f t="shared" si="68"/>
        <v/>
      </c>
      <c r="O135" s="69"/>
      <c r="P135" s="69"/>
      <c r="Q135" s="69"/>
      <c r="R135" s="470"/>
      <c r="S135" s="69"/>
      <c r="T135" s="69"/>
      <c r="U135" s="69"/>
      <c r="V135" s="69"/>
      <c r="W135" s="69"/>
      <c r="X135" s="69"/>
      <c r="Y135" s="69"/>
      <c r="Z135" s="69"/>
      <c r="AA135" s="69"/>
      <c r="AB135" s="69"/>
      <c r="AC135" s="69"/>
      <c r="AD135" s="69"/>
      <c r="AE135" s="69"/>
      <c r="AF135" s="69"/>
      <c r="AG135" s="69"/>
      <c r="AH135" s="69"/>
      <c r="AI135" s="69"/>
      <c r="AJ135" s="69"/>
      <c r="AK135" s="193" t="e">
        <f t="shared" si="64"/>
        <v>#VALUE!</v>
      </c>
      <c r="AL135" s="461" t="e">
        <f t="shared" si="61"/>
        <v>#VALUE!</v>
      </c>
      <c r="AM135" s="461" t="e">
        <f t="shared" si="44"/>
        <v>#VALUE!</v>
      </c>
      <c r="AN135" s="194" t="e">
        <f t="shared" si="45"/>
        <v>#VALUE!</v>
      </c>
      <c r="AO135" s="462"/>
      <c r="AP135" s="462"/>
      <c r="AQ135" s="441"/>
    </row>
    <row r="136" spans="2:43" x14ac:dyDescent="0.15">
      <c r="B136" s="354" t="str">
        <f t="shared" si="63"/>
        <v/>
      </c>
      <c r="C136" s="239" t="str">
        <f t="shared" si="69"/>
        <v/>
      </c>
      <c r="D136" s="239" t="str">
        <f t="shared" si="65"/>
        <v/>
      </c>
      <c r="E136" s="248" t="str">
        <f t="shared" si="54"/>
        <v/>
      </c>
      <c r="F136" s="1045" t="str">
        <f t="shared" si="55"/>
        <v/>
      </c>
      <c r="G136" s="184" t="str">
        <f t="shared" si="56"/>
        <v/>
      </c>
      <c r="H136" s="941" t="e">
        <f t="shared" si="70"/>
        <v>#VALUE!</v>
      </c>
      <c r="I136" s="353" t="e">
        <f t="shared" si="71"/>
        <v>#VALUE!</v>
      </c>
      <c r="J136" s="239"/>
      <c r="K136" s="477" t="str">
        <f t="shared" si="59"/>
        <v/>
      </c>
      <c r="L136" s="246" t="str">
        <f t="shared" si="66"/>
        <v/>
      </c>
      <c r="M136" s="246" t="str">
        <f t="shared" si="67"/>
        <v/>
      </c>
      <c r="N136" s="246" t="str">
        <f t="shared" si="68"/>
        <v/>
      </c>
      <c r="O136" s="69"/>
      <c r="P136" s="69"/>
      <c r="Q136" s="69"/>
      <c r="R136" s="470"/>
      <c r="S136" s="69"/>
      <c r="T136" s="69"/>
      <c r="U136" s="69"/>
      <c r="V136" s="69"/>
      <c r="W136" s="69"/>
      <c r="X136" s="69"/>
      <c r="Y136" s="69"/>
      <c r="Z136" s="69"/>
      <c r="AA136" s="69"/>
      <c r="AB136" s="69"/>
      <c r="AC136" s="69"/>
      <c r="AD136" s="69"/>
      <c r="AE136" s="69"/>
      <c r="AF136" s="69"/>
      <c r="AG136" s="69"/>
      <c r="AH136" s="69"/>
      <c r="AI136" s="69"/>
      <c r="AJ136" s="69"/>
      <c r="AK136" s="193" t="e">
        <f t="shared" si="64"/>
        <v>#VALUE!</v>
      </c>
      <c r="AL136" s="461" t="e">
        <f t="shared" si="61"/>
        <v>#VALUE!</v>
      </c>
      <c r="AM136" s="461" t="e">
        <f t="shared" si="44"/>
        <v>#VALUE!</v>
      </c>
      <c r="AN136" s="194" t="e">
        <f t="shared" si="45"/>
        <v>#VALUE!</v>
      </c>
      <c r="AO136" s="462"/>
      <c r="AP136" s="462"/>
      <c r="AQ136" s="441"/>
    </row>
    <row r="137" spans="2:43" x14ac:dyDescent="0.15">
      <c r="B137" s="354" t="str">
        <f t="shared" si="63"/>
        <v/>
      </c>
      <c r="C137" s="239" t="str">
        <f t="shared" si="69"/>
        <v/>
      </c>
      <c r="D137" s="239" t="str">
        <f t="shared" si="65"/>
        <v/>
      </c>
      <c r="E137" s="248" t="str">
        <f t="shared" si="54"/>
        <v/>
      </c>
      <c r="F137" s="1045" t="str">
        <f t="shared" si="55"/>
        <v/>
      </c>
      <c r="G137" s="184" t="str">
        <f t="shared" si="56"/>
        <v/>
      </c>
      <c r="H137" s="941" t="e">
        <f t="shared" si="70"/>
        <v>#VALUE!</v>
      </c>
      <c r="I137" s="353" t="e">
        <f t="shared" si="71"/>
        <v>#VALUE!</v>
      </c>
      <c r="J137" s="239"/>
      <c r="K137" s="477" t="str">
        <f t="shared" si="59"/>
        <v/>
      </c>
      <c r="L137" s="246" t="str">
        <f t="shared" si="66"/>
        <v/>
      </c>
      <c r="M137" s="246" t="str">
        <f t="shared" si="67"/>
        <v/>
      </c>
      <c r="N137" s="246" t="str">
        <f t="shared" si="68"/>
        <v/>
      </c>
      <c r="O137" s="69"/>
      <c r="P137" s="69"/>
      <c r="Q137" s="69"/>
      <c r="R137" s="470"/>
      <c r="S137" s="69"/>
      <c r="T137" s="69"/>
      <c r="U137" s="69"/>
      <c r="V137" s="69"/>
      <c r="W137" s="69"/>
      <c r="X137" s="69"/>
      <c r="Y137" s="69"/>
      <c r="Z137" s="69"/>
      <c r="AA137" s="69"/>
      <c r="AB137" s="69"/>
      <c r="AC137" s="69"/>
      <c r="AD137" s="69"/>
      <c r="AE137" s="69"/>
      <c r="AF137" s="69"/>
      <c r="AG137" s="69"/>
      <c r="AH137" s="69"/>
      <c r="AI137" s="69"/>
      <c r="AJ137" s="69"/>
      <c r="AK137" s="193" t="e">
        <f t="shared" si="64"/>
        <v>#VALUE!</v>
      </c>
      <c r="AL137" s="461" t="e">
        <f t="shared" si="61"/>
        <v>#VALUE!</v>
      </c>
      <c r="AM137" s="461" t="e">
        <f t="shared" si="44"/>
        <v>#VALUE!</v>
      </c>
      <c r="AN137" s="194" t="e">
        <f t="shared" si="45"/>
        <v>#VALUE!</v>
      </c>
      <c r="AO137" s="462"/>
      <c r="AP137" s="462"/>
      <c r="AQ137" s="441"/>
    </row>
    <row r="138" spans="2:43" x14ac:dyDescent="0.15">
      <c r="B138" s="354" t="str">
        <f t="shared" si="63"/>
        <v/>
      </c>
      <c r="C138" s="239" t="str">
        <f t="shared" si="69"/>
        <v/>
      </c>
      <c r="D138" s="239" t="str">
        <f t="shared" si="65"/>
        <v/>
      </c>
      <c r="E138" s="248" t="str">
        <f t="shared" si="54"/>
        <v/>
      </c>
      <c r="F138" s="1045" t="str">
        <f t="shared" si="55"/>
        <v/>
      </c>
      <c r="G138" s="184" t="str">
        <f t="shared" si="56"/>
        <v/>
      </c>
      <c r="H138" s="941" t="e">
        <f t="shared" si="70"/>
        <v>#VALUE!</v>
      </c>
      <c r="I138" s="353" t="e">
        <f t="shared" si="71"/>
        <v>#VALUE!</v>
      </c>
      <c r="J138" s="239"/>
      <c r="K138" s="477" t="str">
        <f t="shared" si="59"/>
        <v/>
      </c>
      <c r="L138" s="246" t="str">
        <f t="shared" si="66"/>
        <v/>
      </c>
      <c r="M138" s="246" t="str">
        <f t="shared" si="67"/>
        <v/>
      </c>
      <c r="N138" s="246" t="str">
        <f t="shared" si="68"/>
        <v/>
      </c>
      <c r="O138" s="69"/>
      <c r="P138" s="69"/>
      <c r="Q138" s="69"/>
      <c r="R138" s="470"/>
      <c r="S138" s="69"/>
      <c r="T138" s="69"/>
      <c r="U138" s="69"/>
      <c r="V138" s="69"/>
      <c r="W138" s="69"/>
      <c r="X138" s="69"/>
      <c r="Y138" s="69"/>
      <c r="Z138" s="69"/>
      <c r="AA138" s="69"/>
      <c r="AB138" s="69"/>
      <c r="AC138" s="69"/>
      <c r="AD138" s="69"/>
      <c r="AE138" s="69"/>
      <c r="AF138" s="69"/>
      <c r="AG138" s="69"/>
      <c r="AH138" s="69"/>
      <c r="AI138" s="69"/>
      <c r="AJ138" s="69"/>
      <c r="AK138" s="193" t="e">
        <f t="shared" si="64"/>
        <v>#VALUE!</v>
      </c>
      <c r="AL138" s="461" t="e">
        <f t="shared" si="61"/>
        <v>#VALUE!</v>
      </c>
      <c r="AM138" s="461" t="e">
        <f t="shared" si="44"/>
        <v>#VALUE!</v>
      </c>
      <c r="AN138" s="194" t="e">
        <f t="shared" si="45"/>
        <v>#VALUE!</v>
      </c>
      <c r="AO138" s="462"/>
      <c r="AP138" s="462"/>
      <c r="AQ138" s="441"/>
    </row>
    <row r="139" spans="2:43" x14ac:dyDescent="0.15">
      <c r="B139" s="354" t="str">
        <f t="shared" si="63"/>
        <v/>
      </c>
      <c r="C139" s="239" t="str">
        <f t="shared" si="69"/>
        <v/>
      </c>
      <c r="D139" s="239" t="str">
        <f t="shared" si="65"/>
        <v/>
      </c>
      <c r="E139" s="248" t="str">
        <f t="shared" si="54"/>
        <v/>
      </c>
      <c r="F139" s="1045" t="str">
        <f t="shared" si="55"/>
        <v/>
      </c>
      <c r="G139" s="184" t="str">
        <f t="shared" si="56"/>
        <v/>
      </c>
      <c r="H139" s="941" t="e">
        <f t="shared" si="70"/>
        <v>#VALUE!</v>
      </c>
      <c r="I139" s="353" t="e">
        <f t="shared" si="71"/>
        <v>#VALUE!</v>
      </c>
      <c r="J139" s="239"/>
      <c r="K139" s="477" t="str">
        <f t="shared" si="59"/>
        <v/>
      </c>
      <c r="L139" s="246" t="str">
        <f t="shared" si="66"/>
        <v/>
      </c>
      <c r="M139" s="246" t="str">
        <f t="shared" si="67"/>
        <v/>
      </c>
      <c r="N139" s="246" t="str">
        <f t="shared" si="68"/>
        <v/>
      </c>
      <c r="O139" s="69"/>
      <c r="P139" s="69"/>
      <c r="Q139" s="69"/>
      <c r="R139" s="470"/>
      <c r="S139" s="69"/>
      <c r="T139" s="69"/>
      <c r="U139" s="69"/>
      <c r="V139" s="69"/>
      <c r="W139" s="69"/>
      <c r="X139" s="69"/>
      <c r="Y139" s="69"/>
      <c r="Z139" s="69"/>
      <c r="AA139" s="69"/>
      <c r="AB139" s="69"/>
      <c r="AC139" s="69"/>
      <c r="AD139" s="69"/>
      <c r="AE139" s="69"/>
      <c r="AF139" s="69"/>
      <c r="AG139" s="69"/>
      <c r="AH139" s="69"/>
      <c r="AI139" s="69"/>
      <c r="AJ139" s="69"/>
      <c r="AK139" s="193" t="e">
        <f t="shared" si="64"/>
        <v>#VALUE!</v>
      </c>
      <c r="AL139" s="461" t="e">
        <f t="shared" si="61"/>
        <v>#VALUE!</v>
      </c>
      <c r="AM139" s="461" t="e">
        <f t="shared" si="44"/>
        <v>#VALUE!</v>
      </c>
      <c r="AN139" s="194" t="e">
        <f t="shared" si="45"/>
        <v>#VALUE!</v>
      </c>
      <c r="AO139" s="462"/>
      <c r="AP139" s="462"/>
      <c r="AQ139" s="441"/>
    </row>
    <row r="140" spans="2:43" x14ac:dyDescent="0.15">
      <c r="B140" s="354" t="str">
        <f t="shared" si="63"/>
        <v/>
      </c>
      <c r="C140" s="239" t="str">
        <f t="shared" si="69"/>
        <v/>
      </c>
      <c r="D140" s="239" t="str">
        <f t="shared" si="65"/>
        <v/>
      </c>
      <c r="E140" s="248" t="str">
        <f t="shared" si="54"/>
        <v/>
      </c>
      <c r="F140" s="1045" t="str">
        <f t="shared" si="55"/>
        <v/>
      </c>
      <c r="G140" s="184" t="str">
        <f t="shared" si="56"/>
        <v/>
      </c>
      <c r="H140" s="941" t="e">
        <f t="shared" si="70"/>
        <v>#VALUE!</v>
      </c>
      <c r="I140" s="353" t="e">
        <f t="shared" si="71"/>
        <v>#VALUE!</v>
      </c>
      <c r="J140" s="239"/>
      <c r="K140" s="477" t="str">
        <f t="shared" si="59"/>
        <v/>
      </c>
      <c r="L140" s="246" t="str">
        <f t="shared" si="66"/>
        <v/>
      </c>
      <c r="M140" s="246" t="str">
        <f t="shared" si="67"/>
        <v/>
      </c>
      <c r="N140" s="246" t="str">
        <f t="shared" si="68"/>
        <v/>
      </c>
      <c r="O140" s="69"/>
      <c r="P140" s="69"/>
      <c r="Q140" s="69"/>
      <c r="R140" s="470"/>
      <c r="S140" s="69"/>
      <c r="T140" s="69"/>
      <c r="U140" s="69"/>
      <c r="V140" s="69"/>
      <c r="W140" s="69"/>
      <c r="X140" s="69"/>
      <c r="Y140" s="69"/>
      <c r="Z140" s="69"/>
      <c r="AA140" s="69"/>
      <c r="AB140" s="69"/>
      <c r="AC140" s="69"/>
      <c r="AD140" s="69"/>
      <c r="AE140" s="69"/>
      <c r="AF140" s="69"/>
      <c r="AG140" s="69"/>
      <c r="AH140" s="69"/>
      <c r="AI140" s="69"/>
      <c r="AJ140" s="69"/>
      <c r="AK140" s="193" t="e">
        <f t="shared" si="64"/>
        <v>#VALUE!</v>
      </c>
      <c r="AL140" s="461" t="e">
        <f t="shared" si="61"/>
        <v>#VALUE!</v>
      </c>
      <c r="AM140" s="461" t="e">
        <f t="shared" si="44"/>
        <v>#VALUE!</v>
      </c>
      <c r="AN140" s="194" t="e">
        <f t="shared" si="45"/>
        <v>#VALUE!</v>
      </c>
      <c r="AO140" s="462"/>
      <c r="AP140" s="462"/>
      <c r="AQ140" s="441"/>
    </row>
    <row r="141" spans="2:43" x14ac:dyDescent="0.15">
      <c r="B141" s="354" t="str">
        <f t="shared" si="63"/>
        <v/>
      </c>
      <c r="C141" s="239" t="str">
        <f t="shared" si="69"/>
        <v/>
      </c>
      <c r="D141" s="239" t="str">
        <f t="shared" si="65"/>
        <v/>
      </c>
      <c r="E141" s="248" t="str">
        <f t="shared" si="54"/>
        <v/>
      </c>
      <c r="F141" s="1045" t="str">
        <f t="shared" si="55"/>
        <v/>
      </c>
      <c r="G141" s="184" t="str">
        <f t="shared" si="56"/>
        <v/>
      </c>
      <c r="H141" s="941" t="e">
        <f t="shared" si="70"/>
        <v>#VALUE!</v>
      </c>
      <c r="I141" s="353" t="e">
        <f t="shared" si="71"/>
        <v>#VALUE!</v>
      </c>
      <c r="J141" s="239"/>
      <c r="K141" s="477" t="str">
        <f t="shared" si="59"/>
        <v/>
      </c>
      <c r="L141" s="246" t="str">
        <f t="shared" si="66"/>
        <v/>
      </c>
      <c r="M141" s="246" t="str">
        <f t="shared" si="67"/>
        <v/>
      </c>
      <c r="N141" s="246" t="str">
        <f t="shared" si="68"/>
        <v/>
      </c>
      <c r="O141" s="69"/>
      <c r="P141" s="69"/>
      <c r="Q141" s="69"/>
      <c r="R141" s="470"/>
      <c r="S141" s="69"/>
      <c r="T141" s="69"/>
      <c r="U141" s="69"/>
      <c r="V141" s="69"/>
      <c r="W141" s="69"/>
      <c r="X141" s="69"/>
      <c r="Y141" s="69"/>
      <c r="Z141" s="69"/>
      <c r="AA141" s="69"/>
      <c r="AB141" s="69"/>
      <c r="AC141" s="69"/>
      <c r="AD141" s="69"/>
      <c r="AE141" s="69"/>
      <c r="AF141" s="69"/>
      <c r="AG141" s="69"/>
      <c r="AH141" s="69"/>
      <c r="AI141" s="69"/>
      <c r="AJ141" s="69"/>
      <c r="AK141" s="193" t="e">
        <f>+AB10</f>
        <v>#VALUE!</v>
      </c>
      <c r="AL141" s="461" t="e">
        <f t="shared" si="61"/>
        <v>#VALUE!</v>
      </c>
      <c r="AM141" s="461" t="e">
        <f t="shared" si="44"/>
        <v>#VALUE!</v>
      </c>
      <c r="AN141" s="194" t="e">
        <f t="shared" si="45"/>
        <v>#VALUE!</v>
      </c>
      <c r="AO141" s="462"/>
      <c r="AP141" s="462"/>
      <c r="AQ141" s="441"/>
    </row>
    <row r="142" spans="2:43" x14ac:dyDescent="0.15">
      <c r="B142" s="354" t="str">
        <f t="shared" si="63"/>
        <v/>
      </c>
      <c r="C142" s="239" t="str">
        <f t="shared" si="69"/>
        <v/>
      </c>
      <c r="D142" s="239" t="str">
        <f t="shared" si="65"/>
        <v/>
      </c>
      <c r="E142" s="248" t="str">
        <f t="shared" si="54"/>
        <v/>
      </c>
      <c r="F142" s="1045" t="str">
        <f t="shared" si="55"/>
        <v/>
      </c>
      <c r="G142" s="184" t="str">
        <f t="shared" si="56"/>
        <v/>
      </c>
      <c r="H142" s="941" t="e">
        <f t="shared" si="70"/>
        <v>#VALUE!</v>
      </c>
      <c r="I142" s="353" t="e">
        <f t="shared" si="71"/>
        <v>#VALUE!</v>
      </c>
      <c r="J142" s="239"/>
      <c r="K142" s="477" t="str">
        <f t="shared" si="59"/>
        <v/>
      </c>
      <c r="L142" s="246" t="str">
        <f t="shared" si="66"/>
        <v/>
      </c>
      <c r="M142" s="246" t="str">
        <f t="shared" si="67"/>
        <v/>
      </c>
      <c r="N142" s="246" t="str">
        <f t="shared" si="68"/>
        <v/>
      </c>
      <c r="O142" s="69"/>
      <c r="P142" s="69"/>
      <c r="Q142" s="69"/>
      <c r="R142" s="470"/>
      <c r="S142" s="69"/>
      <c r="T142" s="69"/>
      <c r="U142" s="69"/>
      <c r="V142" s="69"/>
      <c r="W142" s="69"/>
      <c r="X142" s="69"/>
      <c r="Y142" s="69"/>
      <c r="Z142" s="69"/>
      <c r="AA142" s="69"/>
      <c r="AB142" s="69"/>
      <c r="AC142" s="69"/>
      <c r="AD142" s="69"/>
      <c r="AE142" s="69"/>
      <c r="AF142" s="69"/>
      <c r="AG142" s="69"/>
      <c r="AH142" s="69"/>
      <c r="AI142" s="69"/>
      <c r="AJ142" s="69"/>
      <c r="AK142" s="193" t="e">
        <f>+AB11</f>
        <v>#VALUE!</v>
      </c>
      <c r="AL142" s="461" t="e">
        <f t="shared" si="61"/>
        <v>#VALUE!</v>
      </c>
      <c r="AM142" s="461" t="e">
        <f t="shared" si="44"/>
        <v>#VALUE!</v>
      </c>
      <c r="AN142" s="194" t="e">
        <f t="shared" si="45"/>
        <v>#VALUE!</v>
      </c>
      <c r="AO142" s="462"/>
      <c r="AP142" s="462"/>
      <c r="AQ142" s="441"/>
    </row>
    <row r="143" spans="2:43" x14ac:dyDescent="0.15">
      <c r="B143" s="354" t="str">
        <f t="shared" si="63"/>
        <v/>
      </c>
      <c r="C143" s="239" t="str">
        <f t="shared" si="69"/>
        <v/>
      </c>
      <c r="D143" s="239" t="str">
        <f t="shared" si="65"/>
        <v/>
      </c>
      <c r="E143" s="248" t="str">
        <f t="shared" si="54"/>
        <v/>
      </c>
      <c r="F143" s="1045" t="str">
        <f t="shared" si="55"/>
        <v/>
      </c>
      <c r="G143" s="184" t="str">
        <f t="shared" si="56"/>
        <v/>
      </c>
      <c r="H143" s="941" t="e">
        <f t="shared" si="70"/>
        <v>#VALUE!</v>
      </c>
      <c r="I143" s="353" t="e">
        <f t="shared" si="71"/>
        <v>#VALUE!</v>
      </c>
      <c r="J143" s="239"/>
      <c r="K143" s="477" t="str">
        <f t="shared" si="59"/>
        <v/>
      </c>
      <c r="L143" s="246" t="str">
        <f t="shared" si="66"/>
        <v/>
      </c>
      <c r="M143" s="246" t="str">
        <f t="shared" si="67"/>
        <v/>
      </c>
      <c r="N143" s="246" t="str">
        <f t="shared" si="68"/>
        <v/>
      </c>
      <c r="O143" s="69"/>
      <c r="P143" s="69"/>
      <c r="Q143" s="69"/>
      <c r="R143" s="470"/>
      <c r="S143" s="69"/>
      <c r="T143" s="69"/>
      <c r="U143" s="69"/>
      <c r="V143" s="69"/>
      <c r="W143" s="69"/>
      <c r="X143" s="69"/>
      <c r="Y143" s="69"/>
      <c r="Z143" s="69"/>
      <c r="AA143" s="69"/>
      <c r="AB143" s="69"/>
      <c r="AC143" s="69"/>
      <c r="AD143" s="69"/>
      <c r="AE143" s="69"/>
      <c r="AF143" s="69"/>
      <c r="AG143" s="69"/>
      <c r="AH143" s="69"/>
      <c r="AI143" s="69"/>
      <c r="AJ143" s="69"/>
      <c r="AK143" s="193" t="e">
        <f t="shared" ref="AK143:AK152" si="72">+AB13</f>
        <v>#VALUE!</v>
      </c>
      <c r="AL143" s="461" t="e">
        <f t="shared" si="61"/>
        <v>#VALUE!</v>
      </c>
      <c r="AM143" s="461" t="e">
        <f t="shared" si="44"/>
        <v>#VALUE!</v>
      </c>
      <c r="AN143" s="194" t="e">
        <f t="shared" si="45"/>
        <v>#VALUE!</v>
      </c>
      <c r="AO143" s="462"/>
      <c r="AP143" s="462"/>
      <c r="AQ143" s="441"/>
    </row>
    <row r="144" spans="2:43" x14ac:dyDescent="0.15">
      <c r="B144" s="354" t="str">
        <f t="shared" si="63"/>
        <v/>
      </c>
      <c r="C144" s="239" t="str">
        <f t="shared" si="69"/>
        <v/>
      </c>
      <c r="D144" s="239" t="str">
        <f t="shared" si="65"/>
        <v/>
      </c>
      <c r="E144" s="248" t="str">
        <f t="shared" si="54"/>
        <v/>
      </c>
      <c r="F144" s="1045" t="str">
        <f t="shared" si="55"/>
        <v/>
      </c>
      <c r="G144" s="184" t="str">
        <f t="shared" si="56"/>
        <v/>
      </c>
      <c r="H144" s="941" t="e">
        <f t="shared" si="70"/>
        <v>#VALUE!</v>
      </c>
      <c r="I144" s="353" t="e">
        <f t="shared" si="71"/>
        <v>#VALUE!</v>
      </c>
      <c r="J144" s="239"/>
      <c r="K144" s="477" t="str">
        <f t="shared" si="59"/>
        <v/>
      </c>
      <c r="L144" s="246" t="str">
        <f t="shared" si="66"/>
        <v/>
      </c>
      <c r="M144" s="246" t="str">
        <f t="shared" si="67"/>
        <v/>
      </c>
      <c r="N144" s="246" t="str">
        <f t="shared" si="68"/>
        <v/>
      </c>
      <c r="O144" s="69"/>
      <c r="P144" s="69"/>
      <c r="Q144" s="69"/>
      <c r="R144" s="470"/>
      <c r="S144" s="69"/>
      <c r="T144" s="69"/>
      <c r="U144" s="69"/>
      <c r="V144" s="69"/>
      <c r="W144" s="69"/>
      <c r="X144" s="69"/>
      <c r="Y144" s="69"/>
      <c r="Z144" s="69"/>
      <c r="AA144" s="69"/>
      <c r="AB144" s="69"/>
      <c r="AC144" s="69"/>
      <c r="AD144" s="69"/>
      <c r="AE144" s="69"/>
      <c r="AF144" s="69"/>
      <c r="AG144" s="69"/>
      <c r="AH144" s="69"/>
      <c r="AI144" s="69"/>
      <c r="AJ144" s="69"/>
      <c r="AK144" s="193" t="e">
        <f t="shared" si="72"/>
        <v>#VALUE!</v>
      </c>
      <c r="AL144" s="461" t="e">
        <f t="shared" si="61"/>
        <v>#VALUE!</v>
      </c>
      <c r="AM144" s="461" t="e">
        <f t="shared" si="44"/>
        <v>#VALUE!</v>
      </c>
      <c r="AN144" s="194" t="e">
        <f t="shared" si="45"/>
        <v>#VALUE!</v>
      </c>
      <c r="AO144" s="462"/>
      <c r="AP144" s="462"/>
      <c r="AQ144" s="441"/>
    </row>
    <row r="145" spans="2:43" x14ac:dyDescent="0.15">
      <c r="B145" s="354" t="str">
        <f t="shared" si="63"/>
        <v/>
      </c>
      <c r="C145" s="239" t="str">
        <f t="shared" si="69"/>
        <v/>
      </c>
      <c r="D145" s="239" t="str">
        <f t="shared" si="65"/>
        <v/>
      </c>
      <c r="E145" s="248" t="str">
        <f t="shared" si="54"/>
        <v/>
      </c>
      <c r="F145" s="1045" t="str">
        <f t="shared" si="55"/>
        <v/>
      </c>
      <c r="G145" s="184" t="str">
        <f t="shared" si="56"/>
        <v/>
      </c>
      <c r="H145" s="941" t="e">
        <f t="shared" si="70"/>
        <v>#VALUE!</v>
      </c>
      <c r="I145" s="353" t="e">
        <f t="shared" si="71"/>
        <v>#VALUE!</v>
      </c>
      <c r="J145" s="239"/>
      <c r="K145" s="477" t="str">
        <f t="shared" si="59"/>
        <v/>
      </c>
      <c r="L145" s="246" t="str">
        <f t="shared" si="66"/>
        <v/>
      </c>
      <c r="M145" s="246" t="str">
        <f t="shared" si="67"/>
        <v/>
      </c>
      <c r="N145" s="246" t="str">
        <f t="shared" si="68"/>
        <v/>
      </c>
      <c r="O145" s="69"/>
      <c r="P145" s="69"/>
      <c r="Q145" s="69"/>
      <c r="R145" s="470"/>
      <c r="S145" s="69"/>
      <c r="T145" s="69"/>
      <c r="U145" s="69"/>
      <c r="V145" s="69"/>
      <c r="W145" s="69"/>
      <c r="X145" s="69"/>
      <c r="Y145" s="69"/>
      <c r="Z145" s="69"/>
      <c r="AA145" s="69"/>
      <c r="AB145" s="69"/>
      <c r="AC145" s="69"/>
      <c r="AD145" s="69"/>
      <c r="AE145" s="69"/>
      <c r="AF145" s="69"/>
      <c r="AG145" s="69"/>
      <c r="AH145" s="69"/>
      <c r="AI145" s="69"/>
      <c r="AJ145" s="69"/>
      <c r="AK145" s="193" t="e">
        <f t="shared" si="72"/>
        <v>#VALUE!</v>
      </c>
      <c r="AL145" s="461" t="e">
        <f t="shared" si="61"/>
        <v>#VALUE!</v>
      </c>
      <c r="AM145" s="461" t="e">
        <f t="shared" si="44"/>
        <v>#VALUE!</v>
      </c>
      <c r="AN145" s="194" t="e">
        <f t="shared" si="45"/>
        <v>#VALUE!</v>
      </c>
      <c r="AO145" s="462"/>
      <c r="AP145" s="462"/>
      <c r="AQ145" s="441"/>
    </row>
    <row r="146" spans="2:43" x14ac:dyDescent="0.15">
      <c r="B146" s="354" t="str">
        <f t="shared" si="63"/>
        <v/>
      </c>
      <c r="C146" s="239" t="str">
        <f t="shared" si="69"/>
        <v/>
      </c>
      <c r="D146" s="239" t="str">
        <f t="shared" si="65"/>
        <v/>
      </c>
      <c r="E146" s="248" t="str">
        <f t="shared" si="54"/>
        <v/>
      </c>
      <c r="F146" s="1045" t="str">
        <f t="shared" si="55"/>
        <v/>
      </c>
      <c r="G146" s="184" t="str">
        <f t="shared" si="56"/>
        <v/>
      </c>
      <c r="H146" s="941" t="e">
        <f t="shared" si="70"/>
        <v>#VALUE!</v>
      </c>
      <c r="I146" s="353" t="e">
        <f t="shared" si="71"/>
        <v>#VALUE!</v>
      </c>
      <c r="J146" s="239"/>
      <c r="K146" s="477" t="str">
        <f t="shared" si="59"/>
        <v/>
      </c>
      <c r="L146" s="246" t="str">
        <f t="shared" si="66"/>
        <v/>
      </c>
      <c r="M146" s="246" t="str">
        <f t="shared" si="67"/>
        <v/>
      </c>
      <c r="N146" s="246" t="str">
        <f t="shared" si="68"/>
        <v/>
      </c>
      <c r="O146" s="69"/>
      <c r="P146" s="69"/>
      <c r="Q146" s="69"/>
      <c r="R146" s="470"/>
      <c r="S146" s="69"/>
      <c r="T146" s="69"/>
      <c r="U146" s="69"/>
      <c r="V146" s="69"/>
      <c r="W146" s="69"/>
      <c r="X146" s="69"/>
      <c r="Y146" s="69"/>
      <c r="Z146" s="69"/>
      <c r="AA146" s="69"/>
      <c r="AB146" s="69"/>
      <c r="AC146" s="69"/>
      <c r="AD146" s="69"/>
      <c r="AE146" s="69"/>
      <c r="AF146" s="69"/>
      <c r="AG146" s="69"/>
      <c r="AH146" s="69"/>
      <c r="AI146" s="69"/>
      <c r="AJ146" s="69"/>
      <c r="AK146" s="193" t="e">
        <f t="shared" si="72"/>
        <v>#VALUE!</v>
      </c>
      <c r="AL146" s="461" t="e">
        <f t="shared" si="61"/>
        <v>#VALUE!</v>
      </c>
      <c r="AM146" s="461" t="e">
        <f t="shared" si="44"/>
        <v>#VALUE!</v>
      </c>
      <c r="AN146" s="194" t="e">
        <f t="shared" si="45"/>
        <v>#VALUE!</v>
      </c>
      <c r="AO146" s="462"/>
      <c r="AP146" s="462"/>
      <c r="AQ146" s="441"/>
    </row>
    <row r="147" spans="2:43" x14ac:dyDescent="0.15">
      <c r="B147" s="354" t="str">
        <f t="shared" si="63"/>
        <v/>
      </c>
      <c r="C147" s="239" t="str">
        <f t="shared" si="69"/>
        <v/>
      </c>
      <c r="D147" s="239" t="str">
        <f t="shared" si="65"/>
        <v/>
      </c>
      <c r="E147" s="248" t="str">
        <f t="shared" si="54"/>
        <v/>
      </c>
      <c r="F147" s="1045" t="str">
        <f t="shared" si="55"/>
        <v/>
      </c>
      <c r="G147" s="184" t="str">
        <f t="shared" si="56"/>
        <v/>
      </c>
      <c r="H147" s="941" t="e">
        <f t="shared" si="70"/>
        <v>#VALUE!</v>
      </c>
      <c r="I147" s="353" t="e">
        <f t="shared" si="71"/>
        <v>#VALUE!</v>
      </c>
      <c r="J147" s="239"/>
      <c r="K147" s="477" t="str">
        <f t="shared" si="59"/>
        <v/>
      </c>
      <c r="L147" s="246" t="str">
        <f t="shared" si="66"/>
        <v/>
      </c>
      <c r="M147" s="246" t="str">
        <f t="shared" si="67"/>
        <v/>
      </c>
      <c r="N147" s="246" t="str">
        <f t="shared" si="68"/>
        <v/>
      </c>
      <c r="O147" s="69"/>
      <c r="P147" s="69"/>
      <c r="Q147" s="69"/>
      <c r="R147" s="470"/>
      <c r="S147" s="69"/>
      <c r="T147" s="69"/>
      <c r="U147" s="69"/>
      <c r="V147" s="69"/>
      <c r="W147" s="69"/>
      <c r="X147" s="69"/>
      <c r="Y147" s="69"/>
      <c r="Z147" s="69"/>
      <c r="AA147" s="69"/>
      <c r="AB147" s="69"/>
      <c r="AC147" s="69"/>
      <c r="AD147" s="69"/>
      <c r="AE147" s="69"/>
      <c r="AF147" s="69"/>
      <c r="AG147" s="69"/>
      <c r="AH147" s="69"/>
      <c r="AI147" s="69"/>
      <c r="AJ147" s="69"/>
      <c r="AK147" s="193" t="e">
        <f t="shared" si="72"/>
        <v>#VALUE!</v>
      </c>
      <c r="AL147" s="461" t="e">
        <f t="shared" si="61"/>
        <v>#VALUE!</v>
      </c>
      <c r="AM147" s="461" t="e">
        <f t="shared" si="44"/>
        <v>#VALUE!</v>
      </c>
      <c r="AN147" s="194" t="e">
        <f t="shared" si="45"/>
        <v>#VALUE!</v>
      </c>
      <c r="AO147" s="462"/>
      <c r="AP147" s="462"/>
      <c r="AQ147" s="441"/>
    </row>
    <row r="148" spans="2:43" x14ac:dyDescent="0.15">
      <c r="B148" s="354" t="str">
        <f t="shared" si="63"/>
        <v/>
      </c>
      <c r="C148" s="239" t="str">
        <f t="shared" si="69"/>
        <v/>
      </c>
      <c r="D148" s="239" t="str">
        <f t="shared" si="65"/>
        <v/>
      </c>
      <c r="E148" s="248" t="str">
        <f t="shared" si="54"/>
        <v/>
      </c>
      <c r="F148" s="1045" t="str">
        <f t="shared" si="55"/>
        <v/>
      </c>
      <c r="G148" s="184" t="str">
        <f t="shared" si="56"/>
        <v/>
      </c>
      <c r="H148" s="941" t="e">
        <f t="shared" si="70"/>
        <v>#VALUE!</v>
      </c>
      <c r="I148" s="353" t="e">
        <f t="shared" si="71"/>
        <v>#VALUE!</v>
      </c>
      <c r="J148" s="239"/>
      <c r="K148" s="477" t="str">
        <f t="shared" si="59"/>
        <v/>
      </c>
      <c r="L148" s="246" t="str">
        <f t="shared" si="66"/>
        <v/>
      </c>
      <c r="M148" s="246" t="str">
        <f t="shared" si="67"/>
        <v/>
      </c>
      <c r="N148" s="246" t="str">
        <f t="shared" si="68"/>
        <v/>
      </c>
      <c r="O148" s="69"/>
      <c r="P148" s="69"/>
      <c r="Q148" s="69"/>
      <c r="R148" s="470"/>
      <c r="S148" s="69"/>
      <c r="T148" s="69"/>
      <c r="U148" s="69"/>
      <c r="V148" s="69"/>
      <c r="W148" s="69"/>
      <c r="X148" s="69"/>
      <c r="Y148" s="69"/>
      <c r="Z148" s="69"/>
      <c r="AA148" s="69"/>
      <c r="AB148" s="69"/>
      <c r="AC148" s="69"/>
      <c r="AD148" s="69"/>
      <c r="AE148" s="69"/>
      <c r="AF148" s="69"/>
      <c r="AG148" s="69"/>
      <c r="AH148" s="69"/>
      <c r="AI148" s="69"/>
      <c r="AJ148" s="69"/>
      <c r="AK148" s="193" t="e">
        <f t="shared" si="72"/>
        <v>#VALUE!</v>
      </c>
      <c r="AL148" s="461" t="e">
        <f t="shared" si="61"/>
        <v>#VALUE!</v>
      </c>
      <c r="AM148" s="461" t="e">
        <f t="shared" si="44"/>
        <v>#VALUE!</v>
      </c>
      <c r="AN148" s="194" t="e">
        <f t="shared" si="45"/>
        <v>#VALUE!</v>
      </c>
      <c r="AO148" s="462"/>
      <c r="AP148" s="462"/>
      <c r="AQ148" s="441"/>
    </row>
    <row r="149" spans="2:43" x14ac:dyDescent="0.15">
      <c r="B149" s="354" t="str">
        <f t="shared" si="63"/>
        <v/>
      </c>
      <c r="C149" s="239" t="str">
        <f t="shared" si="69"/>
        <v/>
      </c>
      <c r="D149" s="239" t="str">
        <f t="shared" si="65"/>
        <v/>
      </c>
      <c r="E149" s="248" t="str">
        <f t="shared" si="54"/>
        <v/>
      </c>
      <c r="F149" s="1045" t="str">
        <f t="shared" si="55"/>
        <v/>
      </c>
      <c r="G149" s="184" t="str">
        <f t="shared" si="56"/>
        <v/>
      </c>
      <c r="H149" s="941" t="e">
        <f t="shared" si="70"/>
        <v>#VALUE!</v>
      </c>
      <c r="I149" s="353" t="e">
        <f t="shared" si="71"/>
        <v>#VALUE!</v>
      </c>
      <c r="J149" s="239"/>
      <c r="K149" s="477" t="str">
        <f t="shared" si="59"/>
        <v/>
      </c>
      <c r="L149" s="246" t="str">
        <f t="shared" si="66"/>
        <v/>
      </c>
      <c r="M149" s="246" t="str">
        <f t="shared" si="67"/>
        <v/>
      </c>
      <c r="N149" s="246" t="str">
        <f t="shared" si="68"/>
        <v/>
      </c>
      <c r="O149" s="69"/>
      <c r="P149" s="69"/>
      <c r="Q149" s="69"/>
      <c r="R149" s="470"/>
      <c r="S149" s="69"/>
      <c r="T149" s="69"/>
      <c r="U149" s="69"/>
      <c r="V149" s="69"/>
      <c r="W149" s="69"/>
      <c r="X149" s="69"/>
      <c r="Y149" s="69"/>
      <c r="Z149" s="69"/>
      <c r="AA149" s="69"/>
      <c r="AB149" s="69"/>
      <c r="AC149" s="69"/>
      <c r="AD149" s="69"/>
      <c r="AE149" s="69"/>
      <c r="AF149" s="69"/>
      <c r="AG149" s="69"/>
      <c r="AH149" s="69"/>
      <c r="AI149" s="69"/>
      <c r="AJ149" s="69"/>
      <c r="AK149" s="193" t="e">
        <f t="shared" si="72"/>
        <v>#VALUE!</v>
      </c>
      <c r="AL149" s="461" t="e">
        <f t="shared" si="61"/>
        <v>#VALUE!</v>
      </c>
      <c r="AM149" s="461" t="e">
        <f t="shared" si="44"/>
        <v>#VALUE!</v>
      </c>
      <c r="AN149" s="194" t="e">
        <f t="shared" si="45"/>
        <v>#VALUE!</v>
      </c>
      <c r="AO149" s="462"/>
      <c r="AP149" s="462"/>
      <c r="AQ149" s="441"/>
    </row>
    <row r="150" spans="2:43" x14ac:dyDescent="0.15">
      <c r="B150" s="354" t="str">
        <f t="shared" si="63"/>
        <v/>
      </c>
      <c r="C150" s="239" t="str">
        <f t="shared" si="69"/>
        <v/>
      </c>
      <c r="D150" s="239" t="str">
        <f t="shared" si="65"/>
        <v/>
      </c>
      <c r="E150" s="248" t="str">
        <f t="shared" si="54"/>
        <v/>
      </c>
      <c r="F150" s="1045" t="str">
        <f t="shared" si="55"/>
        <v/>
      </c>
      <c r="G150" s="184" t="str">
        <f t="shared" si="56"/>
        <v/>
      </c>
      <c r="H150" s="941" t="e">
        <f t="shared" si="70"/>
        <v>#VALUE!</v>
      </c>
      <c r="I150" s="353" t="e">
        <f t="shared" si="71"/>
        <v>#VALUE!</v>
      </c>
      <c r="J150" s="239"/>
      <c r="K150" s="477" t="str">
        <f t="shared" si="59"/>
        <v/>
      </c>
      <c r="L150" s="246" t="str">
        <f t="shared" si="66"/>
        <v/>
      </c>
      <c r="M150" s="246" t="str">
        <f t="shared" si="67"/>
        <v/>
      </c>
      <c r="N150" s="246" t="str">
        <f t="shared" si="68"/>
        <v/>
      </c>
      <c r="O150" s="69"/>
      <c r="P150" s="69"/>
      <c r="Q150" s="69"/>
      <c r="R150" s="470"/>
      <c r="S150" s="69"/>
      <c r="T150" s="69"/>
      <c r="U150" s="69"/>
      <c r="V150" s="69"/>
      <c r="W150" s="69"/>
      <c r="X150" s="69"/>
      <c r="Y150" s="69"/>
      <c r="Z150" s="69"/>
      <c r="AA150" s="69"/>
      <c r="AB150" s="69"/>
      <c r="AC150" s="69"/>
      <c r="AD150" s="69"/>
      <c r="AE150" s="69"/>
      <c r="AF150" s="69"/>
      <c r="AG150" s="69"/>
      <c r="AH150" s="69"/>
      <c r="AI150" s="69"/>
      <c r="AJ150" s="69"/>
      <c r="AK150" s="193" t="e">
        <f t="shared" si="72"/>
        <v>#VALUE!</v>
      </c>
      <c r="AL150" s="461" t="e">
        <f t="shared" si="61"/>
        <v>#VALUE!</v>
      </c>
      <c r="AM150" s="461" t="e">
        <f t="shared" si="44"/>
        <v>#VALUE!</v>
      </c>
      <c r="AN150" s="194" t="e">
        <f t="shared" si="45"/>
        <v>#VALUE!</v>
      </c>
      <c r="AO150" s="462"/>
      <c r="AP150" s="462"/>
      <c r="AQ150" s="441"/>
    </row>
    <row r="151" spans="2:43" x14ac:dyDescent="0.15">
      <c r="B151" s="354" t="str">
        <f t="shared" si="63"/>
        <v/>
      </c>
      <c r="C151" s="239" t="str">
        <f t="shared" si="69"/>
        <v/>
      </c>
      <c r="D151" s="239" t="str">
        <f t="shared" si="65"/>
        <v/>
      </c>
      <c r="E151" s="248" t="str">
        <f t="shared" si="54"/>
        <v/>
      </c>
      <c r="F151" s="1045" t="str">
        <f t="shared" si="55"/>
        <v/>
      </c>
      <c r="G151" s="184" t="str">
        <f t="shared" si="56"/>
        <v/>
      </c>
      <c r="H151" s="941" t="e">
        <f t="shared" si="70"/>
        <v>#VALUE!</v>
      </c>
      <c r="I151" s="353" t="e">
        <f t="shared" si="71"/>
        <v>#VALUE!</v>
      </c>
      <c r="J151" s="239"/>
      <c r="K151" s="477" t="str">
        <f t="shared" si="59"/>
        <v/>
      </c>
      <c r="L151" s="246" t="str">
        <f t="shared" si="66"/>
        <v/>
      </c>
      <c r="M151" s="246" t="str">
        <f t="shared" si="67"/>
        <v/>
      </c>
      <c r="N151" s="246" t="str">
        <f t="shared" si="68"/>
        <v/>
      </c>
      <c r="O151" s="69"/>
      <c r="P151" s="69"/>
      <c r="Q151" s="69"/>
      <c r="R151" s="470"/>
      <c r="S151" s="69"/>
      <c r="T151" s="69"/>
      <c r="U151" s="69"/>
      <c r="V151" s="69"/>
      <c r="W151" s="69"/>
      <c r="X151" s="69"/>
      <c r="Y151" s="69"/>
      <c r="Z151" s="69"/>
      <c r="AA151" s="69"/>
      <c r="AB151" s="69"/>
      <c r="AC151" s="69"/>
      <c r="AD151" s="69"/>
      <c r="AE151" s="69"/>
      <c r="AF151" s="69"/>
      <c r="AG151" s="69"/>
      <c r="AH151" s="69"/>
      <c r="AI151" s="69"/>
      <c r="AJ151" s="69"/>
      <c r="AK151" s="193" t="e">
        <f t="shared" si="72"/>
        <v>#VALUE!</v>
      </c>
      <c r="AL151" s="461" t="e">
        <f t="shared" si="61"/>
        <v>#VALUE!</v>
      </c>
      <c r="AM151" s="461" t="e">
        <f t="shared" si="44"/>
        <v>#VALUE!</v>
      </c>
      <c r="AN151" s="194" t="e">
        <f t="shared" si="45"/>
        <v>#VALUE!</v>
      </c>
      <c r="AO151" s="462"/>
      <c r="AP151" s="462"/>
      <c r="AQ151" s="441"/>
    </row>
    <row r="152" spans="2:43" x14ac:dyDescent="0.15">
      <c r="B152" s="354" t="str">
        <f t="shared" si="63"/>
        <v/>
      </c>
      <c r="C152" s="239" t="str">
        <f t="shared" si="69"/>
        <v/>
      </c>
      <c r="D152" s="239" t="str">
        <f t="shared" si="65"/>
        <v/>
      </c>
      <c r="E152" s="248" t="str">
        <f t="shared" si="54"/>
        <v/>
      </c>
      <c r="F152" s="1045" t="str">
        <f t="shared" si="55"/>
        <v/>
      </c>
      <c r="G152" s="184" t="str">
        <f t="shared" si="56"/>
        <v/>
      </c>
      <c r="H152" s="941" t="e">
        <f t="shared" si="70"/>
        <v>#VALUE!</v>
      </c>
      <c r="I152" s="353" t="e">
        <f t="shared" si="71"/>
        <v>#VALUE!</v>
      </c>
      <c r="J152" s="239"/>
      <c r="K152" s="477" t="str">
        <f t="shared" si="59"/>
        <v/>
      </c>
      <c r="L152" s="246" t="str">
        <f t="shared" si="66"/>
        <v/>
      </c>
      <c r="M152" s="246" t="str">
        <f t="shared" si="67"/>
        <v/>
      </c>
      <c r="N152" s="246" t="str">
        <f t="shared" si="68"/>
        <v/>
      </c>
      <c r="O152" s="69"/>
      <c r="P152" s="69"/>
      <c r="Q152" s="69"/>
      <c r="R152" s="470"/>
      <c r="S152" s="69"/>
      <c r="T152" s="69"/>
      <c r="U152" s="69"/>
      <c r="V152" s="69"/>
      <c r="W152" s="69"/>
      <c r="X152" s="69"/>
      <c r="Y152" s="69"/>
      <c r="Z152" s="69"/>
      <c r="AA152" s="69"/>
      <c r="AB152" s="69"/>
      <c r="AC152" s="69"/>
      <c r="AD152" s="69"/>
      <c r="AE152" s="69"/>
      <c r="AF152" s="69"/>
      <c r="AG152" s="69"/>
      <c r="AH152" s="69"/>
      <c r="AI152" s="69"/>
      <c r="AJ152" s="69"/>
      <c r="AK152" s="193" t="e">
        <f t="shared" si="72"/>
        <v>#VALUE!</v>
      </c>
      <c r="AL152" s="461" t="e">
        <f t="shared" si="61"/>
        <v>#VALUE!</v>
      </c>
      <c r="AM152" s="461" t="e">
        <f t="shared" si="44"/>
        <v>#VALUE!</v>
      </c>
      <c r="AN152" s="194" t="e">
        <f t="shared" si="45"/>
        <v>#VALUE!</v>
      </c>
      <c r="AO152" s="462"/>
      <c r="AP152" s="462"/>
      <c r="AQ152" s="441"/>
    </row>
    <row r="153" spans="2:43" x14ac:dyDescent="0.15">
      <c r="B153" s="354" t="str">
        <f t="shared" si="63"/>
        <v/>
      </c>
      <c r="C153" s="239" t="str">
        <f t="shared" si="69"/>
        <v/>
      </c>
      <c r="D153" s="239" t="str">
        <f t="shared" si="65"/>
        <v/>
      </c>
      <c r="E153" s="248" t="str">
        <f t="shared" si="54"/>
        <v/>
      </c>
      <c r="F153" s="1045" t="str">
        <f t="shared" si="55"/>
        <v/>
      </c>
      <c r="G153" s="184" t="str">
        <f t="shared" si="56"/>
        <v/>
      </c>
      <c r="H153" s="941" t="e">
        <f t="shared" si="70"/>
        <v>#VALUE!</v>
      </c>
      <c r="I153" s="353" t="e">
        <f t="shared" si="71"/>
        <v>#VALUE!</v>
      </c>
      <c r="J153" s="239"/>
      <c r="K153" s="477" t="str">
        <f t="shared" si="59"/>
        <v/>
      </c>
      <c r="L153" s="246" t="str">
        <f t="shared" si="66"/>
        <v/>
      </c>
      <c r="M153" s="246" t="str">
        <f t="shared" si="67"/>
        <v/>
      </c>
      <c r="N153" s="246" t="str">
        <f t="shared" si="68"/>
        <v/>
      </c>
      <c r="O153" s="69"/>
      <c r="P153" s="69"/>
      <c r="Q153" s="69"/>
      <c r="R153" s="470"/>
      <c r="S153" s="69"/>
      <c r="T153" s="69"/>
      <c r="U153" s="69"/>
      <c r="V153" s="69"/>
      <c r="W153" s="69"/>
      <c r="X153" s="69"/>
      <c r="Y153" s="69"/>
      <c r="Z153" s="69"/>
      <c r="AA153" s="69"/>
      <c r="AB153" s="69"/>
      <c r="AC153" s="69"/>
      <c r="AD153" s="69"/>
      <c r="AE153" s="69"/>
      <c r="AF153" s="69"/>
      <c r="AG153" s="69"/>
      <c r="AH153" s="69"/>
      <c r="AI153" s="69"/>
      <c r="AJ153" s="69"/>
      <c r="AK153" s="193" t="e">
        <f>+AC10</f>
        <v>#VALUE!</v>
      </c>
      <c r="AL153" s="461" t="e">
        <f t="shared" si="61"/>
        <v>#VALUE!</v>
      </c>
      <c r="AM153" s="461" t="e">
        <f t="shared" si="44"/>
        <v>#VALUE!</v>
      </c>
      <c r="AN153" s="194" t="e">
        <f t="shared" si="45"/>
        <v>#VALUE!</v>
      </c>
      <c r="AO153" s="462"/>
      <c r="AP153" s="462"/>
      <c r="AQ153" s="441"/>
    </row>
    <row r="154" spans="2:43" x14ac:dyDescent="0.15">
      <c r="B154" s="354" t="str">
        <f t="shared" si="63"/>
        <v/>
      </c>
      <c r="C154" s="239" t="str">
        <f t="shared" si="69"/>
        <v/>
      </c>
      <c r="D154" s="239" t="str">
        <f t="shared" si="65"/>
        <v/>
      </c>
      <c r="E154" s="248" t="str">
        <f t="shared" si="54"/>
        <v/>
      </c>
      <c r="F154" s="1045" t="str">
        <f t="shared" si="55"/>
        <v/>
      </c>
      <c r="G154" s="184" t="str">
        <f t="shared" si="56"/>
        <v/>
      </c>
      <c r="H154" s="941" t="e">
        <f t="shared" si="70"/>
        <v>#VALUE!</v>
      </c>
      <c r="I154" s="353" t="e">
        <f t="shared" si="71"/>
        <v>#VALUE!</v>
      </c>
      <c r="J154" s="239"/>
      <c r="K154" s="477" t="str">
        <f t="shared" si="59"/>
        <v/>
      </c>
      <c r="L154" s="246" t="str">
        <f t="shared" si="66"/>
        <v/>
      </c>
      <c r="M154" s="246" t="str">
        <f t="shared" si="67"/>
        <v/>
      </c>
      <c r="N154" s="246" t="str">
        <f t="shared" si="68"/>
        <v/>
      </c>
      <c r="O154" s="69"/>
      <c r="P154" s="69"/>
      <c r="Q154" s="69"/>
      <c r="R154" s="470"/>
      <c r="S154" s="69"/>
      <c r="T154" s="69"/>
      <c r="U154" s="69"/>
      <c r="V154" s="69"/>
      <c r="W154" s="69"/>
      <c r="X154" s="69"/>
      <c r="Y154" s="69"/>
      <c r="Z154" s="69"/>
      <c r="AA154" s="69"/>
      <c r="AB154" s="69"/>
      <c r="AC154" s="69"/>
      <c r="AD154" s="69"/>
      <c r="AE154" s="69"/>
      <c r="AF154" s="69"/>
      <c r="AG154" s="69"/>
      <c r="AH154" s="69"/>
      <c r="AI154" s="69"/>
      <c r="AJ154" s="69"/>
      <c r="AK154" s="193" t="e">
        <f>+AC11</f>
        <v>#VALUE!</v>
      </c>
      <c r="AL154" s="461" t="e">
        <f t="shared" si="61"/>
        <v>#VALUE!</v>
      </c>
      <c r="AM154" s="461" t="e">
        <f t="shared" si="44"/>
        <v>#VALUE!</v>
      </c>
      <c r="AN154" s="194" t="e">
        <f t="shared" si="45"/>
        <v>#VALUE!</v>
      </c>
      <c r="AO154" s="462"/>
      <c r="AP154" s="462"/>
      <c r="AQ154" s="441"/>
    </row>
    <row r="155" spans="2:43" x14ac:dyDescent="0.15">
      <c r="B155" s="354" t="str">
        <f t="shared" si="63"/>
        <v/>
      </c>
      <c r="C155" s="239" t="str">
        <f t="shared" si="69"/>
        <v/>
      </c>
      <c r="D155" s="239" t="str">
        <f t="shared" si="65"/>
        <v/>
      </c>
      <c r="E155" s="248" t="str">
        <f t="shared" si="54"/>
        <v/>
      </c>
      <c r="F155" s="1045" t="str">
        <f t="shared" si="55"/>
        <v/>
      </c>
      <c r="G155" s="184" t="str">
        <f t="shared" si="56"/>
        <v/>
      </c>
      <c r="H155" s="941" t="e">
        <f t="shared" si="70"/>
        <v>#VALUE!</v>
      </c>
      <c r="I155" s="353" t="e">
        <f t="shared" si="71"/>
        <v>#VALUE!</v>
      </c>
      <c r="J155" s="239"/>
      <c r="K155" s="477" t="str">
        <f t="shared" si="59"/>
        <v/>
      </c>
      <c r="L155" s="246" t="str">
        <f t="shared" si="66"/>
        <v/>
      </c>
      <c r="M155" s="246" t="str">
        <f t="shared" si="67"/>
        <v/>
      </c>
      <c r="N155" s="246" t="str">
        <f t="shared" si="68"/>
        <v/>
      </c>
      <c r="O155" s="69"/>
      <c r="P155" s="69"/>
      <c r="Q155" s="69"/>
      <c r="R155" s="470"/>
      <c r="S155" s="69"/>
      <c r="T155" s="69"/>
      <c r="U155" s="69"/>
      <c r="V155" s="69"/>
      <c r="W155" s="69"/>
      <c r="X155" s="69"/>
      <c r="Y155" s="69"/>
      <c r="Z155" s="69"/>
      <c r="AA155" s="69"/>
      <c r="AB155" s="69"/>
      <c r="AC155" s="69"/>
      <c r="AD155" s="69"/>
      <c r="AE155" s="69"/>
      <c r="AF155" s="69"/>
      <c r="AG155" s="69"/>
      <c r="AH155" s="69"/>
      <c r="AI155" s="69"/>
      <c r="AJ155" s="69"/>
      <c r="AK155" s="193" t="e">
        <f t="shared" ref="AK155:AK164" si="73">+AC13</f>
        <v>#VALUE!</v>
      </c>
      <c r="AL155" s="461" t="e">
        <f t="shared" si="61"/>
        <v>#VALUE!</v>
      </c>
      <c r="AM155" s="461" t="e">
        <f t="shared" si="44"/>
        <v>#VALUE!</v>
      </c>
      <c r="AN155" s="194" t="e">
        <f t="shared" si="45"/>
        <v>#VALUE!</v>
      </c>
      <c r="AO155" s="462"/>
      <c r="AP155" s="462"/>
      <c r="AQ155" s="441"/>
    </row>
    <row r="156" spans="2:43" x14ac:dyDescent="0.15">
      <c r="B156" s="354" t="str">
        <f t="shared" si="63"/>
        <v/>
      </c>
      <c r="C156" s="239" t="str">
        <f t="shared" si="69"/>
        <v/>
      </c>
      <c r="D156" s="239" t="str">
        <f t="shared" si="65"/>
        <v/>
      </c>
      <c r="E156" s="248" t="str">
        <f t="shared" si="54"/>
        <v/>
      </c>
      <c r="F156" s="1045" t="str">
        <f t="shared" si="55"/>
        <v/>
      </c>
      <c r="G156" s="184" t="str">
        <f t="shared" si="56"/>
        <v/>
      </c>
      <c r="H156" s="941" t="e">
        <f t="shared" si="70"/>
        <v>#VALUE!</v>
      </c>
      <c r="I156" s="353" t="e">
        <f t="shared" si="71"/>
        <v>#VALUE!</v>
      </c>
      <c r="J156" s="239"/>
      <c r="K156" s="477" t="str">
        <f t="shared" si="59"/>
        <v/>
      </c>
      <c r="L156" s="246" t="str">
        <f t="shared" si="66"/>
        <v/>
      </c>
      <c r="M156" s="246" t="str">
        <f t="shared" si="67"/>
        <v/>
      </c>
      <c r="N156" s="246" t="str">
        <f t="shared" si="68"/>
        <v/>
      </c>
      <c r="O156" s="69"/>
      <c r="P156" s="69"/>
      <c r="Q156" s="69"/>
      <c r="R156" s="470"/>
      <c r="S156" s="69"/>
      <c r="T156" s="69"/>
      <c r="U156" s="69"/>
      <c r="V156" s="69"/>
      <c r="W156" s="69"/>
      <c r="X156" s="69"/>
      <c r="Y156" s="69"/>
      <c r="Z156" s="69"/>
      <c r="AA156" s="69"/>
      <c r="AB156" s="69"/>
      <c r="AC156" s="69"/>
      <c r="AD156" s="69"/>
      <c r="AE156" s="69"/>
      <c r="AF156" s="69"/>
      <c r="AG156" s="69"/>
      <c r="AH156" s="69"/>
      <c r="AI156" s="69"/>
      <c r="AJ156" s="69"/>
      <c r="AK156" s="193" t="e">
        <f t="shared" si="73"/>
        <v>#VALUE!</v>
      </c>
      <c r="AL156" s="461" t="e">
        <f t="shared" si="61"/>
        <v>#VALUE!</v>
      </c>
      <c r="AM156" s="461" t="e">
        <f t="shared" si="44"/>
        <v>#VALUE!</v>
      </c>
      <c r="AN156" s="194" t="e">
        <f t="shared" si="45"/>
        <v>#VALUE!</v>
      </c>
      <c r="AO156" s="462"/>
      <c r="AP156" s="462"/>
      <c r="AQ156" s="441"/>
    </row>
    <row r="157" spans="2:43" x14ac:dyDescent="0.15">
      <c r="B157" s="354" t="str">
        <f t="shared" si="63"/>
        <v/>
      </c>
      <c r="C157" s="239" t="str">
        <f t="shared" si="69"/>
        <v/>
      </c>
      <c r="D157" s="239" t="str">
        <f t="shared" si="65"/>
        <v/>
      </c>
      <c r="E157" s="248" t="str">
        <f t="shared" si="54"/>
        <v/>
      </c>
      <c r="F157" s="1045" t="str">
        <f t="shared" si="55"/>
        <v/>
      </c>
      <c r="G157" s="184" t="str">
        <f t="shared" si="56"/>
        <v/>
      </c>
      <c r="H157" s="941" t="e">
        <f t="shared" si="70"/>
        <v>#VALUE!</v>
      </c>
      <c r="I157" s="353" t="e">
        <f t="shared" si="71"/>
        <v>#VALUE!</v>
      </c>
      <c r="J157" s="239"/>
      <c r="K157" s="477" t="str">
        <f t="shared" si="59"/>
        <v/>
      </c>
      <c r="L157" s="246" t="str">
        <f t="shared" si="66"/>
        <v/>
      </c>
      <c r="M157" s="246" t="str">
        <f t="shared" si="67"/>
        <v/>
      </c>
      <c r="N157" s="246" t="str">
        <f t="shared" si="68"/>
        <v/>
      </c>
      <c r="O157" s="69"/>
      <c r="P157" s="69"/>
      <c r="Q157" s="69"/>
      <c r="R157" s="470"/>
      <c r="S157" s="69"/>
      <c r="T157" s="69"/>
      <c r="U157" s="69"/>
      <c r="V157" s="69"/>
      <c r="W157" s="69"/>
      <c r="X157" s="69"/>
      <c r="Y157" s="69"/>
      <c r="Z157" s="69"/>
      <c r="AA157" s="69"/>
      <c r="AB157" s="69"/>
      <c r="AC157" s="69"/>
      <c r="AD157" s="69"/>
      <c r="AE157" s="69"/>
      <c r="AF157" s="69"/>
      <c r="AG157" s="69"/>
      <c r="AH157" s="69"/>
      <c r="AI157" s="69"/>
      <c r="AJ157" s="69"/>
      <c r="AK157" s="193" t="e">
        <f t="shared" si="73"/>
        <v>#VALUE!</v>
      </c>
      <c r="AL157" s="461" t="e">
        <f t="shared" si="61"/>
        <v>#VALUE!</v>
      </c>
      <c r="AM157" s="461" t="e">
        <f t="shared" si="44"/>
        <v>#VALUE!</v>
      </c>
      <c r="AN157" s="194" t="e">
        <f t="shared" si="45"/>
        <v>#VALUE!</v>
      </c>
      <c r="AO157" s="462"/>
      <c r="AP157" s="462"/>
      <c r="AQ157" s="441"/>
    </row>
    <row r="158" spans="2:43" x14ac:dyDescent="0.15">
      <c r="B158" s="354" t="str">
        <f t="shared" si="63"/>
        <v/>
      </c>
      <c r="C158" s="239" t="str">
        <f t="shared" si="69"/>
        <v/>
      </c>
      <c r="D158" s="239" t="str">
        <f t="shared" si="65"/>
        <v/>
      </c>
      <c r="E158" s="248" t="str">
        <f t="shared" si="54"/>
        <v/>
      </c>
      <c r="F158" s="1045" t="str">
        <f t="shared" si="55"/>
        <v/>
      </c>
      <c r="G158" s="184" t="str">
        <f t="shared" si="56"/>
        <v/>
      </c>
      <c r="H158" s="941" t="e">
        <f t="shared" si="70"/>
        <v>#VALUE!</v>
      </c>
      <c r="I158" s="353" t="e">
        <f t="shared" si="71"/>
        <v>#VALUE!</v>
      </c>
      <c r="J158" s="239"/>
      <c r="K158" s="477" t="str">
        <f t="shared" si="59"/>
        <v/>
      </c>
      <c r="L158" s="246" t="str">
        <f t="shared" si="66"/>
        <v/>
      </c>
      <c r="M158" s="246" t="str">
        <f t="shared" si="67"/>
        <v/>
      </c>
      <c r="N158" s="246" t="str">
        <f t="shared" si="68"/>
        <v/>
      </c>
      <c r="O158" s="69"/>
      <c r="P158" s="69"/>
      <c r="Q158" s="69"/>
      <c r="R158" s="470"/>
      <c r="S158" s="69"/>
      <c r="T158" s="69"/>
      <c r="U158" s="69"/>
      <c r="V158" s="69"/>
      <c r="W158" s="69"/>
      <c r="X158" s="69"/>
      <c r="Y158" s="69"/>
      <c r="Z158" s="69"/>
      <c r="AA158" s="69"/>
      <c r="AB158" s="69"/>
      <c r="AC158" s="69"/>
      <c r="AD158" s="69"/>
      <c r="AE158" s="69"/>
      <c r="AF158" s="69"/>
      <c r="AG158" s="69"/>
      <c r="AH158" s="69"/>
      <c r="AI158" s="69"/>
      <c r="AJ158" s="69"/>
      <c r="AK158" s="193" t="e">
        <f t="shared" si="73"/>
        <v>#VALUE!</v>
      </c>
      <c r="AL158" s="461" t="e">
        <f t="shared" si="61"/>
        <v>#VALUE!</v>
      </c>
      <c r="AM158" s="461" t="e">
        <f t="shared" si="44"/>
        <v>#VALUE!</v>
      </c>
      <c r="AN158" s="194" t="e">
        <f t="shared" si="45"/>
        <v>#VALUE!</v>
      </c>
      <c r="AO158" s="462"/>
      <c r="AP158" s="462"/>
      <c r="AQ158" s="441"/>
    </row>
    <row r="159" spans="2:43" x14ac:dyDescent="0.15">
      <c r="B159" s="354" t="str">
        <f t="shared" si="63"/>
        <v/>
      </c>
      <c r="C159" s="239" t="str">
        <f t="shared" si="69"/>
        <v/>
      </c>
      <c r="D159" s="239" t="str">
        <f t="shared" si="65"/>
        <v/>
      </c>
      <c r="E159" s="248" t="str">
        <f t="shared" si="54"/>
        <v/>
      </c>
      <c r="F159" s="1045" t="str">
        <f t="shared" si="55"/>
        <v/>
      </c>
      <c r="G159" s="184" t="str">
        <f t="shared" si="56"/>
        <v/>
      </c>
      <c r="H159" s="941" t="e">
        <f t="shared" si="70"/>
        <v>#VALUE!</v>
      </c>
      <c r="I159" s="353" t="e">
        <f t="shared" si="71"/>
        <v>#VALUE!</v>
      </c>
      <c r="J159" s="239"/>
      <c r="K159" s="477" t="str">
        <f t="shared" si="59"/>
        <v/>
      </c>
      <c r="L159" s="246" t="str">
        <f t="shared" si="66"/>
        <v/>
      </c>
      <c r="M159" s="246" t="str">
        <f t="shared" si="67"/>
        <v/>
      </c>
      <c r="N159" s="246" t="str">
        <f t="shared" si="68"/>
        <v/>
      </c>
      <c r="O159" s="69"/>
      <c r="P159" s="69"/>
      <c r="Q159" s="69"/>
      <c r="R159" s="470"/>
      <c r="S159" s="69"/>
      <c r="T159" s="69"/>
      <c r="U159" s="69"/>
      <c r="V159" s="69"/>
      <c r="W159" s="69"/>
      <c r="X159" s="69"/>
      <c r="Y159" s="69"/>
      <c r="Z159" s="69"/>
      <c r="AA159" s="69"/>
      <c r="AB159" s="69"/>
      <c r="AC159" s="69"/>
      <c r="AD159" s="69"/>
      <c r="AE159" s="69"/>
      <c r="AF159" s="69"/>
      <c r="AG159" s="69"/>
      <c r="AH159" s="69"/>
      <c r="AI159" s="69"/>
      <c r="AJ159" s="69"/>
      <c r="AK159" s="193" t="e">
        <f t="shared" si="73"/>
        <v>#VALUE!</v>
      </c>
      <c r="AL159" s="461" t="e">
        <f t="shared" si="61"/>
        <v>#VALUE!</v>
      </c>
      <c r="AM159" s="461" t="e">
        <f t="shared" si="44"/>
        <v>#VALUE!</v>
      </c>
      <c r="AN159" s="194" t="e">
        <f t="shared" si="45"/>
        <v>#VALUE!</v>
      </c>
      <c r="AO159" s="462"/>
      <c r="AP159" s="462"/>
      <c r="AQ159" s="441"/>
    </row>
    <row r="160" spans="2:43" x14ac:dyDescent="0.15">
      <c r="B160" s="354" t="str">
        <f t="shared" si="63"/>
        <v/>
      </c>
      <c r="C160" s="239" t="str">
        <f t="shared" si="69"/>
        <v/>
      </c>
      <c r="D160" s="239" t="str">
        <f t="shared" si="65"/>
        <v/>
      </c>
      <c r="E160" s="248" t="str">
        <f t="shared" si="54"/>
        <v/>
      </c>
      <c r="F160" s="1045" t="str">
        <f t="shared" si="55"/>
        <v/>
      </c>
      <c r="G160" s="184" t="str">
        <f t="shared" si="56"/>
        <v/>
      </c>
      <c r="H160" s="941" t="e">
        <f t="shared" si="70"/>
        <v>#VALUE!</v>
      </c>
      <c r="I160" s="353" t="e">
        <f t="shared" si="71"/>
        <v>#VALUE!</v>
      </c>
      <c r="J160" s="239"/>
      <c r="K160" s="477" t="str">
        <f t="shared" si="59"/>
        <v/>
      </c>
      <c r="L160" s="246" t="str">
        <f t="shared" si="66"/>
        <v/>
      </c>
      <c r="M160" s="246" t="str">
        <f t="shared" si="67"/>
        <v/>
      </c>
      <c r="N160" s="246" t="str">
        <f t="shared" si="68"/>
        <v/>
      </c>
      <c r="O160" s="69"/>
      <c r="P160" s="69"/>
      <c r="Q160" s="69"/>
      <c r="R160" s="470"/>
      <c r="S160" s="69"/>
      <c r="T160" s="69"/>
      <c r="U160" s="69"/>
      <c r="V160" s="69"/>
      <c r="W160" s="69"/>
      <c r="X160" s="69"/>
      <c r="Y160" s="69"/>
      <c r="Z160" s="69"/>
      <c r="AA160" s="69"/>
      <c r="AB160" s="69"/>
      <c r="AC160" s="69"/>
      <c r="AD160" s="69"/>
      <c r="AE160" s="69"/>
      <c r="AF160" s="69"/>
      <c r="AG160" s="69"/>
      <c r="AH160" s="69"/>
      <c r="AI160" s="69"/>
      <c r="AJ160" s="69"/>
      <c r="AK160" s="193" t="e">
        <f t="shared" si="73"/>
        <v>#VALUE!</v>
      </c>
      <c r="AL160" s="461" t="e">
        <f t="shared" si="61"/>
        <v>#VALUE!</v>
      </c>
      <c r="AM160" s="461" t="e">
        <f t="shared" si="44"/>
        <v>#VALUE!</v>
      </c>
      <c r="AN160" s="194" t="e">
        <f t="shared" si="45"/>
        <v>#VALUE!</v>
      </c>
      <c r="AO160" s="462"/>
      <c r="AP160" s="462"/>
      <c r="AQ160" s="441"/>
    </row>
    <row r="161" spans="2:43" x14ac:dyDescent="0.15">
      <c r="B161" s="354" t="str">
        <f t="shared" si="63"/>
        <v/>
      </c>
      <c r="C161" s="239" t="str">
        <f t="shared" si="69"/>
        <v/>
      </c>
      <c r="D161" s="239" t="str">
        <f t="shared" si="65"/>
        <v/>
      </c>
      <c r="E161" s="248" t="str">
        <f t="shared" si="54"/>
        <v/>
      </c>
      <c r="F161" s="1045" t="str">
        <f t="shared" si="55"/>
        <v/>
      </c>
      <c r="G161" s="184" t="str">
        <f t="shared" si="56"/>
        <v/>
      </c>
      <c r="H161" s="941" t="e">
        <f t="shared" si="70"/>
        <v>#VALUE!</v>
      </c>
      <c r="I161" s="353" t="e">
        <f t="shared" si="71"/>
        <v>#VALUE!</v>
      </c>
      <c r="J161" s="239"/>
      <c r="K161" s="477" t="str">
        <f t="shared" si="59"/>
        <v/>
      </c>
      <c r="L161" s="246" t="str">
        <f t="shared" si="66"/>
        <v/>
      </c>
      <c r="M161" s="246" t="str">
        <f t="shared" si="67"/>
        <v/>
      </c>
      <c r="N161" s="246" t="str">
        <f t="shared" si="68"/>
        <v/>
      </c>
      <c r="O161" s="69"/>
      <c r="P161" s="69"/>
      <c r="Q161" s="69"/>
      <c r="R161" s="470"/>
      <c r="S161" s="69"/>
      <c r="T161" s="69"/>
      <c r="U161" s="69"/>
      <c r="V161" s="69"/>
      <c r="W161" s="69"/>
      <c r="X161" s="69"/>
      <c r="Y161" s="69"/>
      <c r="Z161" s="69"/>
      <c r="AA161" s="69"/>
      <c r="AB161" s="69"/>
      <c r="AC161" s="69"/>
      <c r="AD161" s="69"/>
      <c r="AE161" s="69"/>
      <c r="AF161" s="69"/>
      <c r="AG161" s="69"/>
      <c r="AH161" s="69"/>
      <c r="AI161" s="69"/>
      <c r="AJ161" s="69"/>
      <c r="AK161" s="193" t="e">
        <f t="shared" si="73"/>
        <v>#VALUE!</v>
      </c>
      <c r="AL161" s="461" t="e">
        <f t="shared" si="61"/>
        <v>#VALUE!</v>
      </c>
      <c r="AM161" s="461" t="e">
        <f t="shared" si="44"/>
        <v>#VALUE!</v>
      </c>
      <c r="AN161" s="194" t="e">
        <f t="shared" si="45"/>
        <v>#VALUE!</v>
      </c>
      <c r="AO161" s="462"/>
      <c r="AP161" s="462"/>
      <c r="AQ161" s="441"/>
    </row>
    <row r="162" spans="2:43" x14ac:dyDescent="0.15">
      <c r="B162" s="354" t="str">
        <f t="shared" ref="B162:B193" si="74">+IF(B161&lt;$C$11/$C$17,B161+1,IF(B161="","",""))</f>
        <v/>
      </c>
      <c r="C162" s="239" t="str">
        <f t="shared" si="69"/>
        <v/>
      </c>
      <c r="D162" s="239" t="str">
        <f t="shared" si="65"/>
        <v/>
      </c>
      <c r="E162" s="248" t="str">
        <f t="shared" si="54"/>
        <v/>
      </c>
      <c r="F162" s="1045" t="str">
        <f t="shared" si="55"/>
        <v/>
      </c>
      <c r="G162" s="184" t="str">
        <f t="shared" si="56"/>
        <v/>
      </c>
      <c r="H162" s="941" t="e">
        <f t="shared" si="70"/>
        <v>#VALUE!</v>
      </c>
      <c r="I162" s="353" t="e">
        <f t="shared" si="71"/>
        <v>#VALUE!</v>
      </c>
      <c r="J162" s="239"/>
      <c r="K162" s="477" t="str">
        <f t="shared" si="59"/>
        <v/>
      </c>
      <c r="L162" s="246" t="str">
        <f t="shared" si="66"/>
        <v/>
      </c>
      <c r="M162" s="246" t="str">
        <f t="shared" si="67"/>
        <v/>
      </c>
      <c r="N162" s="246" t="str">
        <f t="shared" si="68"/>
        <v/>
      </c>
      <c r="O162" s="69"/>
      <c r="P162" s="69"/>
      <c r="Q162" s="69"/>
      <c r="R162" s="470"/>
      <c r="S162" s="69"/>
      <c r="T162" s="69"/>
      <c r="U162" s="69"/>
      <c r="V162" s="69"/>
      <c r="W162" s="69"/>
      <c r="X162" s="69"/>
      <c r="Y162" s="69"/>
      <c r="Z162" s="69"/>
      <c r="AA162" s="69"/>
      <c r="AB162" s="69"/>
      <c r="AC162" s="69"/>
      <c r="AD162" s="69"/>
      <c r="AE162" s="69"/>
      <c r="AF162" s="69"/>
      <c r="AG162" s="69"/>
      <c r="AH162" s="69"/>
      <c r="AI162" s="69"/>
      <c r="AJ162" s="69"/>
      <c r="AK162" s="193" t="e">
        <f t="shared" si="73"/>
        <v>#VALUE!</v>
      </c>
      <c r="AL162" s="461" t="e">
        <f t="shared" si="61"/>
        <v>#VALUE!</v>
      </c>
      <c r="AM162" s="461" t="e">
        <f t="shared" si="44"/>
        <v>#VALUE!</v>
      </c>
      <c r="AN162" s="194" t="e">
        <f t="shared" si="45"/>
        <v>#VALUE!</v>
      </c>
      <c r="AO162" s="462"/>
      <c r="AP162" s="462"/>
      <c r="AQ162" s="441"/>
    </row>
    <row r="163" spans="2:43" x14ac:dyDescent="0.15">
      <c r="B163" s="354" t="str">
        <f t="shared" si="74"/>
        <v/>
      </c>
      <c r="C163" s="239" t="str">
        <f t="shared" si="69"/>
        <v/>
      </c>
      <c r="D163" s="239" t="str">
        <f t="shared" si="65"/>
        <v/>
      </c>
      <c r="E163" s="248" t="str">
        <f t="shared" si="54"/>
        <v/>
      </c>
      <c r="F163" s="1045" t="str">
        <f t="shared" si="55"/>
        <v/>
      </c>
      <c r="G163" s="184" t="str">
        <f t="shared" si="56"/>
        <v/>
      </c>
      <c r="H163" s="941" t="e">
        <f t="shared" si="70"/>
        <v>#VALUE!</v>
      </c>
      <c r="I163" s="353" t="e">
        <f t="shared" si="71"/>
        <v>#VALUE!</v>
      </c>
      <c r="J163" s="239"/>
      <c r="K163" s="477" t="str">
        <f t="shared" si="59"/>
        <v/>
      </c>
      <c r="L163" s="246" t="str">
        <f t="shared" si="66"/>
        <v/>
      </c>
      <c r="M163" s="246" t="str">
        <f t="shared" si="67"/>
        <v/>
      </c>
      <c r="N163" s="246" t="str">
        <f t="shared" si="68"/>
        <v/>
      </c>
      <c r="O163" s="69"/>
      <c r="P163" s="69"/>
      <c r="Q163" s="69"/>
      <c r="R163" s="470"/>
      <c r="S163" s="69"/>
      <c r="T163" s="69"/>
      <c r="U163" s="69"/>
      <c r="V163" s="69"/>
      <c r="W163" s="69"/>
      <c r="X163" s="69"/>
      <c r="Y163" s="69"/>
      <c r="Z163" s="69"/>
      <c r="AA163" s="69"/>
      <c r="AB163" s="69"/>
      <c r="AC163" s="69"/>
      <c r="AD163" s="69"/>
      <c r="AE163" s="69"/>
      <c r="AF163" s="69"/>
      <c r="AG163" s="69"/>
      <c r="AH163" s="69"/>
      <c r="AI163" s="69"/>
      <c r="AJ163" s="69"/>
      <c r="AK163" s="193" t="e">
        <f t="shared" si="73"/>
        <v>#VALUE!</v>
      </c>
      <c r="AL163" s="461" t="e">
        <f t="shared" si="61"/>
        <v>#VALUE!</v>
      </c>
      <c r="AM163" s="461" t="e">
        <f t="shared" si="44"/>
        <v>#VALUE!</v>
      </c>
      <c r="AN163" s="194" t="e">
        <f t="shared" si="45"/>
        <v>#VALUE!</v>
      </c>
      <c r="AO163" s="462"/>
      <c r="AP163" s="462"/>
      <c r="AQ163" s="441"/>
    </row>
    <row r="164" spans="2:43" x14ac:dyDescent="0.15">
      <c r="B164" s="354" t="str">
        <f t="shared" si="74"/>
        <v/>
      </c>
      <c r="C164" s="239" t="str">
        <f t="shared" si="69"/>
        <v/>
      </c>
      <c r="D164" s="239" t="str">
        <f t="shared" si="65"/>
        <v/>
      </c>
      <c r="E164" s="248" t="str">
        <f t="shared" si="54"/>
        <v/>
      </c>
      <c r="F164" s="1045" t="str">
        <f t="shared" si="55"/>
        <v/>
      </c>
      <c r="G164" s="184" t="str">
        <f t="shared" si="56"/>
        <v/>
      </c>
      <c r="H164" s="941" t="e">
        <f t="shared" si="70"/>
        <v>#VALUE!</v>
      </c>
      <c r="I164" s="353" t="e">
        <f t="shared" si="71"/>
        <v>#VALUE!</v>
      </c>
      <c r="J164" s="239"/>
      <c r="K164" s="477" t="str">
        <f t="shared" si="59"/>
        <v/>
      </c>
      <c r="L164" s="246" t="str">
        <f t="shared" si="66"/>
        <v/>
      </c>
      <c r="M164" s="246" t="str">
        <f t="shared" si="67"/>
        <v/>
      </c>
      <c r="N164" s="246" t="str">
        <f t="shared" si="68"/>
        <v/>
      </c>
      <c r="O164" s="69"/>
      <c r="P164" s="69"/>
      <c r="Q164" s="69"/>
      <c r="R164" s="470"/>
      <c r="S164" s="69"/>
      <c r="T164" s="69"/>
      <c r="U164" s="69"/>
      <c r="V164" s="69"/>
      <c r="W164" s="69"/>
      <c r="X164" s="69"/>
      <c r="Y164" s="69"/>
      <c r="Z164" s="69"/>
      <c r="AA164" s="69"/>
      <c r="AB164" s="69"/>
      <c r="AC164" s="69"/>
      <c r="AD164" s="69"/>
      <c r="AE164" s="69"/>
      <c r="AF164" s="69"/>
      <c r="AG164" s="69"/>
      <c r="AH164" s="69"/>
      <c r="AI164" s="69"/>
      <c r="AJ164" s="69"/>
      <c r="AK164" s="193" t="e">
        <f t="shared" si="73"/>
        <v>#VALUE!</v>
      </c>
      <c r="AL164" s="461" t="e">
        <f t="shared" si="61"/>
        <v>#VALUE!</v>
      </c>
      <c r="AM164" s="461" t="e">
        <f t="shared" si="44"/>
        <v>#VALUE!</v>
      </c>
      <c r="AN164" s="194" t="e">
        <f t="shared" si="45"/>
        <v>#VALUE!</v>
      </c>
      <c r="AO164" s="462"/>
      <c r="AP164" s="462"/>
      <c r="AQ164" s="441"/>
    </row>
    <row r="165" spans="2:43" x14ac:dyDescent="0.15">
      <c r="B165" s="354" t="str">
        <f t="shared" si="74"/>
        <v/>
      </c>
      <c r="C165" s="239" t="str">
        <f t="shared" si="69"/>
        <v/>
      </c>
      <c r="D165" s="239" t="str">
        <f t="shared" ref="D165:D196" si="75">IF(B165="","",VLOOKUP(B165,AM:AN,2,FALSE))</f>
        <v/>
      </c>
      <c r="E165" s="248" t="str">
        <f t="shared" si="54"/>
        <v/>
      </c>
      <c r="F165" s="1045" t="str">
        <f t="shared" si="55"/>
        <v/>
      </c>
      <c r="G165" s="184" t="str">
        <f t="shared" si="56"/>
        <v/>
      </c>
      <c r="H165" s="941" t="e">
        <f t="shared" si="70"/>
        <v>#VALUE!</v>
      </c>
      <c r="I165" s="353" t="e">
        <f t="shared" si="71"/>
        <v>#VALUE!</v>
      </c>
      <c r="J165" s="239"/>
      <c r="K165" s="477" t="str">
        <f t="shared" si="59"/>
        <v/>
      </c>
      <c r="L165" s="246" t="str">
        <f t="shared" ref="L165:L196" si="76">+IF(K165&lt;&gt;"",$L$30/$L$28,"")</f>
        <v/>
      </c>
      <c r="M165" s="246" t="str">
        <f t="shared" ref="M165:M196" si="77">IF(K165=$M$28,$E$33,IF(K165&lt;&gt;"",($M$30-$M$36)/($M$28-1),""))</f>
        <v/>
      </c>
      <c r="N165" s="246" t="str">
        <f t="shared" ref="N165:N196" si="78">+IF(K165&lt;&gt;"",($N$30-$N$36)/$N$28,"")</f>
        <v/>
      </c>
      <c r="O165" s="69"/>
      <c r="P165" s="69"/>
      <c r="Q165" s="69"/>
      <c r="R165" s="470"/>
      <c r="S165" s="69"/>
      <c r="T165" s="69"/>
      <c r="U165" s="69"/>
      <c r="V165" s="69"/>
      <c r="W165" s="69"/>
      <c r="X165" s="69"/>
      <c r="Y165" s="69"/>
      <c r="Z165" s="69"/>
      <c r="AA165" s="69"/>
      <c r="AB165" s="69"/>
      <c r="AC165" s="69"/>
      <c r="AD165" s="69"/>
      <c r="AE165" s="69"/>
      <c r="AF165" s="69"/>
      <c r="AG165" s="69"/>
      <c r="AH165" s="69"/>
      <c r="AI165" s="69"/>
      <c r="AJ165" s="69"/>
      <c r="AK165" s="193" t="e">
        <f>+AD10</f>
        <v>#VALUE!</v>
      </c>
      <c r="AL165" s="461" t="e">
        <f t="shared" si="61"/>
        <v>#VALUE!</v>
      </c>
      <c r="AM165" s="461" t="e">
        <f t="shared" si="44"/>
        <v>#VALUE!</v>
      </c>
      <c r="AN165" s="194" t="e">
        <f t="shared" si="45"/>
        <v>#VALUE!</v>
      </c>
      <c r="AO165" s="462"/>
      <c r="AP165" s="462"/>
      <c r="AQ165" s="441"/>
    </row>
    <row r="166" spans="2:43" x14ac:dyDescent="0.15">
      <c r="B166" s="354" t="str">
        <f t="shared" si="74"/>
        <v/>
      </c>
      <c r="C166" s="239" t="str">
        <f t="shared" ref="C166:C197" si="79">+IF(B166="","",EDATE(C$35,$C$17*B165))</f>
        <v/>
      </c>
      <c r="D166" s="239" t="str">
        <f t="shared" si="75"/>
        <v/>
      </c>
      <c r="E166" s="248" t="str">
        <f t="shared" ref="E166:E216" si="80">+IF(F166="","",F166)</f>
        <v/>
      </c>
      <c r="F166" s="1045" t="str">
        <f t="shared" ref="F166:F216" si="81">+IF(G166="","",ROUND(G166,0))</f>
        <v/>
      </c>
      <c r="G166" s="184" t="str">
        <f t="shared" ref="G166:G216" si="82">IF($L$25=3,L166,IF($L$25=1,M166,IF($L$25=2,N166,"")))</f>
        <v/>
      </c>
      <c r="H166" s="941" t="e">
        <f t="shared" ref="H166:H197" si="83">+IF(H165&lt;$C$11/$C$18,H165+1,IF(H165="","",""))</f>
        <v>#VALUE!</v>
      </c>
      <c r="I166" s="353" t="e">
        <f t="shared" ref="I166:I197" si="84">+IF(H166="","",EDATE(I$35,$C$18*H165))</f>
        <v>#VALUE!</v>
      </c>
      <c r="J166" s="239"/>
      <c r="K166" s="477" t="str">
        <f t="shared" ref="K166:K216" si="85">+B166</f>
        <v/>
      </c>
      <c r="L166" s="246" t="str">
        <f t="shared" si="76"/>
        <v/>
      </c>
      <c r="M166" s="246" t="str">
        <f t="shared" si="77"/>
        <v/>
      </c>
      <c r="N166" s="246" t="str">
        <f t="shared" si="78"/>
        <v/>
      </c>
      <c r="O166" s="69"/>
      <c r="P166" s="69"/>
      <c r="Q166" s="69"/>
      <c r="R166" s="470"/>
      <c r="S166" s="69"/>
      <c r="T166" s="69"/>
      <c r="U166" s="69"/>
      <c r="V166" s="69"/>
      <c r="W166" s="69"/>
      <c r="X166" s="69"/>
      <c r="Y166" s="69"/>
      <c r="Z166" s="69"/>
      <c r="AA166" s="69"/>
      <c r="AB166" s="69"/>
      <c r="AC166" s="69"/>
      <c r="AD166" s="69"/>
      <c r="AE166" s="69"/>
      <c r="AF166" s="69"/>
      <c r="AG166" s="69"/>
      <c r="AH166" s="69"/>
      <c r="AI166" s="69"/>
      <c r="AJ166" s="69"/>
      <c r="AK166" s="193" t="e">
        <f>+AD11</f>
        <v>#VALUE!</v>
      </c>
      <c r="AL166" s="461" t="e">
        <f t="shared" si="61"/>
        <v>#VALUE!</v>
      </c>
      <c r="AM166" s="461" t="e">
        <f t="shared" si="44"/>
        <v>#VALUE!</v>
      </c>
      <c r="AN166" s="194" t="e">
        <f t="shared" si="45"/>
        <v>#VALUE!</v>
      </c>
      <c r="AO166" s="462"/>
      <c r="AP166" s="462"/>
      <c r="AQ166" s="441"/>
    </row>
    <row r="167" spans="2:43" x14ac:dyDescent="0.15">
      <c r="B167" s="354" t="str">
        <f t="shared" si="74"/>
        <v/>
      </c>
      <c r="C167" s="239" t="str">
        <f t="shared" si="79"/>
        <v/>
      </c>
      <c r="D167" s="239" t="str">
        <f t="shared" si="75"/>
        <v/>
      </c>
      <c r="E167" s="248" t="str">
        <f t="shared" si="80"/>
        <v/>
      </c>
      <c r="F167" s="1045" t="str">
        <f t="shared" si="81"/>
        <v/>
      </c>
      <c r="G167" s="184" t="str">
        <f t="shared" si="82"/>
        <v/>
      </c>
      <c r="H167" s="941" t="e">
        <f t="shared" si="83"/>
        <v>#VALUE!</v>
      </c>
      <c r="I167" s="353" t="e">
        <f t="shared" si="84"/>
        <v>#VALUE!</v>
      </c>
      <c r="J167" s="239"/>
      <c r="K167" s="477" t="str">
        <f t="shared" si="85"/>
        <v/>
      </c>
      <c r="L167" s="246" t="str">
        <f t="shared" si="76"/>
        <v/>
      </c>
      <c r="M167" s="246" t="str">
        <f t="shared" si="77"/>
        <v/>
      </c>
      <c r="N167" s="246" t="str">
        <f t="shared" si="78"/>
        <v/>
      </c>
      <c r="O167" s="69"/>
      <c r="P167" s="69"/>
      <c r="Q167" s="69"/>
      <c r="R167" s="470"/>
      <c r="S167" s="69"/>
      <c r="T167" s="69"/>
      <c r="U167" s="69"/>
      <c r="V167" s="69"/>
      <c r="W167" s="69"/>
      <c r="X167" s="69"/>
      <c r="Y167" s="69"/>
      <c r="Z167" s="69"/>
      <c r="AA167" s="69"/>
      <c r="AB167" s="69"/>
      <c r="AC167" s="69"/>
      <c r="AD167" s="69"/>
      <c r="AE167" s="69"/>
      <c r="AF167" s="69"/>
      <c r="AG167" s="69"/>
      <c r="AH167" s="69"/>
      <c r="AI167" s="69"/>
      <c r="AJ167" s="69"/>
      <c r="AK167" s="193" t="e">
        <f t="shared" ref="AK167:AK176" si="86">+AD13</f>
        <v>#VALUE!</v>
      </c>
      <c r="AL167" s="461" t="e">
        <f t="shared" si="61"/>
        <v>#VALUE!</v>
      </c>
      <c r="AM167" s="461" t="e">
        <f t="shared" si="44"/>
        <v>#VALUE!</v>
      </c>
      <c r="AN167" s="194" t="e">
        <f t="shared" si="45"/>
        <v>#VALUE!</v>
      </c>
      <c r="AO167" s="462"/>
      <c r="AP167" s="462"/>
      <c r="AQ167" s="441"/>
    </row>
    <row r="168" spans="2:43" x14ac:dyDescent="0.15">
      <c r="B168" s="354" t="str">
        <f t="shared" si="74"/>
        <v/>
      </c>
      <c r="C168" s="239" t="str">
        <f t="shared" si="79"/>
        <v/>
      </c>
      <c r="D168" s="239" t="str">
        <f t="shared" si="75"/>
        <v/>
      </c>
      <c r="E168" s="248" t="str">
        <f t="shared" si="80"/>
        <v/>
      </c>
      <c r="F168" s="1045" t="str">
        <f t="shared" si="81"/>
        <v/>
      </c>
      <c r="G168" s="184" t="str">
        <f t="shared" si="82"/>
        <v/>
      </c>
      <c r="H168" s="941" t="e">
        <f t="shared" si="83"/>
        <v>#VALUE!</v>
      </c>
      <c r="I168" s="353" t="e">
        <f t="shared" si="84"/>
        <v>#VALUE!</v>
      </c>
      <c r="J168" s="239"/>
      <c r="K168" s="477" t="str">
        <f t="shared" si="85"/>
        <v/>
      </c>
      <c r="L168" s="246" t="str">
        <f t="shared" si="76"/>
        <v/>
      </c>
      <c r="M168" s="246" t="str">
        <f t="shared" si="77"/>
        <v/>
      </c>
      <c r="N168" s="246" t="str">
        <f t="shared" si="78"/>
        <v/>
      </c>
      <c r="O168" s="69"/>
      <c r="P168" s="69"/>
      <c r="Q168" s="69"/>
      <c r="R168" s="470"/>
      <c r="S168" s="69"/>
      <c r="T168" s="69"/>
      <c r="U168" s="69"/>
      <c r="V168" s="69"/>
      <c r="W168" s="69"/>
      <c r="X168" s="69"/>
      <c r="Y168" s="69"/>
      <c r="Z168" s="69"/>
      <c r="AA168" s="69"/>
      <c r="AB168" s="69"/>
      <c r="AC168" s="69"/>
      <c r="AD168" s="69"/>
      <c r="AE168" s="69"/>
      <c r="AF168" s="69"/>
      <c r="AG168" s="69"/>
      <c r="AH168" s="69"/>
      <c r="AI168" s="69"/>
      <c r="AJ168" s="69"/>
      <c r="AK168" s="193" t="e">
        <f t="shared" si="86"/>
        <v>#VALUE!</v>
      </c>
      <c r="AL168" s="461" t="e">
        <f t="shared" si="61"/>
        <v>#VALUE!</v>
      </c>
      <c r="AM168" s="461" t="e">
        <f t="shared" si="44"/>
        <v>#VALUE!</v>
      </c>
      <c r="AN168" s="194" t="e">
        <f t="shared" si="45"/>
        <v>#VALUE!</v>
      </c>
      <c r="AO168" s="462"/>
      <c r="AP168" s="462"/>
      <c r="AQ168" s="441"/>
    </row>
    <row r="169" spans="2:43" x14ac:dyDescent="0.15">
      <c r="B169" s="354" t="str">
        <f t="shared" si="74"/>
        <v/>
      </c>
      <c r="C169" s="239" t="str">
        <f t="shared" si="79"/>
        <v/>
      </c>
      <c r="D169" s="239" t="str">
        <f t="shared" si="75"/>
        <v/>
      </c>
      <c r="E169" s="248" t="str">
        <f t="shared" si="80"/>
        <v/>
      </c>
      <c r="F169" s="1045" t="str">
        <f t="shared" si="81"/>
        <v/>
      </c>
      <c r="G169" s="184" t="str">
        <f t="shared" si="82"/>
        <v/>
      </c>
      <c r="H169" s="941" t="e">
        <f t="shared" si="83"/>
        <v>#VALUE!</v>
      </c>
      <c r="I169" s="353" t="e">
        <f t="shared" si="84"/>
        <v>#VALUE!</v>
      </c>
      <c r="J169" s="239"/>
      <c r="K169" s="477" t="str">
        <f t="shared" si="85"/>
        <v/>
      </c>
      <c r="L169" s="246" t="str">
        <f t="shared" si="76"/>
        <v/>
      </c>
      <c r="M169" s="246" t="str">
        <f t="shared" si="77"/>
        <v/>
      </c>
      <c r="N169" s="246" t="str">
        <f t="shared" si="78"/>
        <v/>
      </c>
      <c r="O169" s="69"/>
      <c r="P169" s="69"/>
      <c r="Q169" s="69"/>
      <c r="R169" s="470"/>
      <c r="S169" s="69"/>
      <c r="T169" s="69"/>
      <c r="U169" s="69"/>
      <c r="V169" s="69"/>
      <c r="W169" s="69"/>
      <c r="X169" s="69"/>
      <c r="Y169" s="69"/>
      <c r="Z169" s="69"/>
      <c r="AA169" s="69"/>
      <c r="AB169" s="69"/>
      <c r="AC169" s="69"/>
      <c r="AD169" s="69"/>
      <c r="AE169" s="69"/>
      <c r="AF169" s="69"/>
      <c r="AG169" s="69"/>
      <c r="AH169" s="69"/>
      <c r="AI169" s="69"/>
      <c r="AJ169" s="69"/>
      <c r="AK169" s="193" t="e">
        <f t="shared" si="86"/>
        <v>#VALUE!</v>
      </c>
      <c r="AL169" s="461" t="e">
        <f t="shared" si="61"/>
        <v>#VALUE!</v>
      </c>
      <c r="AM169" s="461" t="e">
        <f t="shared" si="44"/>
        <v>#VALUE!</v>
      </c>
      <c r="AN169" s="194" t="e">
        <f t="shared" si="45"/>
        <v>#VALUE!</v>
      </c>
      <c r="AO169" s="462"/>
      <c r="AP169" s="462"/>
      <c r="AQ169" s="441"/>
    </row>
    <row r="170" spans="2:43" x14ac:dyDescent="0.15">
      <c r="B170" s="354" t="str">
        <f t="shared" si="74"/>
        <v/>
      </c>
      <c r="C170" s="239" t="str">
        <f t="shared" si="79"/>
        <v/>
      </c>
      <c r="D170" s="239" t="str">
        <f t="shared" si="75"/>
        <v/>
      </c>
      <c r="E170" s="248" t="str">
        <f t="shared" si="80"/>
        <v/>
      </c>
      <c r="F170" s="1045" t="str">
        <f t="shared" si="81"/>
        <v/>
      </c>
      <c r="G170" s="184" t="str">
        <f t="shared" si="82"/>
        <v/>
      </c>
      <c r="H170" s="941" t="e">
        <f t="shared" si="83"/>
        <v>#VALUE!</v>
      </c>
      <c r="I170" s="353" t="e">
        <f t="shared" si="84"/>
        <v>#VALUE!</v>
      </c>
      <c r="J170" s="239"/>
      <c r="K170" s="477" t="str">
        <f t="shared" si="85"/>
        <v/>
      </c>
      <c r="L170" s="246" t="str">
        <f t="shared" si="76"/>
        <v/>
      </c>
      <c r="M170" s="246" t="str">
        <f t="shared" si="77"/>
        <v/>
      </c>
      <c r="N170" s="246" t="str">
        <f t="shared" si="78"/>
        <v/>
      </c>
      <c r="O170" s="69"/>
      <c r="P170" s="69"/>
      <c r="Q170" s="69"/>
      <c r="R170" s="470"/>
      <c r="S170" s="69"/>
      <c r="T170" s="69"/>
      <c r="U170" s="69"/>
      <c r="V170" s="69"/>
      <c r="W170" s="69"/>
      <c r="X170" s="69"/>
      <c r="Y170" s="69"/>
      <c r="Z170" s="69"/>
      <c r="AA170" s="69"/>
      <c r="AB170" s="69"/>
      <c r="AC170" s="69"/>
      <c r="AD170" s="69"/>
      <c r="AE170" s="69"/>
      <c r="AF170" s="69"/>
      <c r="AG170" s="69"/>
      <c r="AH170" s="69"/>
      <c r="AI170" s="69"/>
      <c r="AJ170" s="69"/>
      <c r="AK170" s="193" t="e">
        <f t="shared" si="86"/>
        <v>#VALUE!</v>
      </c>
      <c r="AL170" s="461" t="e">
        <f t="shared" si="61"/>
        <v>#VALUE!</v>
      </c>
      <c r="AM170" s="461" t="e">
        <f t="shared" si="44"/>
        <v>#VALUE!</v>
      </c>
      <c r="AN170" s="194" t="e">
        <f t="shared" si="45"/>
        <v>#VALUE!</v>
      </c>
      <c r="AO170" s="462"/>
      <c r="AP170" s="462"/>
      <c r="AQ170" s="441"/>
    </row>
    <row r="171" spans="2:43" x14ac:dyDescent="0.15">
      <c r="B171" s="354" t="str">
        <f t="shared" si="74"/>
        <v/>
      </c>
      <c r="C171" s="239" t="str">
        <f t="shared" si="79"/>
        <v/>
      </c>
      <c r="D171" s="239" t="str">
        <f t="shared" si="75"/>
        <v/>
      </c>
      <c r="E171" s="248" t="str">
        <f t="shared" si="80"/>
        <v/>
      </c>
      <c r="F171" s="1045" t="str">
        <f t="shared" si="81"/>
        <v/>
      </c>
      <c r="G171" s="184" t="str">
        <f t="shared" si="82"/>
        <v/>
      </c>
      <c r="H171" s="941" t="e">
        <f t="shared" si="83"/>
        <v>#VALUE!</v>
      </c>
      <c r="I171" s="353" t="e">
        <f t="shared" si="84"/>
        <v>#VALUE!</v>
      </c>
      <c r="J171" s="239"/>
      <c r="K171" s="477" t="str">
        <f t="shared" si="85"/>
        <v/>
      </c>
      <c r="L171" s="246" t="str">
        <f t="shared" si="76"/>
        <v/>
      </c>
      <c r="M171" s="246" t="str">
        <f t="shared" si="77"/>
        <v/>
      </c>
      <c r="N171" s="246" t="str">
        <f t="shared" si="78"/>
        <v/>
      </c>
      <c r="O171" s="69"/>
      <c r="P171" s="69"/>
      <c r="Q171" s="69"/>
      <c r="R171" s="470"/>
      <c r="S171" s="69"/>
      <c r="T171" s="69"/>
      <c r="U171" s="69"/>
      <c r="V171" s="69"/>
      <c r="W171" s="69"/>
      <c r="X171" s="69"/>
      <c r="Y171" s="69"/>
      <c r="Z171" s="69"/>
      <c r="AA171" s="69"/>
      <c r="AB171" s="69"/>
      <c r="AC171" s="69"/>
      <c r="AD171" s="69"/>
      <c r="AE171" s="69"/>
      <c r="AF171" s="69"/>
      <c r="AG171" s="69"/>
      <c r="AH171" s="69"/>
      <c r="AI171" s="69"/>
      <c r="AJ171" s="69"/>
      <c r="AK171" s="193" t="e">
        <f t="shared" si="86"/>
        <v>#VALUE!</v>
      </c>
      <c r="AL171" s="461" t="e">
        <f t="shared" si="61"/>
        <v>#VALUE!</v>
      </c>
      <c r="AM171" s="461" t="e">
        <f t="shared" si="44"/>
        <v>#VALUE!</v>
      </c>
      <c r="AN171" s="194" t="e">
        <f t="shared" si="45"/>
        <v>#VALUE!</v>
      </c>
      <c r="AO171" s="462"/>
      <c r="AP171" s="462"/>
      <c r="AQ171" s="441"/>
    </row>
    <row r="172" spans="2:43" x14ac:dyDescent="0.15">
      <c r="B172" s="354" t="str">
        <f t="shared" si="74"/>
        <v/>
      </c>
      <c r="C172" s="239" t="str">
        <f t="shared" si="79"/>
        <v/>
      </c>
      <c r="D172" s="239" t="str">
        <f t="shared" si="75"/>
        <v/>
      </c>
      <c r="E172" s="248" t="str">
        <f t="shared" si="80"/>
        <v/>
      </c>
      <c r="F172" s="1045" t="str">
        <f t="shared" si="81"/>
        <v/>
      </c>
      <c r="G172" s="184" t="str">
        <f t="shared" si="82"/>
        <v/>
      </c>
      <c r="H172" s="941" t="e">
        <f t="shared" si="83"/>
        <v>#VALUE!</v>
      </c>
      <c r="I172" s="353" t="e">
        <f t="shared" si="84"/>
        <v>#VALUE!</v>
      </c>
      <c r="J172" s="239"/>
      <c r="K172" s="477" t="str">
        <f t="shared" si="85"/>
        <v/>
      </c>
      <c r="L172" s="246" t="str">
        <f t="shared" si="76"/>
        <v/>
      </c>
      <c r="M172" s="246" t="str">
        <f t="shared" si="77"/>
        <v/>
      </c>
      <c r="N172" s="246" t="str">
        <f t="shared" si="78"/>
        <v/>
      </c>
      <c r="O172" s="69"/>
      <c r="P172" s="69"/>
      <c r="Q172" s="69"/>
      <c r="R172" s="470"/>
      <c r="S172" s="69"/>
      <c r="T172" s="69"/>
      <c r="U172" s="69"/>
      <c r="V172" s="69"/>
      <c r="W172" s="69"/>
      <c r="X172" s="69"/>
      <c r="Y172" s="69"/>
      <c r="Z172" s="69"/>
      <c r="AA172" s="69"/>
      <c r="AB172" s="69"/>
      <c r="AC172" s="69"/>
      <c r="AD172" s="69"/>
      <c r="AE172" s="69"/>
      <c r="AF172" s="69"/>
      <c r="AG172" s="69"/>
      <c r="AH172" s="69"/>
      <c r="AI172" s="69"/>
      <c r="AJ172" s="69"/>
      <c r="AK172" s="193" t="e">
        <f t="shared" si="86"/>
        <v>#VALUE!</v>
      </c>
      <c r="AL172" s="461" t="e">
        <f t="shared" si="61"/>
        <v>#VALUE!</v>
      </c>
      <c r="AM172" s="461" t="e">
        <f t="shared" si="44"/>
        <v>#VALUE!</v>
      </c>
      <c r="AN172" s="194" t="e">
        <f t="shared" si="45"/>
        <v>#VALUE!</v>
      </c>
      <c r="AO172" s="462"/>
      <c r="AP172" s="462"/>
      <c r="AQ172" s="441"/>
    </row>
    <row r="173" spans="2:43" x14ac:dyDescent="0.15">
      <c r="B173" s="354" t="str">
        <f t="shared" si="74"/>
        <v/>
      </c>
      <c r="C173" s="239" t="str">
        <f t="shared" si="79"/>
        <v/>
      </c>
      <c r="D173" s="239" t="str">
        <f t="shared" si="75"/>
        <v/>
      </c>
      <c r="E173" s="248" t="str">
        <f t="shared" si="80"/>
        <v/>
      </c>
      <c r="F173" s="1045" t="str">
        <f t="shared" si="81"/>
        <v/>
      </c>
      <c r="G173" s="184" t="str">
        <f t="shared" si="82"/>
        <v/>
      </c>
      <c r="H173" s="941" t="e">
        <f t="shared" si="83"/>
        <v>#VALUE!</v>
      </c>
      <c r="I173" s="353" t="e">
        <f t="shared" si="84"/>
        <v>#VALUE!</v>
      </c>
      <c r="J173" s="239"/>
      <c r="K173" s="477" t="str">
        <f t="shared" si="85"/>
        <v/>
      </c>
      <c r="L173" s="246" t="str">
        <f t="shared" si="76"/>
        <v/>
      </c>
      <c r="M173" s="246" t="str">
        <f t="shared" si="77"/>
        <v/>
      </c>
      <c r="N173" s="246" t="str">
        <f t="shared" si="78"/>
        <v/>
      </c>
      <c r="O173" s="69"/>
      <c r="P173" s="69"/>
      <c r="Q173" s="69"/>
      <c r="R173" s="470"/>
      <c r="S173" s="69"/>
      <c r="T173" s="69"/>
      <c r="U173" s="69"/>
      <c r="V173" s="69"/>
      <c r="W173" s="69"/>
      <c r="X173" s="69"/>
      <c r="Y173" s="69"/>
      <c r="Z173" s="69"/>
      <c r="AA173" s="69"/>
      <c r="AB173" s="69"/>
      <c r="AC173" s="69"/>
      <c r="AD173" s="69"/>
      <c r="AE173" s="69"/>
      <c r="AF173" s="69"/>
      <c r="AG173" s="69"/>
      <c r="AH173" s="69"/>
      <c r="AI173" s="69"/>
      <c r="AJ173" s="69"/>
      <c r="AK173" s="193" t="e">
        <f t="shared" si="86"/>
        <v>#VALUE!</v>
      </c>
      <c r="AL173" s="461" t="e">
        <f t="shared" si="61"/>
        <v>#VALUE!</v>
      </c>
      <c r="AM173" s="461" t="e">
        <f t="shared" si="44"/>
        <v>#VALUE!</v>
      </c>
      <c r="AN173" s="194" t="e">
        <f t="shared" si="45"/>
        <v>#VALUE!</v>
      </c>
      <c r="AO173" s="462"/>
      <c r="AP173" s="462"/>
      <c r="AQ173" s="441"/>
    </row>
    <row r="174" spans="2:43" x14ac:dyDescent="0.15">
      <c r="B174" s="354" t="str">
        <f t="shared" si="74"/>
        <v/>
      </c>
      <c r="C174" s="239" t="str">
        <f t="shared" si="79"/>
        <v/>
      </c>
      <c r="D174" s="239" t="str">
        <f t="shared" si="75"/>
        <v/>
      </c>
      <c r="E174" s="248" t="str">
        <f t="shared" si="80"/>
        <v/>
      </c>
      <c r="F174" s="1045" t="str">
        <f t="shared" si="81"/>
        <v/>
      </c>
      <c r="G174" s="184" t="str">
        <f t="shared" si="82"/>
        <v/>
      </c>
      <c r="H174" s="941" t="e">
        <f t="shared" si="83"/>
        <v>#VALUE!</v>
      </c>
      <c r="I174" s="353" t="e">
        <f t="shared" si="84"/>
        <v>#VALUE!</v>
      </c>
      <c r="J174" s="239"/>
      <c r="K174" s="477" t="str">
        <f t="shared" si="85"/>
        <v/>
      </c>
      <c r="L174" s="246" t="str">
        <f t="shared" si="76"/>
        <v/>
      </c>
      <c r="M174" s="246" t="str">
        <f t="shared" si="77"/>
        <v/>
      </c>
      <c r="N174" s="246" t="str">
        <f t="shared" si="78"/>
        <v/>
      </c>
      <c r="O174" s="69"/>
      <c r="P174" s="69"/>
      <c r="Q174" s="69"/>
      <c r="R174" s="470"/>
      <c r="S174" s="69"/>
      <c r="T174" s="69"/>
      <c r="U174" s="69"/>
      <c r="V174" s="69"/>
      <c r="W174" s="69"/>
      <c r="X174" s="69"/>
      <c r="Y174" s="69"/>
      <c r="Z174" s="69"/>
      <c r="AA174" s="69"/>
      <c r="AB174" s="69"/>
      <c r="AC174" s="69"/>
      <c r="AD174" s="69"/>
      <c r="AE174" s="69"/>
      <c r="AF174" s="69"/>
      <c r="AG174" s="69"/>
      <c r="AH174" s="69"/>
      <c r="AI174" s="69"/>
      <c r="AJ174" s="69"/>
      <c r="AK174" s="193" t="e">
        <f t="shared" si="86"/>
        <v>#VALUE!</v>
      </c>
      <c r="AL174" s="461" t="e">
        <f t="shared" si="61"/>
        <v>#VALUE!</v>
      </c>
      <c r="AM174" s="461" t="e">
        <f t="shared" si="44"/>
        <v>#VALUE!</v>
      </c>
      <c r="AN174" s="194" t="e">
        <f t="shared" si="45"/>
        <v>#VALUE!</v>
      </c>
      <c r="AO174" s="462"/>
      <c r="AP174" s="462"/>
      <c r="AQ174" s="441"/>
    </row>
    <row r="175" spans="2:43" x14ac:dyDescent="0.15">
      <c r="B175" s="354" t="str">
        <f t="shared" si="74"/>
        <v/>
      </c>
      <c r="C175" s="239" t="str">
        <f t="shared" si="79"/>
        <v/>
      </c>
      <c r="D175" s="239" t="str">
        <f t="shared" si="75"/>
        <v/>
      </c>
      <c r="E175" s="248" t="str">
        <f t="shared" si="80"/>
        <v/>
      </c>
      <c r="F175" s="1045" t="str">
        <f t="shared" si="81"/>
        <v/>
      </c>
      <c r="G175" s="184" t="str">
        <f t="shared" si="82"/>
        <v/>
      </c>
      <c r="H175" s="941" t="e">
        <f t="shared" si="83"/>
        <v>#VALUE!</v>
      </c>
      <c r="I175" s="353" t="e">
        <f t="shared" si="84"/>
        <v>#VALUE!</v>
      </c>
      <c r="J175" s="239"/>
      <c r="K175" s="477" t="str">
        <f t="shared" si="85"/>
        <v/>
      </c>
      <c r="L175" s="246" t="str">
        <f t="shared" si="76"/>
        <v/>
      </c>
      <c r="M175" s="246" t="str">
        <f t="shared" si="77"/>
        <v/>
      </c>
      <c r="N175" s="246" t="str">
        <f t="shared" si="78"/>
        <v/>
      </c>
      <c r="O175" s="69"/>
      <c r="P175" s="69"/>
      <c r="Q175" s="69"/>
      <c r="R175" s="470"/>
      <c r="S175" s="69"/>
      <c r="T175" s="69"/>
      <c r="U175" s="69"/>
      <c r="V175" s="69"/>
      <c r="W175" s="69"/>
      <c r="X175" s="69"/>
      <c r="Y175" s="69"/>
      <c r="Z175" s="69"/>
      <c r="AA175" s="69"/>
      <c r="AB175" s="69"/>
      <c r="AC175" s="69"/>
      <c r="AD175" s="69"/>
      <c r="AE175" s="69"/>
      <c r="AF175" s="69"/>
      <c r="AG175" s="69"/>
      <c r="AH175" s="69"/>
      <c r="AI175" s="69"/>
      <c r="AJ175" s="69"/>
      <c r="AK175" s="193" t="e">
        <f t="shared" si="86"/>
        <v>#VALUE!</v>
      </c>
      <c r="AL175" s="461" t="e">
        <f t="shared" si="61"/>
        <v>#VALUE!</v>
      </c>
      <c r="AM175" s="461" t="e">
        <f t="shared" si="44"/>
        <v>#VALUE!</v>
      </c>
      <c r="AN175" s="194" t="e">
        <f t="shared" si="45"/>
        <v>#VALUE!</v>
      </c>
      <c r="AO175" s="462"/>
      <c r="AP175" s="462"/>
      <c r="AQ175" s="441"/>
    </row>
    <row r="176" spans="2:43" x14ac:dyDescent="0.15">
      <c r="B176" s="354" t="str">
        <f t="shared" si="74"/>
        <v/>
      </c>
      <c r="C176" s="239" t="str">
        <f t="shared" si="79"/>
        <v/>
      </c>
      <c r="D176" s="239" t="str">
        <f t="shared" si="75"/>
        <v/>
      </c>
      <c r="E176" s="248" t="str">
        <f t="shared" si="80"/>
        <v/>
      </c>
      <c r="F176" s="1045" t="str">
        <f t="shared" si="81"/>
        <v/>
      </c>
      <c r="G176" s="184" t="str">
        <f t="shared" si="82"/>
        <v/>
      </c>
      <c r="H176" s="941" t="e">
        <f t="shared" si="83"/>
        <v>#VALUE!</v>
      </c>
      <c r="I176" s="353" t="e">
        <f t="shared" si="84"/>
        <v>#VALUE!</v>
      </c>
      <c r="J176" s="239"/>
      <c r="K176" s="477" t="str">
        <f t="shared" si="85"/>
        <v/>
      </c>
      <c r="L176" s="246" t="str">
        <f t="shared" si="76"/>
        <v/>
      </c>
      <c r="M176" s="246" t="str">
        <f t="shared" si="77"/>
        <v/>
      </c>
      <c r="N176" s="246" t="str">
        <f t="shared" si="78"/>
        <v/>
      </c>
      <c r="O176" s="69"/>
      <c r="P176" s="69"/>
      <c r="Q176" s="69"/>
      <c r="R176" s="470"/>
      <c r="S176" s="69"/>
      <c r="T176" s="69"/>
      <c r="U176" s="69"/>
      <c r="V176" s="69"/>
      <c r="W176" s="69"/>
      <c r="X176" s="69"/>
      <c r="Y176" s="69"/>
      <c r="Z176" s="69"/>
      <c r="AA176" s="69"/>
      <c r="AB176" s="69"/>
      <c r="AC176" s="69"/>
      <c r="AD176" s="69"/>
      <c r="AE176" s="69"/>
      <c r="AF176" s="69"/>
      <c r="AG176" s="69"/>
      <c r="AH176" s="69"/>
      <c r="AI176" s="69"/>
      <c r="AJ176" s="69"/>
      <c r="AK176" s="193" t="e">
        <f t="shared" si="86"/>
        <v>#VALUE!</v>
      </c>
      <c r="AL176" s="461" t="e">
        <f t="shared" si="61"/>
        <v>#VALUE!</v>
      </c>
      <c r="AM176" s="461" t="e">
        <f t="shared" si="44"/>
        <v>#VALUE!</v>
      </c>
      <c r="AN176" s="194" t="e">
        <f t="shared" si="45"/>
        <v>#VALUE!</v>
      </c>
      <c r="AO176" s="462"/>
      <c r="AP176" s="462"/>
      <c r="AQ176" s="441"/>
    </row>
    <row r="177" spans="2:43" x14ac:dyDescent="0.15">
      <c r="B177" s="354" t="str">
        <f t="shared" si="74"/>
        <v/>
      </c>
      <c r="C177" s="239" t="str">
        <f t="shared" si="79"/>
        <v/>
      </c>
      <c r="D177" s="239" t="str">
        <f t="shared" si="75"/>
        <v/>
      </c>
      <c r="E177" s="248" t="str">
        <f t="shared" si="80"/>
        <v/>
      </c>
      <c r="F177" s="1045" t="str">
        <f t="shared" si="81"/>
        <v/>
      </c>
      <c r="G177" s="184" t="str">
        <f t="shared" si="82"/>
        <v/>
      </c>
      <c r="H177" s="941" t="e">
        <f t="shared" si="83"/>
        <v>#VALUE!</v>
      </c>
      <c r="I177" s="353" t="e">
        <f t="shared" si="84"/>
        <v>#VALUE!</v>
      </c>
      <c r="J177" s="239"/>
      <c r="K177" s="477" t="str">
        <f t="shared" si="85"/>
        <v/>
      </c>
      <c r="L177" s="246" t="str">
        <f t="shared" si="76"/>
        <v/>
      </c>
      <c r="M177" s="246" t="str">
        <f t="shared" si="77"/>
        <v/>
      </c>
      <c r="N177" s="246" t="str">
        <f t="shared" si="78"/>
        <v/>
      </c>
      <c r="O177" s="69"/>
      <c r="P177" s="69"/>
      <c r="Q177" s="69"/>
      <c r="R177" s="470"/>
      <c r="S177" s="69"/>
      <c r="T177" s="69"/>
      <c r="U177" s="69"/>
      <c r="V177" s="69"/>
      <c r="W177" s="69"/>
      <c r="X177" s="69"/>
      <c r="Y177" s="69"/>
      <c r="Z177" s="69"/>
      <c r="AA177" s="69"/>
      <c r="AB177" s="69"/>
      <c r="AC177" s="69"/>
      <c r="AD177" s="69"/>
      <c r="AE177" s="69"/>
      <c r="AF177" s="69"/>
      <c r="AG177" s="69"/>
      <c r="AH177" s="69"/>
      <c r="AI177" s="69"/>
      <c r="AJ177" s="69"/>
      <c r="AK177" s="193" t="e">
        <f>+AE10</f>
        <v>#VALUE!</v>
      </c>
      <c r="AL177" s="461" t="e">
        <f t="shared" si="61"/>
        <v>#VALUE!</v>
      </c>
      <c r="AM177" s="461" t="e">
        <f t="shared" si="44"/>
        <v>#VALUE!</v>
      </c>
      <c r="AN177" s="194" t="e">
        <f t="shared" si="45"/>
        <v>#VALUE!</v>
      </c>
      <c r="AO177" s="462"/>
      <c r="AP177" s="462"/>
      <c r="AQ177" s="441"/>
    </row>
    <row r="178" spans="2:43" x14ac:dyDescent="0.15">
      <c r="B178" s="354" t="str">
        <f t="shared" si="74"/>
        <v/>
      </c>
      <c r="C178" s="239" t="str">
        <f t="shared" si="79"/>
        <v/>
      </c>
      <c r="D178" s="239" t="str">
        <f t="shared" si="75"/>
        <v/>
      </c>
      <c r="E178" s="248" t="str">
        <f t="shared" si="80"/>
        <v/>
      </c>
      <c r="F178" s="1045" t="str">
        <f t="shared" si="81"/>
        <v/>
      </c>
      <c r="G178" s="184" t="str">
        <f t="shared" si="82"/>
        <v/>
      </c>
      <c r="H178" s="941" t="e">
        <f t="shared" si="83"/>
        <v>#VALUE!</v>
      </c>
      <c r="I178" s="353" t="e">
        <f t="shared" si="84"/>
        <v>#VALUE!</v>
      </c>
      <c r="J178" s="239"/>
      <c r="K178" s="477" t="str">
        <f t="shared" si="85"/>
        <v/>
      </c>
      <c r="L178" s="246" t="str">
        <f t="shared" si="76"/>
        <v/>
      </c>
      <c r="M178" s="246" t="str">
        <f t="shared" si="77"/>
        <v/>
      </c>
      <c r="N178" s="246" t="str">
        <f t="shared" si="78"/>
        <v/>
      </c>
      <c r="O178" s="69"/>
      <c r="P178" s="69"/>
      <c r="Q178" s="69"/>
      <c r="R178" s="470"/>
      <c r="S178" s="69"/>
      <c r="T178" s="69"/>
      <c r="U178" s="69"/>
      <c r="V178" s="69"/>
      <c r="W178" s="69"/>
      <c r="X178" s="69"/>
      <c r="Y178" s="69"/>
      <c r="Z178" s="69"/>
      <c r="AA178" s="69"/>
      <c r="AB178" s="69"/>
      <c r="AC178" s="69"/>
      <c r="AD178" s="69"/>
      <c r="AE178" s="69"/>
      <c r="AF178" s="69"/>
      <c r="AG178" s="69"/>
      <c r="AH178" s="69"/>
      <c r="AI178" s="69"/>
      <c r="AJ178" s="69"/>
      <c r="AK178" s="193" t="e">
        <f>+AE11</f>
        <v>#VALUE!</v>
      </c>
      <c r="AL178" s="461" t="e">
        <f t="shared" si="61"/>
        <v>#VALUE!</v>
      </c>
      <c r="AM178" s="461" t="e">
        <f t="shared" si="44"/>
        <v>#VALUE!</v>
      </c>
      <c r="AN178" s="194" t="e">
        <f t="shared" si="45"/>
        <v>#VALUE!</v>
      </c>
      <c r="AO178" s="462"/>
      <c r="AP178" s="462"/>
      <c r="AQ178" s="441"/>
    </row>
    <row r="179" spans="2:43" x14ac:dyDescent="0.15">
      <c r="B179" s="354" t="str">
        <f t="shared" si="74"/>
        <v/>
      </c>
      <c r="C179" s="239" t="str">
        <f t="shared" si="79"/>
        <v/>
      </c>
      <c r="D179" s="239" t="str">
        <f t="shared" si="75"/>
        <v/>
      </c>
      <c r="E179" s="248" t="str">
        <f t="shared" si="80"/>
        <v/>
      </c>
      <c r="F179" s="1045" t="str">
        <f t="shared" si="81"/>
        <v/>
      </c>
      <c r="G179" s="184" t="str">
        <f t="shared" si="82"/>
        <v/>
      </c>
      <c r="H179" s="941" t="e">
        <f t="shared" si="83"/>
        <v>#VALUE!</v>
      </c>
      <c r="I179" s="353" t="e">
        <f t="shared" si="84"/>
        <v>#VALUE!</v>
      </c>
      <c r="J179" s="239"/>
      <c r="K179" s="477" t="str">
        <f t="shared" si="85"/>
        <v/>
      </c>
      <c r="L179" s="246" t="str">
        <f t="shared" si="76"/>
        <v/>
      </c>
      <c r="M179" s="246" t="str">
        <f t="shared" si="77"/>
        <v/>
      </c>
      <c r="N179" s="246" t="str">
        <f t="shared" si="78"/>
        <v/>
      </c>
      <c r="O179" s="69"/>
      <c r="P179" s="69"/>
      <c r="Q179" s="69"/>
      <c r="R179" s="470"/>
      <c r="S179" s="69"/>
      <c r="T179" s="69"/>
      <c r="U179" s="69"/>
      <c r="V179" s="69"/>
      <c r="W179" s="69"/>
      <c r="X179" s="69"/>
      <c r="Y179" s="69"/>
      <c r="Z179" s="69"/>
      <c r="AA179" s="69"/>
      <c r="AB179" s="69"/>
      <c r="AC179" s="69"/>
      <c r="AD179" s="69"/>
      <c r="AE179" s="69"/>
      <c r="AF179" s="69"/>
      <c r="AG179" s="69"/>
      <c r="AH179" s="69"/>
      <c r="AI179" s="69"/>
      <c r="AJ179" s="69"/>
      <c r="AK179" s="193" t="e">
        <f t="shared" ref="AK179:AK188" si="87">+AE13</f>
        <v>#VALUE!</v>
      </c>
      <c r="AL179" s="461" t="e">
        <f t="shared" si="61"/>
        <v>#VALUE!</v>
      </c>
      <c r="AM179" s="461" t="e">
        <f t="shared" si="44"/>
        <v>#VALUE!</v>
      </c>
      <c r="AN179" s="194" t="e">
        <f t="shared" si="45"/>
        <v>#VALUE!</v>
      </c>
      <c r="AO179" s="462"/>
      <c r="AP179" s="462"/>
      <c r="AQ179" s="441"/>
    </row>
    <row r="180" spans="2:43" x14ac:dyDescent="0.15">
      <c r="B180" s="354" t="str">
        <f t="shared" si="74"/>
        <v/>
      </c>
      <c r="C180" s="239" t="str">
        <f t="shared" si="79"/>
        <v/>
      </c>
      <c r="D180" s="239" t="str">
        <f t="shared" si="75"/>
        <v/>
      </c>
      <c r="E180" s="248" t="str">
        <f t="shared" si="80"/>
        <v/>
      </c>
      <c r="F180" s="1045" t="str">
        <f t="shared" si="81"/>
        <v/>
      </c>
      <c r="G180" s="184" t="str">
        <f t="shared" si="82"/>
        <v/>
      </c>
      <c r="H180" s="941" t="e">
        <f t="shared" si="83"/>
        <v>#VALUE!</v>
      </c>
      <c r="I180" s="353" t="e">
        <f t="shared" si="84"/>
        <v>#VALUE!</v>
      </c>
      <c r="J180" s="239"/>
      <c r="K180" s="477" t="str">
        <f t="shared" si="85"/>
        <v/>
      </c>
      <c r="L180" s="246" t="str">
        <f t="shared" si="76"/>
        <v/>
      </c>
      <c r="M180" s="246" t="str">
        <f t="shared" si="77"/>
        <v/>
      </c>
      <c r="N180" s="246" t="str">
        <f t="shared" si="78"/>
        <v/>
      </c>
      <c r="O180" s="69"/>
      <c r="P180" s="69"/>
      <c r="Q180" s="69"/>
      <c r="R180" s="470"/>
      <c r="S180" s="69"/>
      <c r="T180" s="69"/>
      <c r="U180" s="69"/>
      <c r="V180" s="69"/>
      <c r="W180" s="69"/>
      <c r="X180" s="69"/>
      <c r="Y180" s="69"/>
      <c r="Z180" s="69"/>
      <c r="AA180" s="69"/>
      <c r="AB180" s="69"/>
      <c r="AC180" s="69"/>
      <c r="AD180" s="69"/>
      <c r="AE180" s="69"/>
      <c r="AF180" s="69"/>
      <c r="AG180" s="69"/>
      <c r="AH180" s="69"/>
      <c r="AI180" s="69"/>
      <c r="AJ180" s="69"/>
      <c r="AK180" s="193" t="e">
        <f t="shared" si="87"/>
        <v>#VALUE!</v>
      </c>
      <c r="AL180" s="461" t="e">
        <f t="shared" si="61"/>
        <v>#VALUE!</v>
      </c>
      <c r="AM180" s="461" t="e">
        <f t="shared" si="44"/>
        <v>#VALUE!</v>
      </c>
      <c r="AN180" s="194" t="e">
        <f t="shared" si="45"/>
        <v>#VALUE!</v>
      </c>
      <c r="AO180" s="462"/>
      <c r="AP180" s="462"/>
      <c r="AQ180" s="441"/>
    </row>
    <row r="181" spans="2:43" x14ac:dyDescent="0.15">
      <c r="B181" s="354" t="str">
        <f t="shared" si="74"/>
        <v/>
      </c>
      <c r="C181" s="239" t="str">
        <f t="shared" si="79"/>
        <v/>
      </c>
      <c r="D181" s="239" t="str">
        <f t="shared" si="75"/>
        <v/>
      </c>
      <c r="E181" s="248" t="str">
        <f t="shared" si="80"/>
        <v/>
      </c>
      <c r="F181" s="1045" t="str">
        <f t="shared" si="81"/>
        <v/>
      </c>
      <c r="G181" s="184" t="str">
        <f t="shared" si="82"/>
        <v/>
      </c>
      <c r="H181" s="941" t="e">
        <f t="shared" si="83"/>
        <v>#VALUE!</v>
      </c>
      <c r="I181" s="353" t="e">
        <f t="shared" si="84"/>
        <v>#VALUE!</v>
      </c>
      <c r="J181" s="239"/>
      <c r="K181" s="477" t="str">
        <f t="shared" si="85"/>
        <v/>
      </c>
      <c r="L181" s="246" t="str">
        <f t="shared" si="76"/>
        <v/>
      </c>
      <c r="M181" s="246" t="str">
        <f t="shared" si="77"/>
        <v/>
      </c>
      <c r="N181" s="246" t="str">
        <f t="shared" si="78"/>
        <v/>
      </c>
      <c r="O181" s="69"/>
      <c r="P181" s="69"/>
      <c r="Q181" s="69"/>
      <c r="R181" s="470"/>
      <c r="S181" s="69"/>
      <c r="T181" s="69"/>
      <c r="U181" s="69"/>
      <c r="V181" s="69"/>
      <c r="W181" s="69"/>
      <c r="X181" s="69"/>
      <c r="Y181" s="69"/>
      <c r="Z181" s="69"/>
      <c r="AA181" s="69"/>
      <c r="AB181" s="69"/>
      <c r="AC181" s="69"/>
      <c r="AD181" s="69"/>
      <c r="AE181" s="69"/>
      <c r="AF181" s="69"/>
      <c r="AG181" s="69"/>
      <c r="AH181" s="69"/>
      <c r="AI181" s="69"/>
      <c r="AJ181" s="69"/>
      <c r="AK181" s="193" t="e">
        <f t="shared" si="87"/>
        <v>#VALUE!</v>
      </c>
      <c r="AL181" s="461" t="e">
        <f t="shared" si="61"/>
        <v>#VALUE!</v>
      </c>
      <c r="AM181" s="461" t="e">
        <f t="shared" si="44"/>
        <v>#VALUE!</v>
      </c>
      <c r="AN181" s="194" t="e">
        <f t="shared" si="45"/>
        <v>#VALUE!</v>
      </c>
      <c r="AO181" s="462"/>
      <c r="AP181" s="462"/>
      <c r="AQ181" s="441"/>
    </row>
    <row r="182" spans="2:43" x14ac:dyDescent="0.15">
      <c r="B182" s="354" t="str">
        <f t="shared" si="74"/>
        <v/>
      </c>
      <c r="C182" s="239" t="str">
        <f t="shared" si="79"/>
        <v/>
      </c>
      <c r="D182" s="239" t="str">
        <f t="shared" si="75"/>
        <v/>
      </c>
      <c r="E182" s="248" t="str">
        <f t="shared" si="80"/>
        <v/>
      </c>
      <c r="F182" s="1045" t="str">
        <f t="shared" si="81"/>
        <v/>
      </c>
      <c r="G182" s="184" t="str">
        <f t="shared" si="82"/>
        <v/>
      </c>
      <c r="H182" s="941" t="e">
        <f t="shared" si="83"/>
        <v>#VALUE!</v>
      </c>
      <c r="I182" s="353" t="e">
        <f t="shared" si="84"/>
        <v>#VALUE!</v>
      </c>
      <c r="J182" s="239"/>
      <c r="K182" s="477" t="str">
        <f t="shared" si="85"/>
        <v/>
      </c>
      <c r="L182" s="246" t="str">
        <f t="shared" si="76"/>
        <v/>
      </c>
      <c r="M182" s="246" t="str">
        <f t="shared" si="77"/>
        <v/>
      </c>
      <c r="N182" s="246" t="str">
        <f t="shared" si="78"/>
        <v/>
      </c>
      <c r="O182" s="69"/>
      <c r="P182" s="69"/>
      <c r="Q182" s="69"/>
      <c r="R182" s="470"/>
      <c r="S182" s="69"/>
      <c r="T182" s="69"/>
      <c r="U182" s="69"/>
      <c r="V182" s="69"/>
      <c r="W182" s="69"/>
      <c r="X182" s="69"/>
      <c r="Y182" s="69"/>
      <c r="Z182" s="69"/>
      <c r="AA182" s="69"/>
      <c r="AB182" s="69"/>
      <c r="AC182" s="69"/>
      <c r="AD182" s="69"/>
      <c r="AE182" s="69"/>
      <c r="AF182" s="69"/>
      <c r="AG182" s="69"/>
      <c r="AH182" s="69"/>
      <c r="AI182" s="69"/>
      <c r="AJ182" s="69"/>
      <c r="AK182" s="193" t="e">
        <f t="shared" si="87"/>
        <v>#VALUE!</v>
      </c>
      <c r="AL182" s="461" t="e">
        <f t="shared" si="61"/>
        <v>#VALUE!</v>
      </c>
      <c r="AM182" s="461" t="e">
        <f t="shared" si="44"/>
        <v>#VALUE!</v>
      </c>
      <c r="AN182" s="194" t="e">
        <f t="shared" si="45"/>
        <v>#VALUE!</v>
      </c>
      <c r="AO182" s="462"/>
      <c r="AP182" s="462"/>
      <c r="AQ182" s="441"/>
    </row>
    <row r="183" spans="2:43" x14ac:dyDescent="0.15">
      <c r="B183" s="354" t="str">
        <f t="shared" si="74"/>
        <v/>
      </c>
      <c r="C183" s="239" t="str">
        <f t="shared" si="79"/>
        <v/>
      </c>
      <c r="D183" s="239" t="str">
        <f t="shared" si="75"/>
        <v/>
      </c>
      <c r="E183" s="248" t="str">
        <f t="shared" si="80"/>
        <v/>
      </c>
      <c r="F183" s="1045" t="str">
        <f t="shared" si="81"/>
        <v/>
      </c>
      <c r="G183" s="184" t="str">
        <f t="shared" si="82"/>
        <v/>
      </c>
      <c r="H183" s="941" t="e">
        <f t="shared" si="83"/>
        <v>#VALUE!</v>
      </c>
      <c r="I183" s="353" t="e">
        <f t="shared" si="84"/>
        <v>#VALUE!</v>
      </c>
      <c r="J183" s="239"/>
      <c r="K183" s="477" t="str">
        <f t="shared" si="85"/>
        <v/>
      </c>
      <c r="L183" s="246" t="str">
        <f t="shared" si="76"/>
        <v/>
      </c>
      <c r="M183" s="246" t="str">
        <f t="shared" si="77"/>
        <v/>
      </c>
      <c r="N183" s="246" t="str">
        <f t="shared" si="78"/>
        <v/>
      </c>
      <c r="O183" s="69"/>
      <c r="P183" s="69"/>
      <c r="Q183" s="69"/>
      <c r="R183" s="470"/>
      <c r="S183" s="69"/>
      <c r="T183" s="69"/>
      <c r="U183" s="69"/>
      <c r="V183" s="69"/>
      <c r="W183" s="69"/>
      <c r="X183" s="69"/>
      <c r="Y183" s="69"/>
      <c r="Z183" s="69"/>
      <c r="AA183" s="69"/>
      <c r="AB183" s="69"/>
      <c r="AC183" s="69"/>
      <c r="AD183" s="69"/>
      <c r="AE183" s="69"/>
      <c r="AF183" s="69"/>
      <c r="AG183" s="69"/>
      <c r="AH183" s="69"/>
      <c r="AI183" s="69"/>
      <c r="AJ183" s="69"/>
      <c r="AK183" s="193" t="e">
        <f t="shared" si="87"/>
        <v>#VALUE!</v>
      </c>
      <c r="AL183" s="461" t="e">
        <f t="shared" si="61"/>
        <v>#VALUE!</v>
      </c>
      <c r="AM183" s="461" t="e">
        <f t="shared" si="44"/>
        <v>#VALUE!</v>
      </c>
      <c r="AN183" s="194" t="e">
        <f t="shared" si="45"/>
        <v>#VALUE!</v>
      </c>
      <c r="AO183" s="462"/>
      <c r="AP183" s="462"/>
      <c r="AQ183" s="441"/>
    </row>
    <row r="184" spans="2:43" x14ac:dyDescent="0.15">
      <c r="B184" s="354" t="str">
        <f t="shared" si="74"/>
        <v/>
      </c>
      <c r="C184" s="239" t="str">
        <f t="shared" si="79"/>
        <v/>
      </c>
      <c r="D184" s="239" t="str">
        <f t="shared" si="75"/>
        <v/>
      </c>
      <c r="E184" s="248" t="str">
        <f t="shared" si="80"/>
        <v/>
      </c>
      <c r="F184" s="1045" t="str">
        <f t="shared" si="81"/>
        <v/>
      </c>
      <c r="G184" s="184" t="str">
        <f t="shared" si="82"/>
        <v/>
      </c>
      <c r="H184" s="941" t="e">
        <f t="shared" si="83"/>
        <v>#VALUE!</v>
      </c>
      <c r="I184" s="353" t="e">
        <f t="shared" si="84"/>
        <v>#VALUE!</v>
      </c>
      <c r="J184" s="239"/>
      <c r="K184" s="477" t="str">
        <f t="shared" si="85"/>
        <v/>
      </c>
      <c r="L184" s="246" t="str">
        <f t="shared" si="76"/>
        <v/>
      </c>
      <c r="M184" s="246" t="str">
        <f t="shared" si="77"/>
        <v/>
      </c>
      <c r="N184" s="246" t="str">
        <f t="shared" si="78"/>
        <v/>
      </c>
      <c r="O184" s="69"/>
      <c r="P184" s="69"/>
      <c r="Q184" s="69"/>
      <c r="R184" s="470"/>
      <c r="S184" s="69"/>
      <c r="T184" s="69"/>
      <c r="U184" s="69"/>
      <c r="V184" s="69"/>
      <c r="W184" s="69"/>
      <c r="X184" s="69"/>
      <c r="Y184" s="69"/>
      <c r="Z184" s="69"/>
      <c r="AA184" s="69"/>
      <c r="AB184" s="69"/>
      <c r="AC184" s="69"/>
      <c r="AD184" s="69"/>
      <c r="AE184" s="69"/>
      <c r="AF184" s="69"/>
      <c r="AG184" s="69"/>
      <c r="AH184" s="69"/>
      <c r="AI184" s="69"/>
      <c r="AJ184" s="69"/>
      <c r="AK184" s="193" t="e">
        <f t="shared" si="87"/>
        <v>#VALUE!</v>
      </c>
      <c r="AL184" s="461" t="e">
        <f t="shared" si="61"/>
        <v>#VALUE!</v>
      </c>
      <c r="AM184" s="461" t="e">
        <f t="shared" si="44"/>
        <v>#VALUE!</v>
      </c>
      <c r="AN184" s="194" t="e">
        <f t="shared" si="45"/>
        <v>#VALUE!</v>
      </c>
      <c r="AO184" s="462"/>
      <c r="AP184" s="462"/>
      <c r="AQ184" s="441"/>
    </row>
    <row r="185" spans="2:43" x14ac:dyDescent="0.15">
      <c r="B185" s="354" t="str">
        <f t="shared" si="74"/>
        <v/>
      </c>
      <c r="C185" s="239" t="str">
        <f t="shared" si="79"/>
        <v/>
      </c>
      <c r="D185" s="239" t="str">
        <f t="shared" si="75"/>
        <v/>
      </c>
      <c r="E185" s="248" t="str">
        <f t="shared" si="80"/>
        <v/>
      </c>
      <c r="F185" s="1045" t="str">
        <f t="shared" si="81"/>
        <v/>
      </c>
      <c r="G185" s="184" t="str">
        <f t="shared" si="82"/>
        <v/>
      </c>
      <c r="H185" s="941" t="e">
        <f t="shared" si="83"/>
        <v>#VALUE!</v>
      </c>
      <c r="I185" s="353" t="e">
        <f t="shared" si="84"/>
        <v>#VALUE!</v>
      </c>
      <c r="J185" s="239"/>
      <c r="K185" s="477" t="str">
        <f t="shared" si="85"/>
        <v/>
      </c>
      <c r="L185" s="246" t="str">
        <f t="shared" si="76"/>
        <v/>
      </c>
      <c r="M185" s="246" t="str">
        <f t="shared" si="77"/>
        <v/>
      </c>
      <c r="N185" s="246" t="str">
        <f t="shared" si="78"/>
        <v/>
      </c>
      <c r="O185" s="69"/>
      <c r="P185" s="69"/>
      <c r="Q185" s="69"/>
      <c r="R185" s="470"/>
      <c r="S185" s="69"/>
      <c r="T185" s="69"/>
      <c r="U185" s="69"/>
      <c r="V185" s="69"/>
      <c r="W185" s="69"/>
      <c r="X185" s="69"/>
      <c r="Y185" s="69"/>
      <c r="Z185" s="69"/>
      <c r="AA185" s="69"/>
      <c r="AB185" s="69"/>
      <c r="AC185" s="69"/>
      <c r="AD185" s="69"/>
      <c r="AE185" s="69"/>
      <c r="AF185" s="69"/>
      <c r="AG185" s="69"/>
      <c r="AH185" s="69"/>
      <c r="AI185" s="69"/>
      <c r="AJ185" s="69"/>
      <c r="AK185" s="193" t="e">
        <f t="shared" si="87"/>
        <v>#VALUE!</v>
      </c>
      <c r="AL185" s="461" t="e">
        <f t="shared" si="61"/>
        <v>#VALUE!</v>
      </c>
      <c r="AM185" s="461" t="e">
        <f t="shared" si="44"/>
        <v>#VALUE!</v>
      </c>
      <c r="AN185" s="194" t="e">
        <f t="shared" si="45"/>
        <v>#VALUE!</v>
      </c>
      <c r="AO185" s="462"/>
      <c r="AP185" s="462"/>
      <c r="AQ185" s="441"/>
    </row>
    <row r="186" spans="2:43" x14ac:dyDescent="0.15">
      <c r="B186" s="354" t="str">
        <f t="shared" si="74"/>
        <v/>
      </c>
      <c r="C186" s="239" t="str">
        <f t="shared" si="79"/>
        <v/>
      </c>
      <c r="D186" s="239" t="str">
        <f t="shared" si="75"/>
        <v/>
      </c>
      <c r="E186" s="248" t="str">
        <f t="shared" si="80"/>
        <v/>
      </c>
      <c r="F186" s="1045" t="str">
        <f t="shared" si="81"/>
        <v/>
      </c>
      <c r="G186" s="184" t="str">
        <f t="shared" si="82"/>
        <v/>
      </c>
      <c r="H186" s="941" t="e">
        <f t="shared" si="83"/>
        <v>#VALUE!</v>
      </c>
      <c r="I186" s="353" t="e">
        <f t="shared" si="84"/>
        <v>#VALUE!</v>
      </c>
      <c r="J186" s="239"/>
      <c r="K186" s="477" t="str">
        <f t="shared" si="85"/>
        <v/>
      </c>
      <c r="L186" s="246" t="str">
        <f t="shared" si="76"/>
        <v/>
      </c>
      <c r="M186" s="246" t="str">
        <f t="shared" si="77"/>
        <v/>
      </c>
      <c r="N186" s="246" t="str">
        <f t="shared" si="78"/>
        <v/>
      </c>
      <c r="O186" s="69"/>
      <c r="P186" s="69"/>
      <c r="Q186" s="69"/>
      <c r="R186" s="470"/>
      <c r="S186" s="69"/>
      <c r="T186" s="69"/>
      <c r="U186" s="69"/>
      <c r="V186" s="69"/>
      <c r="W186" s="69"/>
      <c r="X186" s="69"/>
      <c r="Y186" s="69"/>
      <c r="Z186" s="69"/>
      <c r="AA186" s="69"/>
      <c r="AB186" s="69"/>
      <c r="AC186" s="69"/>
      <c r="AD186" s="69"/>
      <c r="AE186" s="69"/>
      <c r="AF186" s="69"/>
      <c r="AG186" s="69"/>
      <c r="AH186" s="69"/>
      <c r="AI186" s="69"/>
      <c r="AJ186" s="69"/>
      <c r="AK186" s="193" t="e">
        <f t="shared" si="87"/>
        <v>#VALUE!</v>
      </c>
      <c r="AL186" s="461" t="e">
        <f t="shared" si="61"/>
        <v>#VALUE!</v>
      </c>
      <c r="AM186" s="461" t="e">
        <f t="shared" si="44"/>
        <v>#VALUE!</v>
      </c>
      <c r="AN186" s="194" t="e">
        <f t="shared" si="45"/>
        <v>#VALUE!</v>
      </c>
      <c r="AO186" s="462"/>
      <c r="AP186" s="462"/>
      <c r="AQ186" s="441"/>
    </row>
    <row r="187" spans="2:43" x14ac:dyDescent="0.15">
      <c r="B187" s="354" t="str">
        <f t="shared" si="74"/>
        <v/>
      </c>
      <c r="C187" s="239" t="str">
        <f t="shared" si="79"/>
        <v/>
      </c>
      <c r="D187" s="239" t="str">
        <f t="shared" si="75"/>
        <v/>
      </c>
      <c r="E187" s="248" t="str">
        <f t="shared" si="80"/>
        <v/>
      </c>
      <c r="F187" s="1045" t="str">
        <f t="shared" si="81"/>
        <v/>
      </c>
      <c r="G187" s="184" t="str">
        <f t="shared" si="82"/>
        <v/>
      </c>
      <c r="H187" s="941" t="e">
        <f t="shared" si="83"/>
        <v>#VALUE!</v>
      </c>
      <c r="I187" s="353" t="e">
        <f t="shared" si="84"/>
        <v>#VALUE!</v>
      </c>
      <c r="J187" s="239"/>
      <c r="K187" s="477" t="str">
        <f t="shared" si="85"/>
        <v/>
      </c>
      <c r="L187" s="246" t="str">
        <f t="shared" si="76"/>
        <v/>
      </c>
      <c r="M187" s="246" t="str">
        <f t="shared" si="77"/>
        <v/>
      </c>
      <c r="N187" s="246" t="str">
        <f t="shared" si="78"/>
        <v/>
      </c>
      <c r="O187" s="69"/>
      <c r="P187" s="69"/>
      <c r="Q187" s="69"/>
      <c r="R187" s="470"/>
      <c r="S187" s="69"/>
      <c r="T187" s="69"/>
      <c r="U187" s="69"/>
      <c r="V187" s="69"/>
      <c r="W187" s="69"/>
      <c r="X187" s="69"/>
      <c r="Y187" s="69"/>
      <c r="Z187" s="69"/>
      <c r="AA187" s="69"/>
      <c r="AB187" s="69"/>
      <c r="AC187" s="69"/>
      <c r="AD187" s="69"/>
      <c r="AE187" s="69"/>
      <c r="AF187" s="69"/>
      <c r="AG187" s="69"/>
      <c r="AH187" s="69"/>
      <c r="AI187" s="69"/>
      <c r="AJ187" s="69"/>
      <c r="AK187" s="193" t="e">
        <f t="shared" si="87"/>
        <v>#VALUE!</v>
      </c>
      <c r="AL187" s="461" t="e">
        <f t="shared" si="61"/>
        <v>#VALUE!</v>
      </c>
      <c r="AM187" s="461" t="e">
        <f t="shared" si="44"/>
        <v>#VALUE!</v>
      </c>
      <c r="AN187" s="194" t="e">
        <f t="shared" si="45"/>
        <v>#VALUE!</v>
      </c>
      <c r="AO187" s="462"/>
      <c r="AP187" s="462"/>
      <c r="AQ187" s="441"/>
    </row>
    <row r="188" spans="2:43" x14ac:dyDescent="0.15">
      <c r="B188" s="354" t="str">
        <f t="shared" si="74"/>
        <v/>
      </c>
      <c r="C188" s="239" t="str">
        <f t="shared" si="79"/>
        <v/>
      </c>
      <c r="D188" s="239" t="str">
        <f t="shared" si="75"/>
        <v/>
      </c>
      <c r="E188" s="248" t="str">
        <f t="shared" si="80"/>
        <v/>
      </c>
      <c r="F188" s="1045" t="str">
        <f t="shared" si="81"/>
        <v/>
      </c>
      <c r="G188" s="184" t="str">
        <f t="shared" si="82"/>
        <v/>
      </c>
      <c r="H188" s="941" t="e">
        <f t="shared" si="83"/>
        <v>#VALUE!</v>
      </c>
      <c r="I188" s="353" t="e">
        <f t="shared" si="84"/>
        <v>#VALUE!</v>
      </c>
      <c r="J188" s="239"/>
      <c r="K188" s="477" t="str">
        <f t="shared" si="85"/>
        <v/>
      </c>
      <c r="L188" s="246" t="str">
        <f t="shared" si="76"/>
        <v/>
      </c>
      <c r="M188" s="246" t="str">
        <f t="shared" si="77"/>
        <v/>
      </c>
      <c r="N188" s="246" t="str">
        <f t="shared" si="78"/>
        <v/>
      </c>
      <c r="O188" s="69"/>
      <c r="P188" s="69"/>
      <c r="Q188" s="69"/>
      <c r="R188" s="470"/>
      <c r="S188" s="69"/>
      <c r="T188" s="69"/>
      <c r="U188" s="69"/>
      <c r="V188" s="69"/>
      <c r="W188" s="69"/>
      <c r="X188" s="69"/>
      <c r="Y188" s="69"/>
      <c r="Z188" s="69"/>
      <c r="AA188" s="69"/>
      <c r="AB188" s="69"/>
      <c r="AC188" s="69"/>
      <c r="AD188" s="69"/>
      <c r="AE188" s="69"/>
      <c r="AF188" s="69"/>
      <c r="AG188" s="69"/>
      <c r="AH188" s="69"/>
      <c r="AI188" s="69"/>
      <c r="AJ188" s="69"/>
      <c r="AK188" s="193" t="e">
        <f t="shared" si="87"/>
        <v>#VALUE!</v>
      </c>
      <c r="AL188" s="461" t="e">
        <f t="shared" si="61"/>
        <v>#VALUE!</v>
      </c>
      <c r="AM188" s="461" t="e">
        <f t="shared" si="44"/>
        <v>#VALUE!</v>
      </c>
      <c r="AN188" s="194" t="e">
        <f t="shared" si="45"/>
        <v>#VALUE!</v>
      </c>
      <c r="AO188" s="462"/>
      <c r="AP188" s="462"/>
      <c r="AQ188" s="441"/>
    </row>
    <row r="189" spans="2:43" x14ac:dyDescent="0.15">
      <c r="B189" s="354" t="str">
        <f t="shared" si="74"/>
        <v/>
      </c>
      <c r="C189" s="239" t="str">
        <f t="shared" si="79"/>
        <v/>
      </c>
      <c r="D189" s="239" t="str">
        <f t="shared" si="75"/>
        <v/>
      </c>
      <c r="E189" s="248" t="str">
        <f t="shared" si="80"/>
        <v/>
      </c>
      <c r="F189" s="1045" t="str">
        <f t="shared" si="81"/>
        <v/>
      </c>
      <c r="G189" s="184" t="str">
        <f t="shared" si="82"/>
        <v/>
      </c>
      <c r="H189" s="941" t="e">
        <f t="shared" si="83"/>
        <v>#VALUE!</v>
      </c>
      <c r="I189" s="353" t="e">
        <f t="shared" si="84"/>
        <v>#VALUE!</v>
      </c>
      <c r="J189" s="239"/>
      <c r="K189" s="477" t="str">
        <f t="shared" si="85"/>
        <v/>
      </c>
      <c r="L189" s="246" t="str">
        <f t="shared" si="76"/>
        <v/>
      </c>
      <c r="M189" s="246" t="str">
        <f t="shared" si="77"/>
        <v/>
      </c>
      <c r="N189" s="246" t="str">
        <f t="shared" si="78"/>
        <v/>
      </c>
      <c r="O189" s="69"/>
      <c r="P189" s="69"/>
      <c r="Q189" s="69"/>
      <c r="R189" s="470"/>
      <c r="S189" s="69"/>
      <c r="T189" s="69"/>
      <c r="U189" s="69"/>
      <c r="V189" s="69"/>
      <c r="W189" s="69"/>
      <c r="X189" s="69"/>
      <c r="Y189" s="69"/>
      <c r="Z189" s="69"/>
      <c r="AA189" s="69"/>
      <c r="AB189" s="69"/>
      <c r="AC189" s="69"/>
      <c r="AD189" s="69"/>
      <c r="AE189" s="69"/>
      <c r="AF189" s="69"/>
      <c r="AG189" s="69"/>
      <c r="AH189" s="69"/>
      <c r="AI189" s="69"/>
      <c r="AJ189" s="69"/>
      <c r="AK189" s="193" t="e">
        <f>+AF10</f>
        <v>#VALUE!</v>
      </c>
      <c r="AL189" s="461" t="e">
        <f t="shared" si="61"/>
        <v>#VALUE!</v>
      </c>
      <c r="AM189" s="461" t="e">
        <f t="shared" si="44"/>
        <v>#VALUE!</v>
      </c>
      <c r="AN189" s="194" t="e">
        <f t="shared" si="45"/>
        <v>#VALUE!</v>
      </c>
      <c r="AO189" s="462"/>
      <c r="AP189" s="462"/>
      <c r="AQ189" s="441"/>
    </row>
    <row r="190" spans="2:43" x14ac:dyDescent="0.15">
      <c r="B190" s="354" t="str">
        <f t="shared" si="74"/>
        <v/>
      </c>
      <c r="C190" s="239" t="str">
        <f t="shared" si="79"/>
        <v/>
      </c>
      <c r="D190" s="239" t="str">
        <f t="shared" si="75"/>
        <v/>
      </c>
      <c r="E190" s="248" t="str">
        <f t="shared" si="80"/>
        <v/>
      </c>
      <c r="F190" s="1045" t="str">
        <f t="shared" si="81"/>
        <v/>
      </c>
      <c r="G190" s="184" t="str">
        <f t="shared" si="82"/>
        <v/>
      </c>
      <c r="H190" s="941" t="e">
        <f t="shared" si="83"/>
        <v>#VALUE!</v>
      </c>
      <c r="I190" s="353" t="e">
        <f t="shared" si="84"/>
        <v>#VALUE!</v>
      </c>
      <c r="J190" s="239"/>
      <c r="K190" s="477" t="str">
        <f t="shared" si="85"/>
        <v/>
      </c>
      <c r="L190" s="246" t="str">
        <f t="shared" si="76"/>
        <v/>
      </c>
      <c r="M190" s="246" t="str">
        <f t="shared" si="77"/>
        <v/>
      </c>
      <c r="N190" s="246" t="str">
        <f t="shared" si="78"/>
        <v/>
      </c>
      <c r="O190" s="69"/>
      <c r="P190" s="69"/>
      <c r="Q190" s="69"/>
      <c r="R190" s="470"/>
      <c r="S190" s="69"/>
      <c r="T190" s="69"/>
      <c r="U190" s="69"/>
      <c r="V190" s="69"/>
      <c r="W190" s="69"/>
      <c r="X190" s="69"/>
      <c r="Y190" s="69"/>
      <c r="Z190" s="69"/>
      <c r="AA190" s="69"/>
      <c r="AB190" s="69"/>
      <c r="AC190" s="69"/>
      <c r="AD190" s="69"/>
      <c r="AE190" s="69"/>
      <c r="AF190" s="69"/>
      <c r="AG190" s="69"/>
      <c r="AH190" s="69"/>
      <c r="AI190" s="69"/>
      <c r="AJ190" s="69"/>
      <c r="AK190" s="193" t="e">
        <f>+AF11</f>
        <v>#VALUE!</v>
      </c>
      <c r="AL190" s="461" t="e">
        <f t="shared" si="61"/>
        <v>#VALUE!</v>
      </c>
      <c r="AM190" s="461" t="e">
        <f t="shared" si="44"/>
        <v>#VALUE!</v>
      </c>
      <c r="AN190" s="194" t="e">
        <f t="shared" si="45"/>
        <v>#VALUE!</v>
      </c>
      <c r="AO190" s="462"/>
      <c r="AP190" s="462"/>
      <c r="AQ190" s="441"/>
    </row>
    <row r="191" spans="2:43" x14ac:dyDescent="0.15">
      <c r="B191" s="354" t="str">
        <f t="shared" si="74"/>
        <v/>
      </c>
      <c r="C191" s="239" t="str">
        <f t="shared" si="79"/>
        <v/>
      </c>
      <c r="D191" s="239" t="str">
        <f t="shared" si="75"/>
        <v/>
      </c>
      <c r="E191" s="248" t="str">
        <f t="shared" si="80"/>
        <v/>
      </c>
      <c r="F191" s="1045" t="str">
        <f t="shared" si="81"/>
        <v/>
      </c>
      <c r="G191" s="184" t="str">
        <f t="shared" si="82"/>
        <v/>
      </c>
      <c r="H191" s="941" t="e">
        <f t="shared" si="83"/>
        <v>#VALUE!</v>
      </c>
      <c r="I191" s="353" t="e">
        <f t="shared" si="84"/>
        <v>#VALUE!</v>
      </c>
      <c r="J191" s="239"/>
      <c r="K191" s="477" t="str">
        <f t="shared" si="85"/>
        <v/>
      </c>
      <c r="L191" s="246" t="str">
        <f t="shared" si="76"/>
        <v/>
      </c>
      <c r="M191" s="246" t="str">
        <f t="shared" si="77"/>
        <v/>
      </c>
      <c r="N191" s="246" t="str">
        <f t="shared" si="78"/>
        <v/>
      </c>
      <c r="O191" s="69"/>
      <c r="P191" s="69"/>
      <c r="Q191" s="69"/>
      <c r="R191" s="470"/>
      <c r="S191" s="69"/>
      <c r="T191" s="69"/>
      <c r="U191" s="69"/>
      <c r="V191" s="69"/>
      <c r="W191" s="69"/>
      <c r="X191" s="69"/>
      <c r="Y191" s="69"/>
      <c r="Z191" s="69"/>
      <c r="AA191" s="69"/>
      <c r="AB191" s="69"/>
      <c r="AC191" s="69"/>
      <c r="AD191" s="69"/>
      <c r="AE191" s="69"/>
      <c r="AF191" s="69"/>
      <c r="AG191" s="69"/>
      <c r="AH191" s="69"/>
      <c r="AI191" s="69"/>
      <c r="AJ191" s="69"/>
      <c r="AK191" s="193" t="e">
        <f t="shared" ref="AK191:AK200" si="88">+AF13</f>
        <v>#VALUE!</v>
      </c>
      <c r="AL191" s="461" t="e">
        <f t="shared" si="61"/>
        <v>#VALUE!</v>
      </c>
      <c r="AM191" s="461" t="e">
        <f t="shared" si="44"/>
        <v>#VALUE!</v>
      </c>
      <c r="AN191" s="194" t="e">
        <f t="shared" si="45"/>
        <v>#VALUE!</v>
      </c>
      <c r="AO191" s="462"/>
      <c r="AP191" s="462"/>
      <c r="AQ191" s="441"/>
    </row>
    <row r="192" spans="2:43" x14ac:dyDescent="0.15">
      <c r="B192" s="354" t="str">
        <f t="shared" si="74"/>
        <v/>
      </c>
      <c r="C192" s="239" t="str">
        <f t="shared" si="79"/>
        <v/>
      </c>
      <c r="D192" s="239" t="str">
        <f t="shared" si="75"/>
        <v/>
      </c>
      <c r="E192" s="248" t="str">
        <f t="shared" si="80"/>
        <v/>
      </c>
      <c r="F192" s="1045" t="str">
        <f t="shared" si="81"/>
        <v/>
      </c>
      <c r="G192" s="184" t="str">
        <f t="shared" si="82"/>
        <v/>
      </c>
      <c r="H192" s="941" t="e">
        <f t="shared" si="83"/>
        <v>#VALUE!</v>
      </c>
      <c r="I192" s="353" t="e">
        <f t="shared" si="84"/>
        <v>#VALUE!</v>
      </c>
      <c r="J192" s="239"/>
      <c r="K192" s="477" t="str">
        <f t="shared" si="85"/>
        <v/>
      </c>
      <c r="L192" s="246" t="str">
        <f t="shared" si="76"/>
        <v/>
      </c>
      <c r="M192" s="246" t="str">
        <f t="shared" si="77"/>
        <v/>
      </c>
      <c r="N192" s="246" t="str">
        <f t="shared" si="78"/>
        <v/>
      </c>
      <c r="O192" s="69"/>
      <c r="P192" s="69"/>
      <c r="Q192" s="69"/>
      <c r="R192" s="470"/>
      <c r="S192" s="69"/>
      <c r="T192" s="69"/>
      <c r="U192" s="69"/>
      <c r="V192" s="69"/>
      <c r="W192" s="69"/>
      <c r="X192" s="69"/>
      <c r="Y192" s="69"/>
      <c r="Z192" s="69"/>
      <c r="AA192" s="69"/>
      <c r="AB192" s="69"/>
      <c r="AC192" s="69"/>
      <c r="AD192" s="69"/>
      <c r="AE192" s="69"/>
      <c r="AF192" s="69"/>
      <c r="AG192" s="69"/>
      <c r="AH192" s="69"/>
      <c r="AI192" s="69"/>
      <c r="AJ192" s="69"/>
      <c r="AK192" s="193" t="e">
        <f t="shared" si="88"/>
        <v>#VALUE!</v>
      </c>
      <c r="AL192" s="461" t="e">
        <f t="shared" si="61"/>
        <v>#VALUE!</v>
      </c>
      <c r="AM192" s="461" t="e">
        <f t="shared" si="44"/>
        <v>#VALUE!</v>
      </c>
      <c r="AN192" s="194" t="e">
        <f t="shared" si="45"/>
        <v>#VALUE!</v>
      </c>
      <c r="AO192" s="462"/>
      <c r="AP192" s="462"/>
      <c r="AQ192" s="441"/>
    </row>
    <row r="193" spans="2:43" x14ac:dyDescent="0.15">
      <c r="B193" s="354" t="str">
        <f t="shared" si="74"/>
        <v/>
      </c>
      <c r="C193" s="239" t="str">
        <f t="shared" si="79"/>
        <v/>
      </c>
      <c r="D193" s="239" t="str">
        <f t="shared" si="75"/>
        <v/>
      </c>
      <c r="E193" s="248" t="str">
        <f t="shared" si="80"/>
        <v/>
      </c>
      <c r="F193" s="1045" t="str">
        <f t="shared" si="81"/>
        <v/>
      </c>
      <c r="G193" s="184" t="str">
        <f t="shared" si="82"/>
        <v/>
      </c>
      <c r="H193" s="941" t="e">
        <f t="shared" si="83"/>
        <v>#VALUE!</v>
      </c>
      <c r="I193" s="353" t="e">
        <f t="shared" si="84"/>
        <v>#VALUE!</v>
      </c>
      <c r="J193" s="239"/>
      <c r="K193" s="477" t="str">
        <f t="shared" si="85"/>
        <v/>
      </c>
      <c r="L193" s="246" t="str">
        <f t="shared" si="76"/>
        <v/>
      </c>
      <c r="M193" s="246" t="str">
        <f t="shared" si="77"/>
        <v/>
      </c>
      <c r="N193" s="246" t="str">
        <f t="shared" si="78"/>
        <v/>
      </c>
      <c r="O193" s="69"/>
      <c r="P193" s="69"/>
      <c r="Q193" s="69"/>
      <c r="R193" s="470"/>
      <c r="S193" s="69"/>
      <c r="T193" s="69"/>
      <c r="U193" s="69"/>
      <c r="V193" s="69"/>
      <c r="W193" s="69"/>
      <c r="X193" s="69"/>
      <c r="Y193" s="69"/>
      <c r="Z193" s="69"/>
      <c r="AA193" s="69"/>
      <c r="AB193" s="69"/>
      <c r="AC193" s="69"/>
      <c r="AD193" s="69"/>
      <c r="AE193" s="69"/>
      <c r="AF193" s="69"/>
      <c r="AG193" s="69"/>
      <c r="AH193" s="69"/>
      <c r="AI193" s="69"/>
      <c r="AJ193" s="69"/>
      <c r="AK193" s="193" t="e">
        <f t="shared" si="88"/>
        <v>#VALUE!</v>
      </c>
      <c r="AL193" s="461" t="e">
        <f t="shared" si="61"/>
        <v>#VALUE!</v>
      </c>
      <c r="AM193" s="461" t="e">
        <f t="shared" si="44"/>
        <v>#VALUE!</v>
      </c>
      <c r="AN193" s="194" t="e">
        <f t="shared" si="45"/>
        <v>#VALUE!</v>
      </c>
      <c r="AO193" s="462"/>
      <c r="AP193" s="462"/>
      <c r="AQ193" s="441"/>
    </row>
    <row r="194" spans="2:43" x14ac:dyDescent="0.15">
      <c r="B194" s="354" t="str">
        <f t="shared" ref="B194:B216" si="89">+IF(B193&lt;$C$11/$C$17,B193+1,IF(B193="","",""))</f>
        <v/>
      </c>
      <c r="C194" s="239" t="str">
        <f t="shared" si="79"/>
        <v/>
      </c>
      <c r="D194" s="239" t="str">
        <f t="shared" si="75"/>
        <v/>
      </c>
      <c r="E194" s="248" t="str">
        <f t="shared" si="80"/>
        <v/>
      </c>
      <c r="F194" s="1045" t="str">
        <f t="shared" si="81"/>
        <v/>
      </c>
      <c r="G194" s="184" t="str">
        <f t="shared" si="82"/>
        <v/>
      </c>
      <c r="H194" s="941" t="e">
        <f t="shared" si="83"/>
        <v>#VALUE!</v>
      </c>
      <c r="I194" s="353" t="e">
        <f t="shared" si="84"/>
        <v>#VALUE!</v>
      </c>
      <c r="J194" s="239"/>
      <c r="K194" s="477" t="str">
        <f t="shared" si="85"/>
        <v/>
      </c>
      <c r="L194" s="246" t="str">
        <f t="shared" si="76"/>
        <v/>
      </c>
      <c r="M194" s="246" t="str">
        <f t="shared" si="77"/>
        <v/>
      </c>
      <c r="N194" s="246" t="str">
        <f t="shared" si="78"/>
        <v/>
      </c>
      <c r="O194" s="69"/>
      <c r="P194" s="69"/>
      <c r="Q194" s="69"/>
      <c r="R194" s="470"/>
      <c r="S194" s="69"/>
      <c r="T194" s="69"/>
      <c r="U194" s="69"/>
      <c r="V194" s="69"/>
      <c r="W194" s="69"/>
      <c r="X194" s="69"/>
      <c r="Y194" s="69"/>
      <c r="Z194" s="69"/>
      <c r="AA194" s="69"/>
      <c r="AB194" s="69"/>
      <c r="AC194" s="69"/>
      <c r="AD194" s="69"/>
      <c r="AE194" s="69"/>
      <c r="AF194" s="69"/>
      <c r="AG194" s="69"/>
      <c r="AH194" s="69"/>
      <c r="AI194" s="69"/>
      <c r="AJ194" s="69"/>
      <c r="AK194" s="193" t="e">
        <f t="shared" si="88"/>
        <v>#VALUE!</v>
      </c>
      <c r="AL194" s="461" t="e">
        <f t="shared" si="61"/>
        <v>#VALUE!</v>
      </c>
      <c r="AM194" s="461" t="e">
        <f t="shared" si="44"/>
        <v>#VALUE!</v>
      </c>
      <c r="AN194" s="194" t="e">
        <f t="shared" si="45"/>
        <v>#VALUE!</v>
      </c>
      <c r="AO194" s="462"/>
      <c r="AP194" s="462"/>
      <c r="AQ194" s="441"/>
    </row>
    <row r="195" spans="2:43" x14ac:dyDescent="0.15">
      <c r="B195" s="354" t="str">
        <f t="shared" si="89"/>
        <v/>
      </c>
      <c r="C195" s="239" t="str">
        <f t="shared" si="79"/>
        <v/>
      </c>
      <c r="D195" s="239" t="str">
        <f t="shared" si="75"/>
        <v/>
      </c>
      <c r="E195" s="248" t="str">
        <f t="shared" si="80"/>
        <v/>
      </c>
      <c r="F195" s="1045" t="str">
        <f t="shared" si="81"/>
        <v/>
      </c>
      <c r="G195" s="184" t="str">
        <f t="shared" si="82"/>
        <v/>
      </c>
      <c r="H195" s="941" t="e">
        <f t="shared" si="83"/>
        <v>#VALUE!</v>
      </c>
      <c r="I195" s="353" t="e">
        <f t="shared" si="84"/>
        <v>#VALUE!</v>
      </c>
      <c r="J195" s="239"/>
      <c r="K195" s="477" t="str">
        <f t="shared" si="85"/>
        <v/>
      </c>
      <c r="L195" s="246" t="str">
        <f t="shared" si="76"/>
        <v/>
      </c>
      <c r="M195" s="246" t="str">
        <f t="shared" si="77"/>
        <v/>
      </c>
      <c r="N195" s="246" t="str">
        <f t="shared" si="78"/>
        <v/>
      </c>
      <c r="O195" s="69"/>
      <c r="P195" s="69"/>
      <c r="Q195" s="69"/>
      <c r="R195" s="470"/>
      <c r="S195" s="69"/>
      <c r="T195" s="69"/>
      <c r="U195" s="69"/>
      <c r="V195" s="69"/>
      <c r="W195" s="69"/>
      <c r="X195" s="69"/>
      <c r="Y195" s="69"/>
      <c r="Z195" s="69"/>
      <c r="AA195" s="69"/>
      <c r="AB195" s="69"/>
      <c r="AC195" s="69"/>
      <c r="AD195" s="69"/>
      <c r="AE195" s="69"/>
      <c r="AF195" s="69"/>
      <c r="AG195" s="69"/>
      <c r="AH195" s="69"/>
      <c r="AI195" s="69"/>
      <c r="AJ195" s="69"/>
      <c r="AK195" s="193" t="e">
        <f t="shared" si="88"/>
        <v>#VALUE!</v>
      </c>
      <c r="AL195" s="461" t="e">
        <f t="shared" si="61"/>
        <v>#VALUE!</v>
      </c>
      <c r="AM195" s="461" t="e">
        <f t="shared" si="44"/>
        <v>#VALUE!</v>
      </c>
      <c r="AN195" s="194" t="e">
        <f t="shared" si="45"/>
        <v>#VALUE!</v>
      </c>
      <c r="AO195" s="462"/>
      <c r="AP195" s="462"/>
      <c r="AQ195" s="441"/>
    </row>
    <row r="196" spans="2:43" x14ac:dyDescent="0.15">
      <c r="B196" s="354" t="str">
        <f t="shared" si="89"/>
        <v/>
      </c>
      <c r="C196" s="239" t="str">
        <f t="shared" si="79"/>
        <v/>
      </c>
      <c r="D196" s="239" t="str">
        <f t="shared" si="75"/>
        <v/>
      </c>
      <c r="E196" s="248" t="str">
        <f t="shared" si="80"/>
        <v/>
      </c>
      <c r="F196" s="1045" t="str">
        <f t="shared" si="81"/>
        <v/>
      </c>
      <c r="G196" s="184" t="str">
        <f t="shared" si="82"/>
        <v/>
      </c>
      <c r="H196" s="941" t="e">
        <f t="shared" si="83"/>
        <v>#VALUE!</v>
      </c>
      <c r="I196" s="353" t="e">
        <f t="shared" si="84"/>
        <v>#VALUE!</v>
      </c>
      <c r="J196" s="239"/>
      <c r="K196" s="477" t="str">
        <f t="shared" si="85"/>
        <v/>
      </c>
      <c r="L196" s="246" t="str">
        <f t="shared" si="76"/>
        <v/>
      </c>
      <c r="M196" s="246" t="str">
        <f t="shared" si="77"/>
        <v/>
      </c>
      <c r="N196" s="246" t="str">
        <f t="shared" si="78"/>
        <v/>
      </c>
      <c r="O196" s="69"/>
      <c r="P196" s="69"/>
      <c r="Q196" s="69"/>
      <c r="R196" s="470"/>
      <c r="S196" s="69"/>
      <c r="T196" s="69"/>
      <c r="U196" s="69"/>
      <c r="V196" s="69"/>
      <c r="W196" s="69"/>
      <c r="X196" s="69"/>
      <c r="Y196" s="69"/>
      <c r="Z196" s="69"/>
      <c r="AA196" s="69"/>
      <c r="AB196" s="69"/>
      <c r="AC196" s="69"/>
      <c r="AD196" s="69"/>
      <c r="AE196" s="69"/>
      <c r="AF196" s="69"/>
      <c r="AG196" s="69"/>
      <c r="AH196" s="69"/>
      <c r="AI196" s="69"/>
      <c r="AJ196" s="69"/>
      <c r="AK196" s="193" t="e">
        <f t="shared" si="88"/>
        <v>#VALUE!</v>
      </c>
      <c r="AL196" s="461" t="e">
        <f t="shared" si="61"/>
        <v>#VALUE!</v>
      </c>
      <c r="AM196" s="461" t="e">
        <f t="shared" si="44"/>
        <v>#VALUE!</v>
      </c>
      <c r="AN196" s="194" t="e">
        <f t="shared" si="45"/>
        <v>#VALUE!</v>
      </c>
      <c r="AO196" s="462"/>
      <c r="AP196" s="462"/>
      <c r="AQ196" s="441"/>
    </row>
    <row r="197" spans="2:43" x14ac:dyDescent="0.15">
      <c r="B197" s="354" t="str">
        <f t="shared" si="89"/>
        <v/>
      </c>
      <c r="C197" s="239" t="str">
        <f t="shared" si="79"/>
        <v/>
      </c>
      <c r="D197" s="239" t="str">
        <f t="shared" ref="D197:D216" si="90">IF(B197="","",VLOOKUP(B197,AM:AN,2,FALSE))</f>
        <v/>
      </c>
      <c r="E197" s="248" t="str">
        <f t="shared" si="80"/>
        <v/>
      </c>
      <c r="F197" s="1045" t="str">
        <f t="shared" si="81"/>
        <v/>
      </c>
      <c r="G197" s="184" t="str">
        <f t="shared" si="82"/>
        <v/>
      </c>
      <c r="H197" s="941" t="e">
        <f t="shared" si="83"/>
        <v>#VALUE!</v>
      </c>
      <c r="I197" s="353" t="e">
        <f t="shared" si="84"/>
        <v>#VALUE!</v>
      </c>
      <c r="J197" s="239"/>
      <c r="K197" s="477" t="str">
        <f t="shared" si="85"/>
        <v/>
      </c>
      <c r="L197" s="246" t="str">
        <f t="shared" ref="L197:L216" si="91">+IF(K197&lt;&gt;"",$L$30/$L$28,"")</f>
        <v/>
      </c>
      <c r="M197" s="246" t="str">
        <f t="shared" ref="M197:M222" si="92">IF(K197=$M$28,$E$33,IF(K197&lt;&gt;"",($M$30-$M$36)/($M$28-1),""))</f>
        <v/>
      </c>
      <c r="N197" s="246" t="str">
        <f t="shared" ref="N197:N221" si="93">+IF(K197&lt;&gt;"",($N$30-$N$36)/$N$28,"")</f>
        <v/>
      </c>
      <c r="O197" s="69"/>
      <c r="P197" s="69"/>
      <c r="Q197" s="69"/>
      <c r="R197" s="470"/>
      <c r="S197" s="69"/>
      <c r="T197" s="69"/>
      <c r="U197" s="69"/>
      <c r="V197" s="69"/>
      <c r="W197" s="69"/>
      <c r="X197" s="69"/>
      <c r="Y197" s="69"/>
      <c r="Z197" s="69"/>
      <c r="AA197" s="69"/>
      <c r="AB197" s="69"/>
      <c r="AC197" s="69"/>
      <c r="AD197" s="69"/>
      <c r="AE197" s="69"/>
      <c r="AF197" s="69"/>
      <c r="AG197" s="69"/>
      <c r="AH197" s="69"/>
      <c r="AI197" s="69"/>
      <c r="AJ197" s="69"/>
      <c r="AK197" s="193" t="e">
        <f t="shared" si="88"/>
        <v>#VALUE!</v>
      </c>
      <c r="AL197" s="461" t="e">
        <f t="shared" si="61"/>
        <v>#VALUE!</v>
      </c>
      <c r="AM197" s="461" t="e">
        <f t="shared" si="44"/>
        <v>#VALUE!</v>
      </c>
      <c r="AN197" s="194" t="e">
        <f t="shared" si="45"/>
        <v>#VALUE!</v>
      </c>
      <c r="AO197" s="462"/>
      <c r="AP197" s="462"/>
      <c r="AQ197" s="441"/>
    </row>
    <row r="198" spans="2:43" x14ac:dyDescent="0.15">
      <c r="B198" s="354" t="str">
        <f t="shared" si="89"/>
        <v/>
      </c>
      <c r="C198" s="239" t="str">
        <f t="shared" ref="C198:C216" si="94">+IF(B198="","",EDATE(C$35,$C$17*B197))</f>
        <v/>
      </c>
      <c r="D198" s="239" t="str">
        <f t="shared" si="90"/>
        <v/>
      </c>
      <c r="E198" s="248" t="str">
        <f t="shared" si="80"/>
        <v/>
      </c>
      <c r="F198" s="1045" t="str">
        <f t="shared" si="81"/>
        <v/>
      </c>
      <c r="G198" s="184" t="str">
        <f t="shared" si="82"/>
        <v/>
      </c>
      <c r="H198" s="941" t="e">
        <f t="shared" ref="H198:H216" si="95">+IF(H197&lt;$C$11/$C$18,H197+1,IF(H197="","",""))</f>
        <v>#VALUE!</v>
      </c>
      <c r="I198" s="353" t="e">
        <f t="shared" ref="I198:I216" si="96">+IF(H198="","",EDATE(I$35,$C$18*H197))</f>
        <v>#VALUE!</v>
      </c>
      <c r="J198" s="239"/>
      <c r="K198" s="477" t="str">
        <f t="shared" si="85"/>
        <v/>
      </c>
      <c r="L198" s="246" t="str">
        <f t="shared" si="91"/>
        <v/>
      </c>
      <c r="M198" s="246" t="str">
        <f t="shared" si="92"/>
        <v/>
      </c>
      <c r="N198" s="246" t="str">
        <f t="shared" si="93"/>
        <v/>
      </c>
      <c r="O198" s="69"/>
      <c r="P198" s="69"/>
      <c r="Q198" s="69"/>
      <c r="R198" s="470"/>
      <c r="S198" s="69"/>
      <c r="T198" s="69"/>
      <c r="U198" s="69"/>
      <c r="V198" s="69"/>
      <c r="W198" s="69"/>
      <c r="X198" s="69"/>
      <c r="Y198" s="69"/>
      <c r="Z198" s="69"/>
      <c r="AA198" s="69"/>
      <c r="AB198" s="69"/>
      <c r="AC198" s="69"/>
      <c r="AD198" s="69"/>
      <c r="AE198" s="69"/>
      <c r="AF198" s="69"/>
      <c r="AG198" s="69"/>
      <c r="AH198" s="69"/>
      <c r="AI198" s="69"/>
      <c r="AJ198" s="69"/>
      <c r="AK198" s="193" t="e">
        <f t="shared" si="88"/>
        <v>#VALUE!</v>
      </c>
      <c r="AL198" s="461" t="e">
        <f t="shared" si="61"/>
        <v>#VALUE!</v>
      </c>
      <c r="AM198" s="461" t="e">
        <f t="shared" si="44"/>
        <v>#VALUE!</v>
      </c>
      <c r="AN198" s="194" t="e">
        <f t="shared" si="45"/>
        <v>#VALUE!</v>
      </c>
      <c r="AO198" s="462"/>
      <c r="AP198" s="462"/>
      <c r="AQ198" s="441"/>
    </row>
    <row r="199" spans="2:43" x14ac:dyDescent="0.15">
      <c r="B199" s="354" t="str">
        <f t="shared" si="89"/>
        <v/>
      </c>
      <c r="C199" s="239" t="str">
        <f t="shared" si="94"/>
        <v/>
      </c>
      <c r="D199" s="239" t="str">
        <f t="shared" si="90"/>
        <v/>
      </c>
      <c r="E199" s="248" t="str">
        <f t="shared" si="80"/>
        <v/>
      </c>
      <c r="F199" s="1045" t="str">
        <f t="shared" si="81"/>
        <v/>
      </c>
      <c r="G199" s="184" t="str">
        <f t="shared" si="82"/>
        <v/>
      </c>
      <c r="H199" s="941" t="e">
        <f t="shared" si="95"/>
        <v>#VALUE!</v>
      </c>
      <c r="I199" s="353" t="e">
        <f t="shared" si="96"/>
        <v>#VALUE!</v>
      </c>
      <c r="J199" s="239"/>
      <c r="K199" s="477" t="str">
        <f t="shared" si="85"/>
        <v/>
      </c>
      <c r="L199" s="246" t="str">
        <f t="shared" si="91"/>
        <v/>
      </c>
      <c r="M199" s="246" t="str">
        <f t="shared" si="92"/>
        <v/>
      </c>
      <c r="N199" s="246" t="str">
        <f t="shared" si="93"/>
        <v/>
      </c>
      <c r="O199" s="69"/>
      <c r="P199" s="69"/>
      <c r="Q199" s="69"/>
      <c r="R199" s="470"/>
      <c r="S199" s="69"/>
      <c r="T199" s="69"/>
      <c r="U199" s="69"/>
      <c r="V199" s="69"/>
      <c r="W199" s="69"/>
      <c r="X199" s="69"/>
      <c r="Y199" s="69"/>
      <c r="Z199" s="69"/>
      <c r="AA199" s="69"/>
      <c r="AB199" s="69"/>
      <c r="AC199" s="69"/>
      <c r="AD199" s="69"/>
      <c r="AE199" s="69"/>
      <c r="AF199" s="69"/>
      <c r="AG199" s="69"/>
      <c r="AH199" s="69"/>
      <c r="AI199" s="69"/>
      <c r="AJ199" s="69"/>
      <c r="AK199" s="193" t="e">
        <f t="shared" si="88"/>
        <v>#VALUE!</v>
      </c>
      <c r="AL199" s="461" t="e">
        <f t="shared" si="61"/>
        <v>#VALUE!</v>
      </c>
      <c r="AM199" s="461" t="e">
        <f t="shared" si="44"/>
        <v>#VALUE!</v>
      </c>
      <c r="AN199" s="194" t="e">
        <f t="shared" si="45"/>
        <v>#VALUE!</v>
      </c>
      <c r="AO199" s="462"/>
      <c r="AP199" s="462"/>
      <c r="AQ199" s="441"/>
    </row>
    <row r="200" spans="2:43" x14ac:dyDescent="0.15">
      <c r="B200" s="354" t="str">
        <f t="shared" si="89"/>
        <v/>
      </c>
      <c r="C200" s="239" t="str">
        <f t="shared" si="94"/>
        <v/>
      </c>
      <c r="D200" s="239" t="str">
        <f t="shared" si="90"/>
        <v/>
      </c>
      <c r="E200" s="248" t="str">
        <f t="shared" si="80"/>
        <v/>
      </c>
      <c r="F200" s="1045" t="str">
        <f t="shared" si="81"/>
        <v/>
      </c>
      <c r="G200" s="184" t="str">
        <f t="shared" si="82"/>
        <v/>
      </c>
      <c r="H200" s="941" t="e">
        <f t="shared" si="95"/>
        <v>#VALUE!</v>
      </c>
      <c r="I200" s="353" t="e">
        <f t="shared" si="96"/>
        <v>#VALUE!</v>
      </c>
      <c r="J200" s="239"/>
      <c r="K200" s="477" t="str">
        <f t="shared" si="85"/>
        <v/>
      </c>
      <c r="L200" s="246" t="str">
        <f t="shared" si="91"/>
        <v/>
      </c>
      <c r="M200" s="246" t="str">
        <f t="shared" si="92"/>
        <v/>
      </c>
      <c r="N200" s="246" t="str">
        <f t="shared" si="93"/>
        <v/>
      </c>
      <c r="O200" s="69"/>
      <c r="P200" s="69"/>
      <c r="Q200" s="69"/>
      <c r="R200" s="470"/>
      <c r="S200" s="69"/>
      <c r="T200" s="69"/>
      <c r="U200" s="69"/>
      <c r="V200" s="69"/>
      <c r="W200" s="69"/>
      <c r="X200" s="69"/>
      <c r="Y200" s="69"/>
      <c r="Z200" s="69"/>
      <c r="AA200" s="69"/>
      <c r="AB200" s="69"/>
      <c r="AC200" s="69"/>
      <c r="AD200" s="69"/>
      <c r="AE200" s="69"/>
      <c r="AF200" s="69"/>
      <c r="AG200" s="69"/>
      <c r="AH200" s="69"/>
      <c r="AI200" s="69"/>
      <c r="AJ200" s="69"/>
      <c r="AK200" s="193" t="e">
        <f t="shared" si="88"/>
        <v>#VALUE!</v>
      </c>
      <c r="AL200" s="461" t="e">
        <f t="shared" si="61"/>
        <v>#VALUE!</v>
      </c>
      <c r="AM200" s="461" t="e">
        <f t="shared" si="44"/>
        <v>#VALUE!</v>
      </c>
      <c r="AN200" s="194" t="e">
        <f t="shared" si="45"/>
        <v>#VALUE!</v>
      </c>
      <c r="AO200" s="462"/>
      <c r="AP200" s="462"/>
      <c r="AQ200" s="441"/>
    </row>
    <row r="201" spans="2:43" x14ac:dyDescent="0.15">
      <c r="B201" s="354" t="str">
        <f t="shared" si="89"/>
        <v/>
      </c>
      <c r="C201" s="239" t="str">
        <f t="shared" si="94"/>
        <v/>
      </c>
      <c r="D201" s="239" t="str">
        <f t="shared" si="90"/>
        <v/>
      </c>
      <c r="E201" s="248" t="str">
        <f t="shared" si="80"/>
        <v/>
      </c>
      <c r="F201" s="1045" t="str">
        <f t="shared" si="81"/>
        <v/>
      </c>
      <c r="G201" s="184" t="str">
        <f t="shared" si="82"/>
        <v/>
      </c>
      <c r="H201" s="941" t="e">
        <f t="shared" si="95"/>
        <v>#VALUE!</v>
      </c>
      <c r="I201" s="353" t="e">
        <f t="shared" si="96"/>
        <v>#VALUE!</v>
      </c>
      <c r="J201" s="239"/>
      <c r="K201" s="477" t="str">
        <f t="shared" si="85"/>
        <v/>
      </c>
      <c r="L201" s="246" t="str">
        <f t="shared" si="91"/>
        <v/>
      </c>
      <c r="M201" s="246" t="str">
        <f t="shared" si="92"/>
        <v/>
      </c>
      <c r="N201" s="246" t="str">
        <f t="shared" si="93"/>
        <v/>
      </c>
      <c r="O201" s="69"/>
      <c r="P201" s="69"/>
      <c r="Q201" s="69"/>
      <c r="R201" s="470"/>
      <c r="S201" s="69"/>
      <c r="T201" s="69"/>
      <c r="U201" s="69"/>
      <c r="V201" s="69"/>
      <c r="W201" s="69"/>
      <c r="X201" s="69"/>
      <c r="Y201" s="69"/>
      <c r="Z201" s="69"/>
      <c r="AA201" s="69"/>
      <c r="AB201" s="69"/>
      <c r="AC201" s="69"/>
      <c r="AD201" s="69"/>
      <c r="AE201" s="69"/>
      <c r="AF201" s="69"/>
      <c r="AG201" s="69"/>
      <c r="AH201" s="69"/>
      <c r="AI201" s="69"/>
      <c r="AJ201" s="69"/>
      <c r="AK201" s="193" t="e">
        <f>+AG10</f>
        <v>#VALUE!</v>
      </c>
      <c r="AL201" s="461" t="e">
        <f t="shared" si="61"/>
        <v>#VALUE!</v>
      </c>
      <c r="AM201" s="461" t="e">
        <f t="shared" si="44"/>
        <v>#VALUE!</v>
      </c>
      <c r="AN201" s="194" t="e">
        <f t="shared" si="45"/>
        <v>#VALUE!</v>
      </c>
      <c r="AO201" s="462"/>
      <c r="AP201" s="462"/>
      <c r="AQ201" s="441"/>
    </row>
    <row r="202" spans="2:43" x14ac:dyDescent="0.15">
      <c r="B202" s="354" t="str">
        <f t="shared" si="89"/>
        <v/>
      </c>
      <c r="C202" s="239" t="str">
        <f t="shared" si="94"/>
        <v/>
      </c>
      <c r="D202" s="239" t="str">
        <f t="shared" si="90"/>
        <v/>
      </c>
      <c r="E202" s="248" t="str">
        <f t="shared" si="80"/>
        <v/>
      </c>
      <c r="F202" s="1045" t="str">
        <f t="shared" si="81"/>
        <v/>
      </c>
      <c r="G202" s="184" t="str">
        <f t="shared" si="82"/>
        <v/>
      </c>
      <c r="H202" s="941" t="e">
        <f t="shared" si="95"/>
        <v>#VALUE!</v>
      </c>
      <c r="I202" s="353" t="e">
        <f t="shared" si="96"/>
        <v>#VALUE!</v>
      </c>
      <c r="J202" s="239"/>
      <c r="K202" s="477" t="str">
        <f t="shared" si="85"/>
        <v/>
      </c>
      <c r="L202" s="246" t="str">
        <f t="shared" si="91"/>
        <v/>
      </c>
      <c r="M202" s="246" t="str">
        <f t="shared" si="92"/>
        <v/>
      </c>
      <c r="N202" s="246" t="str">
        <f t="shared" si="93"/>
        <v/>
      </c>
      <c r="O202" s="69"/>
      <c r="P202" s="69"/>
      <c r="Q202" s="69"/>
      <c r="R202" s="470"/>
      <c r="S202" s="69"/>
      <c r="T202" s="69"/>
      <c r="U202" s="69"/>
      <c r="V202" s="69"/>
      <c r="W202" s="69"/>
      <c r="X202" s="69"/>
      <c r="Y202" s="69"/>
      <c r="Z202" s="69"/>
      <c r="AA202" s="69"/>
      <c r="AB202" s="69"/>
      <c r="AC202" s="69"/>
      <c r="AD202" s="69"/>
      <c r="AE202" s="69"/>
      <c r="AF202" s="69"/>
      <c r="AG202" s="69"/>
      <c r="AH202" s="69"/>
      <c r="AI202" s="69"/>
      <c r="AJ202" s="69"/>
      <c r="AK202" s="193" t="e">
        <f>+AG11</f>
        <v>#VALUE!</v>
      </c>
      <c r="AL202" s="461" t="e">
        <f t="shared" si="61"/>
        <v>#VALUE!</v>
      </c>
      <c r="AM202" s="461" t="e">
        <f t="shared" si="44"/>
        <v>#VALUE!</v>
      </c>
      <c r="AN202" s="194" t="e">
        <f t="shared" si="45"/>
        <v>#VALUE!</v>
      </c>
      <c r="AO202" s="462"/>
      <c r="AP202" s="462"/>
      <c r="AQ202" s="441"/>
    </row>
    <row r="203" spans="2:43" x14ac:dyDescent="0.15">
      <c r="B203" s="354" t="str">
        <f t="shared" si="89"/>
        <v/>
      </c>
      <c r="C203" s="239" t="str">
        <f t="shared" si="94"/>
        <v/>
      </c>
      <c r="D203" s="239" t="str">
        <f t="shared" si="90"/>
        <v/>
      </c>
      <c r="E203" s="248" t="str">
        <f t="shared" si="80"/>
        <v/>
      </c>
      <c r="F203" s="1045" t="str">
        <f t="shared" si="81"/>
        <v/>
      </c>
      <c r="G203" s="184" t="str">
        <f t="shared" si="82"/>
        <v/>
      </c>
      <c r="H203" s="941" t="e">
        <f t="shared" si="95"/>
        <v>#VALUE!</v>
      </c>
      <c r="I203" s="353" t="e">
        <f t="shared" si="96"/>
        <v>#VALUE!</v>
      </c>
      <c r="J203" s="239"/>
      <c r="K203" s="477" t="str">
        <f t="shared" si="85"/>
        <v/>
      </c>
      <c r="L203" s="246" t="str">
        <f t="shared" si="91"/>
        <v/>
      </c>
      <c r="M203" s="246" t="str">
        <f t="shared" si="92"/>
        <v/>
      </c>
      <c r="N203" s="246" t="str">
        <f t="shared" si="93"/>
        <v/>
      </c>
      <c r="O203" s="69"/>
      <c r="P203" s="69"/>
      <c r="Q203" s="69"/>
      <c r="R203" s="470"/>
      <c r="S203" s="69"/>
      <c r="T203" s="69"/>
      <c r="U203" s="69"/>
      <c r="V203" s="69"/>
      <c r="W203" s="69"/>
      <c r="X203" s="69"/>
      <c r="Y203" s="69"/>
      <c r="Z203" s="69"/>
      <c r="AA203" s="69"/>
      <c r="AB203" s="69"/>
      <c r="AC203" s="69"/>
      <c r="AD203" s="69"/>
      <c r="AE203" s="69"/>
      <c r="AF203" s="69"/>
      <c r="AG203" s="69"/>
      <c r="AH203" s="69"/>
      <c r="AI203" s="69"/>
      <c r="AJ203" s="69"/>
      <c r="AK203" s="193" t="e">
        <f t="shared" ref="AK203:AK212" si="97">+AG13</f>
        <v>#VALUE!</v>
      </c>
      <c r="AL203" s="461" t="e">
        <f t="shared" si="61"/>
        <v>#VALUE!</v>
      </c>
      <c r="AM203" s="461" t="e">
        <f t="shared" si="44"/>
        <v>#VALUE!</v>
      </c>
      <c r="AN203" s="194" t="e">
        <f t="shared" si="45"/>
        <v>#VALUE!</v>
      </c>
      <c r="AO203" s="462"/>
      <c r="AP203" s="462"/>
      <c r="AQ203" s="441"/>
    </row>
    <row r="204" spans="2:43" x14ac:dyDescent="0.15">
      <c r="B204" s="354" t="str">
        <f t="shared" si="89"/>
        <v/>
      </c>
      <c r="C204" s="239" t="str">
        <f t="shared" si="94"/>
        <v/>
      </c>
      <c r="D204" s="239" t="str">
        <f t="shared" si="90"/>
        <v/>
      </c>
      <c r="E204" s="248" t="str">
        <f t="shared" si="80"/>
        <v/>
      </c>
      <c r="F204" s="1045" t="str">
        <f t="shared" si="81"/>
        <v/>
      </c>
      <c r="G204" s="184" t="str">
        <f t="shared" si="82"/>
        <v/>
      </c>
      <c r="H204" s="941" t="e">
        <f t="shared" si="95"/>
        <v>#VALUE!</v>
      </c>
      <c r="I204" s="353" t="e">
        <f t="shared" si="96"/>
        <v>#VALUE!</v>
      </c>
      <c r="J204" s="239"/>
      <c r="K204" s="477" t="str">
        <f t="shared" si="85"/>
        <v/>
      </c>
      <c r="L204" s="246" t="str">
        <f t="shared" si="91"/>
        <v/>
      </c>
      <c r="M204" s="246" t="str">
        <f t="shared" si="92"/>
        <v/>
      </c>
      <c r="N204" s="246" t="str">
        <f t="shared" si="93"/>
        <v/>
      </c>
      <c r="O204" s="69"/>
      <c r="P204" s="69"/>
      <c r="Q204" s="69"/>
      <c r="R204" s="470"/>
      <c r="S204" s="69"/>
      <c r="T204" s="69"/>
      <c r="U204" s="69"/>
      <c r="V204" s="69"/>
      <c r="W204" s="69"/>
      <c r="X204" s="69"/>
      <c r="Y204" s="69"/>
      <c r="Z204" s="69"/>
      <c r="AA204" s="69"/>
      <c r="AB204" s="69"/>
      <c r="AC204" s="69"/>
      <c r="AD204" s="69"/>
      <c r="AE204" s="69"/>
      <c r="AF204" s="69"/>
      <c r="AG204" s="69"/>
      <c r="AH204" s="69"/>
      <c r="AI204" s="69"/>
      <c r="AJ204" s="69"/>
      <c r="AK204" s="193" t="e">
        <f t="shared" si="97"/>
        <v>#VALUE!</v>
      </c>
      <c r="AL204" s="461" t="e">
        <f t="shared" si="61"/>
        <v>#VALUE!</v>
      </c>
      <c r="AM204" s="461" t="e">
        <f t="shared" si="44"/>
        <v>#VALUE!</v>
      </c>
      <c r="AN204" s="194" t="e">
        <f t="shared" si="45"/>
        <v>#VALUE!</v>
      </c>
      <c r="AO204" s="462"/>
      <c r="AP204" s="462"/>
      <c r="AQ204" s="441"/>
    </row>
    <row r="205" spans="2:43" x14ac:dyDescent="0.15">
      <c r="B205" s="354" t="str">
        <f t="shared" si="89"/>
        <v/>
      </c>
      <c r="C205" s="239" t="str">
        <f t="shared" si="94"/>
        <v/>
      </c>
      <c r="D205" s="239" t="str">
        <f t="shared" si="90"/>
        <v/>
      </c>
      <c r="E205" s="248" t="str">
        <f t="shared" si="80"/>
        <v/>
      </c>
      <c r="F205" s="1045" t="str">
        <f t="shared" si="81"/>
        <v/>
      </c>
      <c r="G205" s="184" t="str">
        <f t="shared" si="82"/>
        <v/>
      </c>
      <c r="H205" s="941" t="e">
        <f t="shared" si="95"/>
        <v>#VALUE!</v>
      </c>
      <c r="I205" s="353" t="e">
        <f t="shared" si="96"/>
        <v>#VALUE!</v>
      </c>
      <c r="J205" s="239"/>
      <c r="K205" s="477" t="str">
        <f t="shared" si="85"/>
        <v/>
      </c>
      <c r="L205" s="246" t="str">
        <f t="shared" si="91"/>
        <v/>
      </c>
      <c r="M205" s="246" t="str">
        <f t="shared" si="92"/>
        <v/>
      </c>
      <c r="N205" s="246" t="str">
        <f t="shared" si="93"/>
        <v/>
      </c>
      <c r="O205" s="69"/>
      <c r="P205" s="69"/>
      <c r="Q205" s="69"/>
      <c r="R205" s="470"/>
      <c r="S205" s="69"/>
      <c r="T205" s="69"/>
      <c r="U205" s="69"/>
      <c r="V205" s="69"/>
      <c r="W205" s="69"/>
      <c r="X205" s="69"/>
      <c r="Y205" s="69"/>
      <c r="Z205" s="69"/>
      <c r="AA205" s="69"/>
      <c r="AB205" s="69"/>
      <c r="AC205" s="69"/>
      <c r="AD205" s="69"/>
      <c r="AE205" s="69"/>
      <c r="AF205" s="69"/>
      <c r="AG205" s="69"/>
      <c r="AH205" s="69"/>
      <c r="AI205" s="69"/>
      <c r="AJ205" s="69"/>
      <c r="AK205" s="193" t="e">
        <f t="shared" si="97"/>
        <v>#VALUE!</v>
      </c>
      <c r="AL205" s="461" t="e">
        <f t="shared" si="61"/>
        <v>#VALUE!</v>
      </c>
      <c r="AM205" s="461" t="e">
        <f t="shared" si="44"/>
        <v>#VALUE!</v>
      </c>
      <c r="AN205" s="194" t="e">
        <f t="shared" si="45"/>
        <v>#VALUE!</v>
      </c>
      <c r="AO205" s="462"/>
      <c r="AP205" s="462"/>
      <c r="AQ205" s="441"/>
    </row>
    <row r="206" spans="2:43" x14ac:dyDescent="0.15">
      <c r="B206" s="354" t="str">
        <f t="shared" si="89"/>
        <v/>
      </c>
      <c r="C206" s="239" t="str">
        <f t="shared" si="94"/>
        <v/>
      </c>
      <c r="D206" s="239" t="str">
        <f t="shared" si="90"/>
        <v/>
      </c>
      <c r="E206" s="248" t="str">
        <f t="shared" si="80"/>
        <v/>
      </c>
      <c r="F206" s="1045" t="str">
        <f t="shared" si="81"/>
        <v/>
      </c>
      <c r="G206" s="184" t="str">
        <f t="shared" si="82"/>
        <v/>
      </c>
      <c r="H206" s="941" t="e">
        <f t="shared" si="95"/>
        <v>#VALUE!</v>
      </c>
      <c r="I206" s="353" t="e">
        <f t="shared" si="96"/>
        <v>#VALUE!</v>
      </c>
      <c r="J206" s="239"/>
      <c r="K206" s="477" t="str">
        <f t="shared" si="85"/>
        <v/>
      </c>
      <c r="L206" s="246" t="str">
        <f t="shared" si="91"/>
        <v/>
      </c>
      <c r="M206" s="246" t="str">
        <f t="shared" si="92"/>
        <v/>
      </c>
      <c r="N206" s="246" t="str">
        <f t="shared" si="93"/>
        <v/>
      </c>
      <c r="O206" s="69"/>
      <c r="P206" s="69"/>
      <c r="Q206" s="69"/>
      <c r="R206" s="470"/>
      <c r="S206" s="69"/>
      <c r="T206" s="69"/>
      <c r="U206" s="69"/>
      <c r="V206" s="69"/>
      <c r="W206" s="69"/>
      <c r="X206" s="69"/>
      <c r="Y206" s="69"/>
      <c r="Z206" s="69"/>
      <c r="AA206" s="69"/>
      <c r="AB206" s="69"/>
      <c r="AC206" s="69"/>
      <c r="AD206" s="69"/>
      <c r="AE206" s="69"/>
      <c r="AF206" s="69"/>
      <c r="AG206" s="69"/>
      <c r="AH206" s="69"/>
      <c r="AI206" s="69"/>
      <c r="AJ206" s="69"/>
      <c r="AK206" s="193" t="e">
        <f t="shared" si="97"/>
        <v>#VALUE!</v>
      </c>
      <c r="AL206" s="461" t="e">
        <f t="shared" si="61"/>
        <v>#VALUE!</v>
      </c>
      <c r="AM206" s="461" t="e">
        <f t="shared" si="44"/>
        <v>#VALUE!</v>
      </c>
      <c r="AN206" s="194" t="e">
        <f t="shared" si="45"/>
        <v>#VALUE!</v>
      </c>
      <c r="AO206" s="462"/>
      <c r="AP206" s="462"/>
      <c r="AQ206" s="441"/>
    </row>
    <row r="207" spans="2:43" x14ac:dyDescent="0.15">
      <c r="B207" s="354" t="str">
        <f t="shared" si="89"/>
        <v/>
      </c>
      <c r="C207" s="239" t="str">
        <f t="shared" si="94"/>
        <v/>
      </c>
      <c r="D207" s="239" t="str">
        <f t="shared" si="90"/>
        <v/>
      </c>
      <c r="E207" s="248" t="str">
        <f t="shared" si="80"/>
        <v/>
      </c>
      <c r="F207" s="1045" t="str">
        <f t="shared" si="81"/>
        <v/>
      </c>
      <c r="G207" s="184" t="str">
        <f t="shared" si="82"/>
        <v/>
      </c>
      <c r="H207" s="941" t="e">
        <f t="shared" si="95"/>
        <v>#VALUE!</v>
      </c>
      <c r="I207" s="353" t="e">
        <f t="shared" si="96"/>
        <v>#VALUE!</v>
      </c>
      <c r="J207" s="239"/>
      <c r="K207" s="477" t="str">
        <f t="shared" si="85"/>
        <v/>
      </c>
      <c r="L207" s="246" t="str">
        <f t="shared" si="91"/>
        <v/>
      </c>
      <c r="M207" s="246" t="str">
        <f t="shared" si="92"/>
        <v/>
      </c>
      <c r="N207" s="246" t="str">
        <f t="shared" si="93"/>
        <v/>
      </c>
      <c r="O207" s="69"/>
      <c r="P207" s="69"/>
      <c r="Q207" s="69"/>
      <c r="R207" s="470"/>
      <c r="S207" s="69"/>
      <c r="T207" s="69"/>
      <c r="U207" s="69"/>
      <c r="V207" s="69"/>
      <c r="W207" s="69"/>
      <c r="X207" s="69"/>
      <c r="Y207" s="69"/>
      <c r="Z207" s="69"/>
      <c r="AA207" s="69"/>
      <c r="AB207" s="69"/>
      <c r="AC207" s="69"/>
      <c r="AD207" s="69"/>
      <c r="AE207" s="69"/>
      <c r="AF207" s="69"/>
      <c r="AG207" s="69"/>
      <c r="AH207" s="69"/>
      <c r="AI207" s="69"/>
      <c r="AJ207" s="69"/>
      <c r="AK207" s="193" t="e">
        <f t="shared" si="97"/>
        <v>#VALUE!</v>
      </c>
      <c r="AL207" s="461" t="e">
        <f t="shared" si="61"/>
        <v>#VALUE!</v>
      </c>
      <c r="AM207" s="461" t="e">
        <f t="shared" si="44"/>
        <v>#VALUE!</v>
      </c>
      <c r="AN207" s="194" t="e">
        <f t="shared" si="45"/>
        <v>#VALUE!</v>
      </c>
      <c r="AO207" s="462"/>
      <c r="AP207" s="462"/>
      <c r="AQ207" s="441"/>
    </row>
    <row r="208" spans="2:43" x14ac:dyDescent="0.15">
      <c r="B208" s="354" t="str">
        <f t="shared" si="89"/>
        <v/>
      </c>
      <c r="C208" s="239" t="str">
        <f t="shared" si="94"/>
        <v/>
      </c>
      <c r="D208" s="239" t="str">
        <f t="shared" si="90"/>
        <v/>
      </c>
      <c r="E208" s="248" t="str">
        <f t="shared" si="80"/>
        <v/>
      </c>
      <c r="F208" s="1045" t="str">
        <f t="shared" si="81"/>
        <v/>
      </c>
      <c r="G208" s="184" t="str">
        <f t="shared" si="82"/>
        <v/>
      </c>
      <c r="H208" s="941" t="e">
        <f t="shared" si="95"/>
        <v>#VALUE!</v>
      </c>
      <c r="I208" s="353" t="e">
        <f t="shared" si="96"/>
        <v>#VALUE!</v>
      </c>
      <c r="J208" s="239"/>
      <c r="K208" s="477" t="str">
        <f t="shared" si="85"/>
        <v/>
      </c>
      <c r="L208" s="246" t="str">
        <f t="shared" si="91"/>
        <v/>
      </c>
      <c r="M208" s="246" t="str">
        <f t="shared" si="92"/>
        <v/>
      </c>
      <c r="N208" s="246" t="str">
        <f t="shared" si="93"/>
        <v/>
      </c>
      <c r="O208" s="69"/>
      <c r="P208" s="69"/>
      <c r="Q208" s="69"/>
      <c r="R208" s="470"/>
      <c r="S208" s="69"/>
      <c r="T208" s="69"/>
      <c r="U208" s="69"/>
      <c r="V208" s="69"/>
      <c r="W208" s="69"/>
      <c r="X208" s="69"/>
      <c r="Y208" s="69"/>
      <c r="Z208" s="69"/>
      <c r="AA208" s="69"/>
      <c r="AB208" s="69"/>
      <c r="AC208" s="69"/>
      <c r="AD208" s="69"/>
      <c r="AE208" s="69"/>
      <c r="AF208" s="69"/>
      <c r="AG208" s="69"/>
      <c r="AH208" s="69"/>
      <c r="AI208" s="69"/>
      <c r="AJ208" s="69"/>
      <c r="AK208" s="193" t="e">
        <f t="shared" si="97"/>
        <v>#VALUE!</v>
      </c>
      <c r="AL208" s="461" t="e">
        <f t="shared" si="61"/>
        <v>#VALUE!</v>
      </c>
      <c r="AM208" s="461" t="e">
        <f t="shared" si="44"/>
        <v>#VALUE!</v>
      </c>
      <c r="AN208" s="194" t="e">
        <f t="shared" si="45"/>
        <v>#VALUE!</v>
      </c>
      <c r="AO208" s="462"/>
      <c r="AP208" s="462"/>
      <c r="AQ208" s="441"/>
    </row>
    <row r="209" spans="2:43" x14ac:dyDescent="0.15">
      <c r="B209" s="354" t="str">
        <f t="shared" si="89"/>
        <v/>
      </c>
      <c r="C209" s="239" t="str">
        <f t="shared" si="94"/>
        <v/>
      </c>
      <c r="D209" s="239" t="str">
        <f t="shared" si="90"/>
        <v/>
      </c>
      <c r="E209" s="248" t="str">
        <f t="shared" si="80"/>
        <v/>
      </c>
      <c r="F209" s="1045" t="str">
        <f t="shared" si="81"/>
        <v/>
      </c>
      <c r="G209" s="184" t="str">
        <f t="shared" si="82"/>
        <v/>
      </c>
      <c r="H209" s="941" t="e">
        <f t="shared" si="95"/>
        <v>#VALUE!</v>
      </c>
      <c r="I209" s="353" t="e">
        <f t="shared" si="96"/>
        <v>#VALUE!</v>
      </c>
      <c r="J209" s="239"/>
      <c r="K209" s="477" t="str">
        <f t="shared" si="85"/>
        <v/>
      </c>
      <c r="L209" s="246" t="str">
        <f t="shared" si="91"/>
        <v/>
      </c>
      <c r="M209" s="246" t="str">
        <f t="shared" si="92"/>
        <v/>
      </c>
      <c r="N209" s="246" t="str">
        <f t="shared" si="93"/>
        <v/>
      </c>
      <c r="O209" s="69"/>
      <c r="P209" s="69"/>
      <c r="Q209" s="69"/>
      <c r="R209" s="470"/>
      <c r="S209" s="69"/>
      <c r="T209" s="69"/>
      <c r="U209" s="69"/>
      <c r="V209" s="69"/>
      <c r="W209" s="69"/>
      <c r="X209" s="69"/>
      <c r="Y209" s="69"/>
      <c r="Z209" s="69"/>
      <c r="AA209" s="69"/>
      <c r="AB209" s="69"/>
      <c r="AC209" s="69"/>
      <c r="AD209" s="69"/>
      <c r="AE209" s="69"/>
      <c r="AF209" s="69"/>
      <c r="AG209" s="69"/>
      <c r="AH209" s="69"/>
      <c r="AI209" s="69"/>
      <c r="AJ209" s="69"/>
      <c r="AK209" s="193" t="e">
        <f t="shared" si="97"/>
        <v>#VALUE!</v>
      </c>
      <c r="AL209" s="461" t="e">
        <f t="shared" si="61"/>
        <v>#VALUE!</v>
      </c>
      <c r="AM209" s="461" t="e">
        <f t="shared" si="44"/>
        <v>#VALUE!</v>
      </c>
      <c r="AN209" s="194" t="e">
        <f t="shared" si="45"/>
        <v>#VALUE!</v>
      </c>
      <c r="AO209" s="462"/>
      <c r="AP209" s="462"/>
      <c r="AQ209" s="441"/>
    </row>
    <row r="210" spans="2:43" x14ac:dyDescent="0.15">
      <c r="B210" s="354" t="str">
        <f t="shared" si="89"/>
        <v/>
      </c>
      <c r="C210" s="239" t="str">
        <f t="shared" si="94"/>
        <v/>
      </c>
      <c r="D210" s="239" t="str">
        <f t="shared" si="90"/>
        <v/>
      </c>
      <c r="E210" s="248" t="str">
        <f t="shared" si="80"/>
        <v/>
      </c>
      <c r="F210" s="1045" t="str">
        <f t="shared" si="81"/>
        <v/>
      </c>
      <c r="G210" s="184" t="str">
        <f t="shared" si="82"/>
        <v/>
      </c>
      <c r="H210" s="941" t="e">
        <f t="shared" si="95"/>
        <v>#VALUE!</v>
      </c>
      <c r="I210" s="353" t="e">
        <f t="shared" si="96"/>
        <v>#VALUE!</v>
      </c>
      <c r="J210" s="239"/>
      <c r="K210" s="477" t="str">
        <f t="shared" si="85"/>
        <v/>
      </c>
      <c r="L210" s="246" t="str">
        <f t="shared" si="91"/>
        <v/>
      </c>
      <c r="M210" s="246" t="str">
        <f t="shared" si="92"/>
        <v/>
      </c>
      <c r="N210" s="246" t="str">
        <f t="shared" si="93"/>
        <v/>
      </c>
      <c r="O210" s="69"/>
      <c r="P210" s="69"/>
      <c r="Q210" s="69"/>
      <c r="R210" s="470"/>
      <c r="S210" s="69"/>
      <c r="T210" s="69"/>
      <c r="U210" s="69"/>
      <c r="V210" s="69"/>
      <c r="W210" s="69"/>
      <c r="X210" s="69"/>
      <c r="Y210" s="69"/>
      <c r="Z210" s="69"/>
      <c r="AA210" s="69"/>
      <c r="AB210" s="69"/>
      <c r="AC210" s="69"/>
      <c r="AD210" s="69"/>
      <c r="AE210" s="69"/>
      <c r="AF210" s="69"/>
      <c r="AG210" s="69"/>
      <c r="AH210" s="69"/>
      <c r="AI210" s="69"/>
      <c r="AJ210" s="69"/>
      <c r="AK210" s="193" t="e">
        <f t="shared" si="97"/>
        <v>#VALUE!</v>
      </c>
      <c r="AL210" s="461" t="e">
        <f t="shared" si="61"/>
        <v>#VALUE!</v>
      </c>
      <c r="AM210" s="461" t="e">
        <f t="shared" si="44"/>
        <v>#VALUE!</v>
      </c>
      <c r="AN210" s="194" t="e">
        <f t="shared" si="45"/>
        <v>#VALUE!</v>
      </c>
      <c r="AO210" s="462"/>
      <c r="AP210" s="462"/>
      <c r="AQ210" s="441"/>
    </row>
    <row r="211" spans="2:43" x14ac:dyDescent="0.15">
      <c r="B211" s="354" t="str">
        <f t="shared" si="89"/>
        <v/>
      </c>
      <c r="C211" s="239" t="str">
        <f t="shared" si="94"/>
        <v/>
      </c>
      <c r="D211" s="239" t="str">
        <f t="shared" si="90"/>
        <v/>
      </c>
      <c r="E211" s="248" t="str">
        <f t="shared" si="80"/>
        <v/>
      </c>
      <c r="F211" s="1045" t="str">
        <f t="shared" si="81"/>
        <v/>
      </c>
      <c r="G211" s="184" t="str">
        <f t="shared" si="82"/>
        <v/>
      </c>
      <c r="H211" s="941" t="e">
        <f t="shared" si="95"/>
        <v>#VALUE!</v>
      </c>
      <c r="I211" s="353" t="e">
        <f t="shared" si="96"/>
        <v>#VALUE!</v>
      </c>
      <c r="J211" s="239"/>
      <c r="K211" s="477" t="str">
        <f t="shared" si="85"/>
        <v/>
      </c>
      <c r="L211" s="246" t="str">
        <f t="shared" si="91"/>
        <v/>
      </c>
      <c r="M211" s="246" t="str">
        <f t="shared" si="92"/>
        <v/>
      </c>
      <c r="N211" s="246" t="str">
        <f t="shared" si="93"/>
        <v/>
      </c>
      <c r="O211" s="69"/>
      <c r="P211" s="69"/>
      <c r="Q211" s="69"/>
      <c r="R211" s="470"/>
      <c r="S211" s="69"/>
      <c r="T211" s="69"/>
      <c r="U211" s="69"/>
      <c r="V211" s="69"/>
      <c r="W211" s="69"/>
      <c r="X211" s="69"/>
      <c r="Y211" s="69"/>
      <c r="Z211" s="69"/>
      <c r="AA211" s="69"/>
      <c r="AB211" s="69"/>
      <c r="AC211" s="69"/>
      <c r="AD211" s="69"/>
      <c r="AE211" s="69"/>
      <c r="AF211" s="69"/>
      <c r="AG211" s="69"/>
      <c r="AH211" s="69"/>
      <c r="AI211" s="69"/>
      <c r="AJ211" s="69"/>
      <c r="AK211" s="193" t="e">
        <f t="shared" si="97"/>
        <v>#VALUE!</v>
      </c>
      <c r="AL211" s="461" t="e">
        <f t="shared" si="61"/>
        <v>#VALUE!</v>
      </c>
      <c r="AM211" s="461" t="e">
        <f t="shared" si="44"/>
        <v>#VALUE!</v>
      </c>
      <c r="AN211" s="194" t="e">
        <f t="shared" si="45"/>
        <v>#VALUE!</v>
      </c>
      <c r="AO211" s="462"/>
      <c r="AP211" s="462"/>
      <c r="AQ211" s="441"/>
    </row>
    <row r="212" spans="2:43" x14ac:dyDescent="0.15">
      <c r="B212" s="354" t="str">
        <f t="shared" si="89"/>
        <v/>
      </c>
      <c r="C212" s="239" t="str">
        <f t="shared" si="94"/>
        <v/>
      </c>
      <c r="D212" s="239" t="str">
        <f t="shared" si="90"/>
        <v/>
      </c>
      <c r="E212" s="248" t="str">
        <f t="shared" si="80"/>
        <v/>
      </c>
      <c r="F212" s="1045" t="str">
        <f t="shared" si="81"/>
        <v/>
      </c>
      <c r="G212" s="184" t="str">
        <f t="shared" si="82"/>
        <v/>
      </c>
      <c r="H212" s="941" t="e">
        <f t="shared" si="95"/>
        <v>#VALUE!</v>
      </c>
      <c r="I212" s="353" t="e">
        <f t="shared" si="96"/>
        <v>#VALUE!</v>
      </c>
      <c r="J212" s="239"/>
      <c r="K212" s="477" t="str">
        <f t="shared" si="85"/>
        <v/>
      </c>
      <c r="L212" s="246" t="str">
        <f t="shared" si="91"/>
        <v/>
      </c>
      <c r="M212" s="246" t="str">
        <f t="shared" si="92"/>
        <v/>
      </c>
      <c r="N212" s="246" t="str">
        <f t="shared" si="93"/>
        <v/>
      </c>
      <c r="O212" s="69"/>
      <c r="P212" s="69"/>
      <c r="Q212" s="69"/>
      <c r="R212" s="470"/>
      <c r="S212" s="69"/>
      <c r="T212" s="69"/>
      <c r="U212" s="69"/>
      <c r="V212" s="69"/>
      <c r="W212" s="69"/>
      <c r="X212" s="69"/>
      <c r="Y212" s="69"/>
      <c r="Z212" s="69"/>
      <c r="AA212" s="69"/>
      <c r="AB212" s="69"/>
      <c r="AC212" s="69"/>
      <c r="AD212" s="69"/>
      <c r="AE212" s="69"/>
      <c r="AF212" s="69"/>
      <c r="AG212" s="69"/>
      <c r="AH212" s="69"/>
      <c r="AI212" s="69"/>
      <c r="AJ212" s="69"/>
      <c r="AK212" s="193" t="e">
        <f t="shared" si="97"/>
        <v>#VALUE!</v>
      </c>
      <c r="AL212" s="461" t="e">
        <f t="shared" si="61"/>
        <v>#VALUE!</v>
      </c>
      <c r="AM212" s="461" t="e">
        <f t="shared" si="44"/>
        <v>#VALUE!</v>
      </c>
      <c r="AN212" s="194" t="e">
        <f t="shared" si="45"/>
        <v>#VALUE!</v>
      </c>
      <c r="AO212" s="462"/>
      <c r="AP212" s="462"/>
      <c r="AQ212" s="441"/>
    </row>
    <row r="213" spans="2:43" x14ac:dyDescent="0.15">
      <c r="B213" s="354" t="str">
        <f t="shared" si="89"/>
        <v/>
      </c>
      <c r="C213" s="239" t="str">
        <f t="shared" si="94"/>
        <v/>
      </c>
      <c r="D213" s="239" t="str">
        <f t="shared" si="90"/>
        <v/>
      </c>
      <c r="E213" s="248" t="str">
        <f t="shared" si="80"/>
        <v/>
      </c>
      <c r="F213" s="1045" t="str">
        <f t="shared" si="81"/>
        <v/>
      </c>
      <c r="G213" s="184" t="str">
        <f t="shared" si="82"/>
        <v/>
      </c>
      <c r="H213" s="941" t="e">
        <f t="shared" si="95"/>
        <v>#VALUE!</v>
      </c>
      <c r="I213" s="353" t="e">
        <f t="shared" si="96"/>
        <v>#VALUE!</v>
      </c>
      <c r="J213" s="239"/>
      <c r="K213" s="477" t="str">
        <f t="shared" si="85"/>
        <v/>
      </c>
      <c r="L213" s="246" t="str">
        <f t="shared" si="91"/>
        <v/>
      </c>
      <c r="M213" s="246" t="str">
        <f t="shared" si="92"/>
        <v/>
      </c>
      <c r="N213" s="246" t="str">
        <f t="shared" si="93"/>
        <v/>
      </c>
      <c r="O213" s="69"/>
      <c r="P213" s="69"/>
      <c r="Q213" s="69"/>
      <c r="R213" s="470"/>
      <c r="S213" s="69"/>
      <c r="T213" s="69"/>
      <c r="U213" s="69"/>
      <c r="V213" s="69"/>
      <c r="W213" s="69"/>
      <c r="X213" s="69"/>
      <c r="Y213" s="69"/>
      <c r="Z213" s="69"/>
      <c r="AA213" s="69"/>
      <c r="AB213" s="69"/>
      <c r="AC213" s="69"/>
      <c r="AD213" s="69"/>
      <c r="AE213" s="69"/>
      <c r="AF213" s="69"/>
      <c r="AG213" s="69"/>
      <c r="AH213" s="69"/>
      <c r="AI213" s="69"/>
      <c r="AJ213" s="69"/>
      <c r="AK213" s="193" t="e">
        <f>+AH10</f>
        <v>#VALUE!</v>
      </c>
      <c r="AL213" s="461" t="e">
        <f t="shared" si="61"/>
        <v>#VALUE!</v>
      </c>
      <c r="AM213" s="461" t="e">
        <f t="shared" si="44"/>
        <v>#VALUE!</v>
      </c>
      <c r="AN213" s="194" t="e">
        <f t="shared" si="45"/>
        <v>#VALUE!</v>
      </c>
      <c r="AO213" s="462"/>
      <c r="AP213" s="462"/>
      <c r="AQ213" s="441"/>
    </row>
    <row r="214" spans="2:43" x14ac:dyDescent="0.15">
      <c r="B214" s="354" t="str">
        <f t="shared" si="89"/>
        <v/>
      </c>
      <c r="C214" s="239" t="str">
        <f t="shared" si="94"/>
        <v/>
      </c>
      <c r="D214" s="239" t="str">
        <f t="shared" si="90"/>
        <v/>
      </c>
      <c r="E214" s="248" t="str">
        <f t="shared" si="80"/>
        <v/>
      </c>
      <c r="F214" s="1045" t="str">
        <f t="shared" si="81"/>
        <v/>
      </c>
      <c r="G214" s="184" t="str">
        <f t="shared" si="82"/>
        <v/>
      </c>
      <c r="H214" s="941" t="e">
        <f t="shared" si="95"/>
        <v>#VALUE!</v>
      </c>
      <c r="I214" s="353" t="e">
        <f t="shared" si="96"/>
        <v>#VALUE!</v>
      </c>
      <c r="J214" s="239"/>
      <c r="K214" s="477" t="str">
        <f t="shared" si="85"/>
        <v/>
      </c>
      <c r="L214" s="246" t="str">
        <f t="shared" si="91"/>
        <v/>
      </c>
      <c r="M214" s="246" t="str">
        <f t="shared" si="92"/>
        <v/>
      </c>
      <c r="N214" s="246" t="str">
        <f t="shared" si="93"/>
        <v/>
      </c>
      <c r="O214" s="69"/>
      <c r="P214" s="69"/>
      <c r="Q214" s="69"/>
      <c r="R214" s="470"/>
      <c r="S214" s="69"/>
      <c r="T214" s="69"/>
      <c r="U214" s="69"/>
      <c r="V214" s="69"/>
      <c r="W214" s="69"/>
      <c r="X214" s="69"/>
      <c r="Y214" s="69"/>
      <c r="Z214" s="69"/>
      <c r="AA214" s="69"/>
      <c r="AB214" s="69"/>
      <c r="AC214" s="69"/>
      <c r="AD214" s="69"/>
      <c r="AE214" s="69"/>
      <c r="AF214" s="69"/>
      <c r="AG214" s="69"/>
      <c r="AH214" s="69"/>
      <c r="AI214" s="69"/>
      <c r="AJ214" s="69"/>
      <c r="AK214" s="193" t="e">
        <f>+AH11</f>
        <v>#VALUE!</v>
      </c>
      <c r="AL214" s="461" t="e">
        <f t="shared" si="61"/>
        <v>#VALUE!</v>
      </c>
      <c r="AM214" s="461" t="e">
        <f t="shared" si="44"/>
        <v>#VALUE!</v>
      </c>
      <c r="AN214" s="194" t="e">
        <f t="shared" si="45"/>
        <v>#VALUE!</v>
      </c>
      <c r="AO214" s="462"/>
      <c r="AP214" s="462"/>
      <c r="AQ214" s="441"/>
    </row>
    <row r="215" spans="2:43" x14ac:dyDescent="0.15">
      <c r="B215" s="354" t="str">
        <f t="shared" si="89"/>
        <v/>
      </c>
      <c r="C215" s="239" t="str">
        <f t="shared" si="94"/>
        <v/>
      </c>
      <c r="D215" s="239" t="str">
        <f t="shared" si="90"/>
        <v/>
      </c>
      <c r="E215" s="248" t="str">
        <f t="shared" si="80"/>
        <v/>
      </c>
      <c r="F215" s="1045" t="str">
        <f t="shared" si="81"/>
        <v/>
      </c>
      <c r="G215" s="184" t="str">
        <f t="shared" si="82"/>
        <v/>
      </c>
      <c r="H215" s="941" t="e">
        <f t="shared" si="95"/>
        <v>#VALUE!</v>
      </c>
      <c r="I215" s="353" t="e">
        <f t="shared" si="96"/>
        <v>#VALUE!</v>
      </c>
      <c r="J215" s="239"/>
      <c r="K215" s="477" t="str">
        <f t="shared" si="85"/>
        <v/>
      </c>
      <c r="L215" s="246" t="str">
        <f t="shared" si="91"/>
        <v/>
      </c>
      <c r="M215" s="246" t="str">
        <f t="shared" si="92"/>
        <v/>
      </c>
      <c r="N215" s="246" t="str">
        <f t="shared" si="93"/>
        <v/>
      </c>
      <c r="O215" s="69"/>
      <c r="P215" s="69"/>
      <c r="Q215" s="69"/>
      <c r="R215" s="470"/>
      <c r="S215" s="69"/>
      <c r="T215" s="69"/>
      <c r="U215" s="69"/>
      <c r="V215" s="69"/>
      <c r="W215" s="69"/>
      <c r="X215" s="69"/>
      <c r="Y215" s="69"/>
      <c r="Z215" s="69"/>
      <c r="AA215" s="69"/>
      <c r="AB215" s="69"/>
      <c r="AC215" s="69"/>
      <c r="AD215" s="69"/>
      <c r="AE215" s="69"/>
      <c r="AF215" s="69"/>
      <c r="AG215" s="69"/>
      <c r="AH215" s="69"/>
      <c r="AI215" s="69"/>
      <c r="AJ215" s="69"/>
      <c r="AK215" s="193" t="e">
        <f t="shared" ref="AK215:AK224" si="98">+AH13</f>
        <v>#VALUE!</v>
      </c>
      <c r="AL215" s="461" t="e">
        <f t="shared" si="61"/>
        <v>#VALUE!</v>
      </c>
      <c r="AM215" s="461" t="e">
        <f t="shared" si="44"/>
        <v>#VALUE!</v>
      </c>
      <c r="AN215" s="194" t="e">
        <f t="shared" si="45"/>
        <v>#VALUE!</v>
      </c>
      <c r="AO215" s="462"/>
      <c r="AP215" s="462"/>
      <c r="AQ215" s="441"/>
    </row>
    <row r="216" spans="2:43" x14ac:dyDescent="0.15">
      <c r="B216" s="355" t="str">
        <f t="shared" si="89"/>
        <v/>
      </c>
      <c r="C216" s="356" t="str">
        <f t="shared" si="94"/>
        <v/>
      </c>
      <c r="D216" s="356" t="str">
        <f t="shared" si="90"/>
        <v/>
      </c>
      <c r="E216" s="248" t="str">
        <f t="shared" si="80"/>
        <v/>
      </c>
      <c r="F216" s="1045" t="str">
        <f t="shared" si="81"/>
        <v/>
      </c>
      <c r="G216" s="184" t="str">
        <f t="shared" si="82"/>
        <v/>
      </c>
      <c r="H216" s="342" t="e">
        <f t="shared" si="95"/>
        <v>#VALUE!</v>
      </c>
      <c r="I216" s="357" t="e">
        <f t="shared" si="96"/>
        <v>#VALUE!</v>
      </c>
      <c r="J216" s="239"/>
      <c r="K216" s="477" t="str">
        <f t="shared" si="85"/>
        <v/>
      </c>
      <c r="L216" s="246" t="str">
        <f t="shared" si="91"/>
        <v/>
      </c>
      <c r="M216" s="246" t="str">
        <f t="shared" si="92"/>
        <v/>
      </c>
      <c r="N216" s="246" t="str">
        <f t="shared" si="93"/>
        <v/>
      </c>
      <c r="O216" s="69"/>
      <c r="P216" s="69"/>
      <c r="Q216" s="69"/>
      <c r="R216" s="470"/>
      <c r="S216" s="69"/>
      <c r="T216" s="69"/>
      <c r="U216" s="69"/>
      <c r="V216" s="69"/>
      <c r="W216" s="69"/>
      <c r="X216" s="69"/>
      <c r="Y216" s="69"/>
      <c r="Z216" s="69"/>
      <c r="AA216" s="69"/>
      <c r="AB216" s="69"/>
      <c r="AC216" s="69"/>
      <c r="AD216" s="69"/>
      <c r="AE216" s="69"/>
      <c r="AF216" s="69"/>
      <c r="AG216" s="69"/>
      <c r="AH216" s="69"/>
      <c r="AI216" s="69"/>
      <c r="AJ216" s="69"/>
      <c r="AK216" s="193" t="e">
        <f t="shared" si="98"/>
        <v>#VALUE!</v>
      </c>
      <c r="AL216" s="461" t="e">
        <f t="shared" si="61"/>
        <v>#VALUE!</v>
      </c>
      <c r="AM216" s="461" t="e">
        <f t="shared" si="44"/>
        <v>#VALUE!</v>
      </c>
      <c r="AN216" s="194" t="e">
        <f t="shared" si="45"/>
        <v>#VALUE!</v>
      </c>
      <c r="AO216" s="462"/>
      <c r="AP216" s="462"/>
      <c r="AQ216" s="441"/>
    </row>
    <row r="217" spans="2:43" x14ac:dyDescent="0.15">
      <c r="B217" s="358"/>
      <c r="C217" s="335"/>
      <c r="D217" s="335"/>
      <c r="E217" s="350"/>
      <c r="F217" s="350"/>
      <c r="G217" s="350"/>
      <c r="H217" s="350"/>
      <c r="I217" s="359"/>
      <c r="J217" s="239"/>
      <c r="K217" s="475"/>
      <c r="L217" s="438"/>
      <c r="M217" s="246">
        <f t="shared" si="92"/>
        <v>0</v>
      </c>
      <c r="N217" s="246" t="str">
        <f t="shared" si="93"/>
        <v/>
      </c>
      <c r="O217" s="69"/>
      <c r="P217" s="69"/>
      <c r="Q217" s="69"/>
      <c r="R217" s="470"/>
      <c r="S217" s="69"/>
      <c r="T217" s="69"/>
      <c r="U217" s="69"/>
      <c r="V217" s="69"/>
      <c r="W217" s="69"/>
      <c r="X217" s="69"/>
      <c r="Y217" s="69"/>
      <c r="Z217" s="69"/>
      <c r="AA217" s="69"/>
      <c r="AB217" s="69"/>
      <c r="AC217" s="69"/>
      <c r="AD217" s="69"/>
      <c r="AE217" s="69"/>
      <c r="AF217" s="69"/>
      <c r="AG217" s="69"/>
      <c r="AH217" s="69"/>
      <c r="AI217" s="69"/>
      <c r="AJ217" s="69"/>
      <c r="AK217" s="193" t="e">
        <f t="shared" si="98"/>
        <v>#VALUE!</v>
      </c>
      <c r="AL217" s="461" t="e">
        <f t="shared" si="61"/>
        <v>#VALUE!</v>
      </c>
      <c r="AM217" s="461" t="e">
        <f t="shared" si="44"/>
        <v>#VALUE!</v>
      </c>
      <c r="AN217" s="194" t="e">
        <f t="shared" si="45"/>
        <v>#VALUE!</v>
      </c>
      <c r="AO217" s="462"/>
      <c r="AP217" s="462"/>
      <c r="AQ217" s="441"/>
    </row>
    <row r="218" spans="2:43" x14ac:dyDescent="0.15">
      <c r="B218" s="354"/>
      <c r="C218" s="239"/>
      <c r="D218" s="239"/>
      <c r="E218" s="941"/>
      <c r="G218" s="941"/>
      <c r="H218" s="941"/>
      <c r="I218" s="353"/>
      <c r="J218" s="239"/>
      <c r="K218" s="475"/>
      <c r="L218" s="438"/>
      <c r="M218" s="246">
        <f t="shared" si="92"/>
        <v>0</v>
      </c>
      <c r="N218" s="246" t="str">
        <f t="shared" si="93"/>
        <v/>
      </c>
      <c r="O218" s="69"/>
      <c r="P218" s="69"/>
      <c r="Q218" s="69"/>
      <c r="R218" s="470"/>
      <c r="S218" s="69"/>
      <c r="T218" s="69"/>
      <c r="U218" s="69"/>
      <c r="V218" s="69"/>
      <c r="W218" s="69"/>
      <c r="X218" s="69"/>
      <c r="Y218" s="69"/>
      <c r="Z218" s="69"/>
      <c r="AA218" s="69"/>
      <c r="AB218" s="69"/>
      <c r="AC218" s="69"/>
      <c r="AD218" s="69"/>
      <c r="AE218" s="69"/>
      <c r="AF218" s="69"/>
      <c r="AG218" s="69"/>
      <c r="AH218" s="69"/>
      <c r="AI218" s="69"/>
      <c r="AJ218" s="69"/>
      <c r="AK218" s="193" t="e">
        <f t="shared" si="98"/>
        <v>#VALUE!</v>
      </c>
      <c r="AL218" s="461" t="e">
        <f t="shared" si="61"/>
        <v>#VALUE!</v>
      </c>
      <c r="AM218" s="461" t="e">
        <f t="shared" si="44"/>
        <v>#VALUE!</v>
      </c>
      <c r="AN218" s="194" t="e">
        <f t="shared" si="45"/>
        <v>#VALUE!</v>
      </c>
      <c r="AO218" s="462"/>
      <c r="AP218" s="462"/>
      <c r="AQ218" s="441"/>
    </row>
    <row r="219" spans="2:43" x14ac:dyDescent="0.15">
      <c r="B219" s="337" t="s">
        <v>178</v>
      </c>
      <c r="C219" s="239"/>
      <c r="D219" s="239" t="str">
        <f>+'Refinanszírozási kérelem'!BO323</f>
        <v/>
      </c>
      <c r="E219" s="941"/>
      <c r="G219" s="941"/>
      <c r="H219" s="941"/>
      <c r="I219" s="341"/>
      <c r="J219" s="239"/>
      <c r="K219" s="475"/>
      <c r="L219" s="438"/>
      <c r="M219" s="246">
        <f t="shared" si="92"/>
        <v>0</v>
      </c>
      <c r="N219" s="246" t="str">
        <f t="shared" si="93"/>
        <v/>
      </c>
      <c r="O219" s="69"/>
      <c r="P219" s="69"/>
      <c r="Q219" s="69"/>
      <c r="R219" s="470"/>
      <c r="S219" s="69"/>
      <c r="T219" s="69"/>
      <c r="U219" s="69"/>
      <c r="V219" s="69"/>
      <c r="W219" s="69"/>
      <c r="X219" s="69"/>
      <c r="Y219" s="69"/>
      <c r="Z219" s="69"/>
      <c r="AA219" s="69"/>
      <c r="AB219" s="69"/>
      <c r="AC219" s="69"/>
      <c r="AD219" s="69"/>
      <c r="AE219" s="69"/>
      <c r="AF219" s="69"/>
      <c r="AG219" s="69"/>
      <c r="AH219" s="69"/>
      <c r="AI219" s="69"/>
      <c r="AJ219" s="69"/>
      <c r="AK219" s="193" t="e">
        <f t="shared" si="98"/>
        <v>#VALUE!</v>
      </c>
      <c r="AL219" s="461" t="e">
        <f t="shared" si="61"/>
        <v>#VALUE!</v>
      </c>
      <c r="AM219" s="461" t="e">
        <f t="shared" si="44"/>
        <v>#VALUE!</v>
      </c>
      <c r="AN219" s="194" t="e">
        <f t="shared" si="45"/>
        <v>#VALUE!</v>
      </c>
      <c r="AO219" s="462"/>
      <c r="AP219" s="462"/>
      <c r="AQ219" s="441"/>
    </row>
    <row r="220" spans="2:43" x14ac:dyDescent="0.15">
      <c r="B220" s="354"/>
      <c r="C220" s="239"/>
      <c r="D220" s="239"/>
      <c r="E220" s="941"/>
      <c r="G220" s="941"/>
      <c r="H220" s="941"/>
      <c r="I220" s="353"/>
      <c r="J220" s="239"/>
      <c r="K220" s="475"/>
      <c r="L220" s="438"/>
      <c r="M220" s="246">
        <f t="shared" si="92"/>
        <v>0</v>
      </c>
      <c r="N220" s="246" t="str">
        <f t="shared" si="93"/>
        <v/>
      </c>
      <c r="O220" s="69"/>
      <c r="P220" s="69"/>
      <c r="Q220" s="69"/>
      <c r="R220" s="470"/>
      <c r="S220" s="69"/>
      <c r="T220" s="69"/>
      <c r="U220" s="69"/>
      <c r="V220" s="69"/>
      <c r="W220" s="69"/>
      <c r="X220" s="69"/>
      <c r="Y220" s="69"/>
      <c r="Z220" s="69"/>
      <c r="AA220" s="69"/>
      <c r="AB220" s="69"/>
      <c r="AC220" s="69"/>
      <c r="AD220" s="69"/>
      <c r="AE220" s="69"/>
      <c r="AF220" s="69"/>
      <c r="AG220" s="69"/>
      <c r="AH220" s="69"/>
      <c r="AI220" s="69"/>
      <c r="AJ220" s="69"/>
      <c r="AK220" s="193" t="e">
        <f t="shared" si="98"/>
        <v>#VALUE!</v>
      </c>
      <c r="AL220" s="461" t="e">
        <f t="shared" si="61"/>
        <v>#VALUE!</v>
      </c>
      <c r="AM220" s="461" t="e">
        <f t="shared" si="44"/>
        <v>#VALUE!</v>
      </c>
      <c r="AN220" s="194" t="e">
        <f t="shared" si="45"/>
        <v>#VALUE!</v>
      </c>
      <c r="AO220" s="462"/>
      <c r="AP220" s="462"/>
      <c r="AQ220" s="441"/>
    </row>
    <row r="221" spans="2:43" x14ac:dyDescent="0.15">
      <c r="B221" s="354"/>
      <c r="C221" s="239"/>
      <c r="D221" s="238"/>
      <c r="E221" s="177"/>
      <c r="F221" s="177"/>
      <c r="G221" s="177"/>
      <c r="H221" s="177"/>
      <c r="I221" s="1123"/>
      <c r="J221" s="239"/>
      <c r="K221" s="185"/>
      <c r="L221" s="438"/>
      <c r="M221" s="246">
        <f t="shared" si="92"/>
        <v>0</v>
      </c>
      <c r="N221" s="246" t="str">
        <f t="shared" si="93"/>
        <v/>
      </c>
      <c r="O221" s="69"/>
      <c r="P221" s="69"/>
      <c r="Q221" s="69"/>
      <c r="R221" s="470"/>
      <c r="S221" s="69"/>
      <c r="T221" s="69"/>
      <c r="U221" s="69"/>
      <c r="V221" s="69"/>
      <c r="W221" s="69"/>
      <c r="X221" s="69"/>
      <c r="Y221" s="69"/>
      <c r="Z221" s="69"/>
      <c r="AA221" s="69"/>
      <c r="AB221" s="69"/>
      <c r="AC221" s="69"/>
      <c r="AD221" s="69"/>
      <c r="AE221" s="69"/>
      <c r="AF221" s="69"/>
      <c r="AG221" s="69"/>
      <c r="AH221" s="69"/>
      <c r="AI221" s="69"/>
      <c r="AJ221" s="69"/>
      <c r="AK221" s="193" t="e">
        <f t="shared" si="98"/>
        <v>#VALUE!</v>
      </c>
      <c r="AL221" s="461" t="e">
        <f t="shared" si="61"/>
        <v>#VALUE!</v>
      </c>
      <c r="AM221" s="461" t="e">
        <f t="shared" si="44"/>
        <v>#VALUE!</v>
      </c>
      <c r="AN221" s="194" t="e">
        <f t="shared" si="45"/>
        <v>#VALUE!</v>
      </c>
      <c r="AO221" s="462"/>
      <c r="AP221" s="462"/>
      <c r="AQ221" s="441"/>
    </row>
    <row r="222" spans="2:43" ht="15.75" customHeight="1" x14ac:dyDescent="0.15">
      <c r="B222" s="354"/>
      <c r="C222" s="239"/>
      <c r="D222" s="238"/>
      <c r="E222" s="1453" t="str">
        <f>IF(Finanszirozo="","",Finanszirozo)</f>
        <v/>
      </c>
      <c r="F222" s="1453"/>
      <c r="G222" s="1453"/>
      <c r="H222" s="1453"/>
      <c r="I222" s="1454"/>
      <c r="J222" s="239"/>
      <c r="K222" s="477"/>
      <c r="L222" s="438"/>
      <c r="M222" s="246">
        <f t="shared" si="92"/>
        <v>0</v>
      </c>
      <c r="N222" s="438"/>
      <c r="O222" s="69"/>
      <c r="P222" s="69"/>
      <c r="Q222" s="69"/>
      <c r="R222" s="470"/>
      <c r="S222" s="69"/>
      <c r="T222" s="69"/>
      <c r="U222" s="69"/>
      <c r="V222" s="69"/>
      <c r="W222" s="69"/>
      <c r="X222" s="69"/>
      <c r="Y222" s="69"/>
      <c r="Z222" s="69"/>
      <c r="AA222" s="69"/>
      <c r="AB222" s="69"/>
      <c r="AC222" s="69"/>
      <c r="AD222" s="69"/>
      <c r="AE222" s="69"/>
      <c r="AF222" s="69"/>
      <c r="AG222" s="69"/>
      <c r="AH222" s="69"/>
      <c r="AI222" s="69"/>
      <c r="AJ222" s="69"/>
      <c r="AK222" s="193" t="e">
        <f t="shared" si="98"/>
        <v>#VALUE!</v>
      </c>
      <c r="AL222" s="461" t="e">
        <f t="shared" si="61"/>
        <v>#VALUE!</v>
      </c>
      <c r="AM222" s="461" t="e">
        <f t="shared" si="44"/>
        <v>#VALUE!</v>
      </c>
      <c r="AN222" s="194" t="e">
        <f t="shared" si="45"/>
        <v>#VALUE!</v>
      </c>
      <c r="AO222" s="462"/>
      <c r="AP222" s="462"/>
      <c r="AQ222" s="441"/>
    </row>
    <row r="223" spans="2:43" x14ac:dyDescent="0.15">
      <c r="B223" s="354"/>
      <c r="C223" s="239"/>
      <c r="D223" s="239"/>
      <c r="E223" s="941"/>
      <c r="G223" s="941"/>
      <c r="H223" s="941"/>
      <c r="I223" s="353"/>
      <c r="J223" s="239"/>
      <c r="K223" s="475"/>
      <c r="L223" s="438"/>
      <c r="M223" s="438"/>
      <c r="N223" s="438"/>
      <c r="O223" s="69"/>
      <c r="P223" s="69"/>
      <c r="Q223" s="69"/>
      <c r="R223" s="470"/>
      <c r="S223" s="69"/>
      <c r="T223" s="69"/>
      <c r="U223" s="69"/>
      <c r="V223" s="69"/>
      <c r="W223" s="69"/>
      <c r="X223" s="69"/>
      <c r="Y223" s="69"/>
      <c r="Z223" s="69"/>
      <c r="AA223" s="69"/>
      <c r="AB223" s="69"/>
      <c r="AC223" s="69"/>
      <c r="AD223" s="69"/>
      <c r="AE223" s="69"/>
      <c r="AF223" s="69"/>
      <c r="AG223" s="69"/>
      <c r="AH223" s="69"/>
      <c r="AI223" s="69"/>
      <c r="AJ223" s="69"/>
      <c r="AK223" s="193" t="e">
        <f t="shared" si="98"/>
        <v>#VALUE!</v>
      </c>
      <c r="AL223" s="461" t="e">
        <f t="shared" si="61"/>
        <v>#VALUE!</v>
      </c>
      <c r="AM223" s="461" t="e">
        <f t="shared" si="44"/>
        <v>#VALUE!</v>
      </c>
      <c r="AN223" s="194" t="e">
        <f t="shared" si="45"/>
        <v>#VALUE!</v>
      </c>
      <c r="AO223" s="462"/>
      <c r="AP223" s="462"/>
      <c r="AQ223" s="441"/>
    </row>
    <row r="224" spans="2:43" x14ac:dyDescent="0.15">
      <c r="B224" s="967"/>
      <c r="C224" s="239"/>
      <c r="D224" s="239"/>
      <c r="E224" s="941"/>
      <c r="G224" s="941"/>
      <c r="H224" s="941"/>
      <c r="I224" s="353"/>
      <c r="J224" s="239"/>
      <c r="K224" s="475"/>
      <c r="L224" s="438"/>
      <c r="M224" s="438"/>
      <c r="N224" s="438"/>
      <c r="O224" s="69"/>
      <c r="P224" s="69"/>
      <c r="Q224" s="69"/>
      <c r="R224" s="470"/>
      <c r="S224" s="69"/>
      <c r="T224" s="69"/>
      <c r="U224" s="69"/>
      <c r="V224" s="69"/>
      <c r="W224" s="69"/>
      <c r="X224" s="69"/>
      <c r="Y224" s="69"/>
      <c r="Z224" s="69"/>
      <c r="AA224" s="69"/>
      <c r="AB224" s="69"/>
      <c r="AC224" s="69"/>
      <c r="AD224" s="69"/>
      <c r="AE224" s="69"/>
      <c r="AF224" s="69"/>
      <c r="AG224" s="69"/>
      <c r="AH224" s="69"/>
      <c r="AI224" s="69"/>
      <c r="AJ224" s="69"/>
      <c r="AK224" s="193" t="e">
        <f t="shared" si="98"/>
        <v>#VALUE!</v>
      </c>
      <c r="AL224" s="461" t="e">
        <f t="shared" si="61"/>
        <v>#VALUE!</v>
      </c>
      <c r="AM224" s="461" t="e">
        <f t="shared" si="44"/>
        <v>#VALUE!</v>
      </c>
      <c r="AN224" s="194" t="e">
        <f t="shared" si="45"/>
        <v>#VALUE!</v>
      </c>
      <c r="AO224" s="462"/>
      <c r="AP224" s="462"/>
      <c r="AQ224" s="441"/>
    </row>
    <row r="225" spans="2:43" ht="14" x14ac:dyDescent="0.15">
      <c r="B225" s="968"/>
      <c r="C225" s="239"/>
      <c r="D225" s="239"/>
      <c r="E225" s="941"/>
      <c r="G225" s="941"/>
      <c r="H225" s="941"/>
      <c r="I225" s="353"/>
      <c r="J225" s="239"/>
      <c r="K225" s="475"/>
      <c r="L225" s="438"/>
      <c r="M225" s="438"/>
      <c r="N225" s="438"/>
      <c r="O225" s="69"/>
      <c r="P225" s="69"/>
      <c r="Q225" s="69"/>
      <c r="R225" s="470"/>
      <c r="S225" s="69"/>
      <c r="T225" s="69"/>
      <c r="U225" s="69"/>
      <c r="V225" s="69"/>
      <c r="W225" s="69"/>
      <c r="X225" s="69"/>
      <c r="Y225" s="69"/>
      <c r="Z225" s="69"/>
      <c r="AA225" s="69"/>
      <c r="AB225" s="69"/>
      <c r="AC225" s="69"/>
      <c r="AD225" s="69"/>
      <c r="AE225" s="69"/>
      <c r="AF225" s="69"/>
      <c r="AG225" s="69"/>
      <c r="AH225" s="69"/>
      <c r="AI225" s="69"/>
      <c r="AJ225" s="69"/>
      <c r="AK225" s="193" t="e">
        <f>+AI10</f>
        <v>#VALUE!</v>
      </c>
      <c r="AL225" s="461" t="e">
        <f t="shared" si="61"/>
        <v>#VALUE!</v>
      </c>
      <c r="AM225" s="461" t="e">
        <f t="shared" si="44"/>
        <v>#VALUE!</v>
      </c>
      <c r="AN225" s="194" t="e">
        <f t="shared" si="45"/>
        <v>#VALUE!</v>
      </c>
      <c r="AO225" s="462"/>
      <c r="AP225" s="462"/>
      <c r="AQ225" s="441"/>
    </row>
    <row r="226" spans="2:43" x14ac:dyDescent="0.15">
      <c r="B226" s="354"/>
      <c r="C226" s="239"/>
      <c r="D226" s="239"/>
      <c r="E226" s="941"/>
      <c r="G226" s="941"/>
      <c r="H226" s="941"/>
      <c r="I226" s="353"/>
      <c r="J226" s="239"/>
      <c r="K226" s="475"/>
      <c r="L226" s="438"/>
      <c r="M226" s="438"/>
      <c r="N226" s="438"/>
      <c r="O226" s="69"/>
      <c r="P226" s="69"/>
      <c r="Q226" s="69"/>
      <c r="R226" s="470"/>
      <c r="S226" s="69"/>
      <c r="T226" s="69"/>
      <c r="U226" s="69"/>
      <c r="V226" s="69"/>
      <c r="W226" s="69"/>
      <c r="X226" s="69"/>
      <c r="Y226" s="69"/>
      <c r="Z226" s="69"/>
      <c r="AA226" s="69"/>
      <c r="AB226" s="69"/>
      <c r="AC226" s="69"/>
      <c r="AD226" s="69"/>
      <c r="AE226" s="69"/>
      <c r="AF226" s="69"/>
      <c r="AG226" s="69"/>
      <c r="AH226" s="69"/>
      <c r="AI226" s="69"/>
      <c r="AJ226" s="69"/>
      <c r="AK226" s="193" t="e">
        <f>+AI11</f>
        <v>#VALUE!</v>
      </c>
      <c r="AL226" s="461" t="e">
        <f t="shared" si="61"/>
        <v>#VALUE!</v>
      </c>
      <c r="AM226" s="461" t="e">
        <f t="shared" si="44"/>
        <v>#VALUE!</v>
      </c>
      <c r="AN226" s="194" t="e">
        <f t="shared" si="45"/>
        <v>#VALUE!</v>
      </c>
      <c r="AO226" s="462"/>
      <c r="AP226" s="462"/>
      <c r="AQ226" s="441"/>
    </row>
    <row r="227" spans="2:43" x14ac:dyDescent="0.15">
      <c r="B227" s="354"/>
      <c r="C227" s="239"/>
      <c r="D227" s="239"/>
      <c r="E227" s="941"/>
      <c r="G227" s="941"/>
      <c r="H227" s="941"/>
      <c r="I227" s="353"/>
      <c r="J227" s="239"/>
      <c r="K227" s="475"/>
      <c r="L227" s="438"/>
      <c r="M227" s="438"/>
      <c r="N227" s="438"/>
      <c r="O227" s="69"/>
      <c r="P227" s="69"/>
      <c r="Q227" s="69"/>
      <c r="R227" s="470"/>
      <c r="S227" s="69"/>
      <c r="T227" s="69"/>
      <c r="U227" s="69"/>
      <c r="V227" s="69"/>
      <c r="W227" s="69"/>
      <c r="X227" s="69"/>
      <c r="Y227" s="69"/>
      <c r="Z227" s="69"/>
      <c r="AA227" s="69"/>
      <c r="AB227" s="69"/>
      <c r="AC227" s="69"/>
      <c r="AD227" s="69"/>
      <c r="AE227" s="69"/>
      <c r="AF227" s="69"/>
      <c r="AG227" s="69"/>
      <c r="AH227" s="69"/>
      <c r="AI227" s="69"/>
      <c r="AJ227" s="69"/>
      <c r="AK227" s="193" t="e">
        <f t="shared" ref="AK227:AK236" si="99">+AI13</f>
        <v>#VALUE!</v>
      </c>
      <c r="AL227" s="461" t="e">
        <f t="shared" si="61"/>
        <v>#VALUE!</v>
      </c>
      <c r="AM227" s="461" t="e">
        <f t="shared" si="44"/>
        <v>#VALUE!</v>
      </c>
      <c r="AN227" s="194" t="e">
        <f t="shared" si="45"/>
        <v>#VALUE!</v>
      </c>
      <c r="AO227" s="462"/>
      <c r="AP227" s="462"/>
      <c r="AQ227" s="441"/>
    </row>
    <row r="228" spans="2:43" ht="14" x14ac:dyDescent="0.15">
      <c r="B228" s="603"/>
      <c r="C228" s="356"/>
      <c r="D228" s="356"/>
      <c r="E228" s="604"/>
      <c r="F228" s="604"/>
      <c r="G228" s="342"/>
      <c r="H228" s="604"/>
      <c r="I228" s="357"/>
      <c r="J228" s="239"/>
      <c r="K228" s="475"/>
      <c r="L228" s="438"/>
      <c r="M228" s="438"/>
      <c r="N228" s="438"/>
      <c r="O228" s="69"/>
      <c r="P228" s="69"/>
      <c r="Q228" s="69"/>
      <c r="R228" s="470"/>
      <c r="S228" s="69"/>
      <c r="T228" s="69"/>
      <c r="U228" s="69"/>
      <c r="V228" s="69"/>
      <c r="W228" s="69"/>
      <c r="X228" s="69"/>
      <c r="Y228" s="69"/>
      <c r="Z228" s="69"/>
      <c r="AA228" s="69"/>
      <c r="AB228" s="69"/>
      <c r="AC228" s="69"/>
      <c r="AD228" s="69"/>
      <c r="AE228" s="69"/>
      <c r="AF228" s="69"/>
      <c r="AG228" s="69"/>
      <c r="AH228" s="69"/>
      <c r="AI228" s="69"/>
      <c r="AJ228" s="69"/>
      <c r="AK228" s="193" t="e">
        <f t="shared" si="99"/>
        <v>#VALUE!</v>
      </c>
      <c r="AL228" s="461" t="e">
        <f t="shared" si="61"/>
        <v>#VALUE!</v>
      </c>
      <c r="AM228" s="461" t="e">
        <f t="shared" si="44"/>
        <v>#VALUE!</v>
      </c>
      <c r="AN228" s="194" t="e">
        <f t="shared" si="45"/>
        <v>#VALUE!</v>
      </c>
      <c r="AO228" s="462"/>
      <c r="AP228" s="462"/>
      <c r="AQ228" s="441"/>
    </row>
    <row r="229" spans="2:43" x14ac:dyDescent="0.15">
      <c r="B229" s="350"/>
      <c r="C229" s="335"/>
      <c r="D229" s="335"/>
      <c r="E229" s="350"/>
      <c r="F229" s="350"/>
      <c r="G229" s="350"/>
      <c r="H229" s="350"/>
      <c r="I229" s="335"/>
      <c r="J229" s="239"/>
      <c r="K229" s="475"/>
      <c r="L229" s="438"/>
      <c r="M229" s="438"/>
      <c r="N229" s="438"/>
      <c r="O229" s="69"/>
      <c r="P229" s="69"/>
      <c r="Q229" s="69"/>
      <c r="R229" s="470"/>
      <c r="S229" s="69"/>
      <c r="T229" s="69"/>
      <c r="U229" s="69"/>
      <c r="V229" s="69"/>
      <c r="W229" s="69"/>
      <c r="X229" s="69"/>
      <c r="Y229" s="69"/>
      <c r="Z229" s="69"/>
      <c r="AA229" s="69"/>
      <c r="AB229" s="69"/>
      <c r="AC229" s="69"/>
      <c r="AD229" s="69"/>
      <c r="AE229" s="69"/>
      <c r="AF229" s="69"/>
      <c r="AG229" s="69"/>
      <c r="AH229" s="69"/>
      <c r="AI229" s="69"/>
      <c r="AJ229" s="69"/>
      <c r="AK229" s="193" t="e">
        <f t="shared" si="99"/>
        <v>#VALUE!</v>
      </c>
      <c r="AL229" s="461" t="e">
        <f t="shared" si="61"/>
        <v>#VALUE!</v>
      </c>
      <c r="AM229" s="461" t="e">
        <f t="shared" si="44"/>
        <v>#VALUE!</v>
      </c>
      <c r="AN229" s="194" t="e">
        <f t="shared" si="45"/>
        <v>#VALUE!</v>
      </c>
      <c r="AO229" s="462"/>
      <c r="AP229" s="462"/>
      <c r="AQ229" s="441"/>
    </row>
    <row r="230" spans="2:43" x14ac:dyDescent="0.15">
      <c r="B230" s="941"/>
      <c r="C230" s="239"/>
      <c r="D230" s="239"/>
      <c r="E230" s="941"/>
      <c r="G230" s="941"/>
      <c r="H230" s="941"/>
      <c r="I230" s="239"/>
      <c r="J230" s="239"/>
      <c r="K230" s="475"/>
      <c r="L230" s="438"/>
      <c r="M230" s="438"/>
      <c r="N230" s="438"/>
      <c r="O230" s="69"/>
      <c r="P230" s="69"/>
      <c r="Q230" s="69"/>
      <c r="R230" s="470"/>
      <c r="S230" s="69"/>
      <c r="T230" s="69"/>
      <c r="U230" s="69"/>
      <c r="V230" s="69"/>
      <c r="W230" s="69"/>
      <c r="X230" s="69"/>
      <c r="Y230" s="69"/>
      <c r="Z230" s="69"/>
      <c r="AA230" s="69"/>
      <c r="AB230" s="69"/>
      <c r="AC230" s="69"/>
      <c r="AD230" s="69"/>
      <c r="AE230" s="69"/>
      <c r="AF230" s="69"/>
      <c r="AG230" s="69"/>
      <c r="AH230" s="69"/>
      <c r="AI230" s="69"/>
      <c r="AJ230" s="69"/>
      <c r="AK230" s="193" t="e">
        <f t="shared" si="99"/>
        <v>#VALUE!</v>
      </c>
      <c r="AL230" s="461" t="e">
        <f t="shared" si="61"/>
        <v>#VALUE!</v>
      </c>
      <c r="AM230" s="461" t="e">
        <f t="shared" si="44"/>
        <v>#VALUE!</v>
      </c>
      <c r="AN230" s="194" t="e">
        <f t="shared" si="45"/>
        <v>#VALUE!</v>
      </c>
      <c r="AO230" s="462"/>
      <c r="AP230" s="462"/>
      <c r="AQ230" s="441"/>
    </row>
    <row r="231" spans="2:43" x14ac:dyDescent="0.15">
      <c r="B231" s="941"/>
      <c r="C231" s="239"/>
      <c r="D231" s="239"/>
      <c r="E231" s="941"/>
      <c r="G231" s="941"/>
      <c r="H231" s="941"/>
      <c r="I231" s="239"/>
      <c r="J231" s="239"/>
      <c r="K231" s="475"/>
      <c r="L231" s="438"/>
      <c r="M231" s="438"/>
      <c r="N231" s="438"/>
      <c r="O231" s="69"/>
      <c r="P231" s="69"/>
      <c r="Q231" s="69"/>
      <c r="R231" s="470"/>
      <c r="S231" s="69"/>
      <c r="T231" s="69"/>
      <c r="U231" s="69"/>
      <c r="V231" s="69"/>
      <c r="W231" s="69"/>
      <c r="X231" s="69"/>
      <c r="Y231" s="69"/>
      <c r="Z231" s="69"/>
      <c r="AA231" s="69"/>
      <c r="AB231" s="69"/>
      <c r="AC231" s="69"/>
      <c r="AD231" s="69"/>
      <c r="AE231" s="69"/>
      <c r="AF231" s="69"/>
      <c r="AG231" s="69"/>
      <c r="AH231" s="69"/>
      <c r="AI231" s="69"/>
      <c r="AJ231" s="69"/>
      <c r="AK231" s="193" t="e">
        <f t="shared" si="99"/>
        <v>#VALUE!</v>
      </c>
      <c r="AL231" s="461" t="e">
        <f t="shared" si="61"/>
        <v>#VALUE!</v>
      </c>
      <c r="AM231" s="461" t="e">
        <f t="shared" si="44"/>
        <v>#VALUE!</v>
      </c>
      <c r="AN231" s="194" t="e">
        <f t="shared" si="45"/>
        <v>#VALUE!</v>
      </c>
      <c r="AO231" s="462"/>
      <c r="AP231" s="462"/>
      <c r="AQ231" s="441"/>
    </row>
    <row r="232" spans="2:43" x14ac:dyDescent="0.15">
      <c r="B232" s="941"/>
      <c r="C232" s="239"/>
      <c r="D232" s="239"/>
      <c r="E232" s="941"/>
      <c r="G232" s="941"/>
      <c r="H232" s="941"/>
      <c r="I232" s="239"/>
      <c r="J232" s="239"/>
      <c r="K232" s="475"/>
      <c r="L232" s="438"/>
      <c r="M232" s="438"/>
      <c r="N232" s="438"/>
      <c r="O232" s="69"/>
      <c r="P232" s="69"/>
      <c r="Q232" s="69"/>
      <c r="R232" s="470"/>
      <c r="S232" s="69"/>
      <c r="T232" s="69"/>
      <c r="U232" s="69"/>
      <c r="V232" s="69"/>
      <c r="W232" s="69"/>
      <c r="X232" s="69"/>
      <c r="Y232" s="69"/>
      <c r="Z232" s="69"/>
      <c r="AA232" s="69"/>
      <c r="AB232" s="69"/>
      <c r="AC232" s="69"/>
      <c r="AD232" s="69"/>
      <c r="AE232" s="69"/>
      <c r="AF232" s="69"/>
      <c r="AG232" s="69"/>
      <c r="AH232" s="69"/>
      <c r="AI232" s="69"/>
      <c r="AJ232" s="69"/>
      <c r="AK232" s="193" t="e">
        <f t="shared" si="99"/>
        <v>#VALUE!</v>
      </c>
      <c r="AL232" s="461" t="e">
        <f t="shared" si="61"/>
        <v>#VALUE!</v>
      </c>
      <c r="AM232" s="461" t="e">
        <f t="shared" si="44"/>
        <v>#VALUE!</v>
      </c>
      <c r="AN232" s="194" t="e">
        <f t="shared" si="45"/>
        <v>#VALUE!</v>
      </c>
      <c r="AO232" s="462"/>
      <c r="AP232" s="462"/>
      <c r="AQ232" s="441"/>
    </row>
    <row r="233" spans="2:43" x14ac:dyDescent="0.15">
      <c r="B233" s="941"/>
      <c r="C233" s="239"/>
      <c r="D233" s="239"/>
      <c r="E233" s="941"/>
      <c r="G233" s="941"/>
      <c r="H233" s="941"/>
      <c r="I233" s="239"/>
      <c r="J233" s="239"/>
      <c r="K233" s="1122" t="s">
        <v>1100</v>
      </c>
      <c r="L233" s="438"/>
      <c r="M233" s="438"/>
      <c r="N233" s="438"/>
      <c r="O233" s="69"/>
      <c r="P233" s="69"/>
      <c r="Q233" s="69"/>
      <c r="R233" s="470"/>
      <c r="S233" s="69"/>
      <c r="T233" s="69"/>
      <c r="U233" s="69"/>
      <c r="V233" s="69"/>
      <c r="W233" s="69"/>
      <c r="X233" s="69"/>
      <c r="Y233" s="69"/>
      <c r="Z233" s="69"/>
      <c r="AA233" s="69"/>
      <c r="AB233" s="69"/>
      <c r="AC233" s="69"/>
      <c r="AD233" s="69"/>
      <c r="AE233" s="69"/>
      <c r="AF233" s="69"/>
      <c r="AG233" s="69"/>
      <c r="AH233" s="69"/>
      <c r="AI233" s="69"/>
      <c r="AJ233" s="69"/>
      <c r="AK233" s="193" t="e">
        <f t="shared" si="99"/>
        <v>#VALUE!</v>
      </c>
      <c r="AL233" s="461" t="e">
        <f t="shared" si="61"/>
        <v>#VALUE!</v>
      </c>
      <c r="AM233" s="461" t="e">
        <f t="shared" si="44"/>
        <v>#VALUE!</v>
      </c>
      <c r="AN233" s="194" t="e">
        <f t="shared" si="45"/>
        <v>#VALUE!</v>
      </c>
      <c r="AO233" s="462"/>
      <c r="AP233" s="462"/>
      <c r="AQ233" s="441"/>
    </row>
    <row r="234" spans="2:43" x14ac:dyDescent="0.15">
      <c r="B234" s="941"/>
      <c r="C234" s="239"/>
      <c r="D234" s="239"/>
      <c r="E234" s="941"/>
      <c r="G234" s="941"/>
      <c r="H234" s="941"/>
      <c r="I234" s="239"/>
      <c r="J234" s="239"/>
      <c r="K234" s="475" t="str">
        <f>IF(OR(PVRKII=4,'Refinanszírozási kérelem'!BU11=5),"igen","nem")</f>
        <v>nem</v>
      </c>
      <c r="L234" s="438"/>
      <c r="M234" s="438"/>
      <c r="N234" s="438"/>
      <c r="O234" s="69"/>
      <c r="P234" s="69"/>
      <c r="Q234" s="69"/>
      <c r="R234" s="470"/>
      <c r="S234" s="69"/>
      <c r="T234" s="69"/>
      <c r="U234" s="69"/>
      <c r="V234" s="69"/>
      <c r="W234" s="69"/>
      <c r="X234" s="69"/>
      <c r="Y234" s="69"/>
      <c r="Z234" s="69"/>
      <c r="AA234" s="69"/>
      <c r="AB234" s="69"/>
      <c r="AC234" s="69"/>
      <c r="AD234" s="69"/>
      <c r="AE234" s="69"/>
      <c r="AF234" s="69"/>
      <c r="AG234" s="69"/>
      <c r="AH234" s="69"/>
      <c r="AI234" s="69"/>
      <c r="AJ234" s="69"/>
      <c r="AK234" s="193" t="e">
        <f t="shared" si="99"/>
        <v>#VALUE!</v>
      </c>
      <c r="AL234" s="461" t="e">
        <f t="shared" si="61"/>
        <v>#VALUE!</v>
      </c>
      <c r="AM234" s="461" t="e">
        <f t="shared" si="44"/>
        <v>#VALUE!</v>
      </c>
      <c r="AN234" s="194" t="e">
        <f t="shared" si="45"/>
        <v>#VALUE!</v>
      </c>
      <c r="AO234" s="462"/>
      <c r="AP234" s="462"/>
      <c r="AQ234" s="441"/>
    </row>
    <row r="235" spans="2:43" x14ac:dyDescent="0.15">
      <c r="B235" s="941"/>
      <c r="C235" s="239"/>
      <c r="D235" s="239"/>
      <c r="E235" s="941"/>
      <c r="G235" s="941"/>
      <c r="H235" s="941"/>
      <c r="I235" s="239"/>
      <c r="J235" s="239"/>
      <c r="K235" s="475"/>
      <c r="L235" s="438"/>
      <c r="M235" s="438"/>
      <c r="N235" s="438"/>
      <c r="O235" s="69"/>
      <c r="P235" s="69"/>
      <c r="Q235" s="69"/>
      <c r="R235" s="470"/>
      <c r="S235" s="69"/>
      <c r="T235" s="69"/>
      <c r="U235" s="69"/>
      <c r="V235" s="69"/>
      <c r="W235" s="69"/>
      <c r="X235" s="69"/>
      <c r="Y235" s="69"/>
      <c r="Z235" s="69"/>
      <c r="AA235" s="69"/>
      <c r="AB235" s="69"/>
      <c r="AC235" s="69"/>
      <c r="AD235" s="69"/>
      <c r="AE235" s="69"/>
      <c r="AF235" s="69"/>
      <c r="AG235" s="69"/>
      <c r="AH235" s="69"/>
      <c r="AI235" s="69"/>
      <c r="AJ235" s="69"/>
      <c r="AK235" s="193" t="e">
        <f t="shared" si="99"/>
        <v>#VALUE!</v>
      </c>
      <c r="AL235" s="461" t="e">
        <f t="shared" si="61"/>
        <v>#VALUE!</v>
      </c>
      <c r="AM235" s="461" t="e">
        <f t="shared" si="44"/>
        <v>#VALUE!</v>
      </c>
      <c r="AN235" s="194" t="e">
        <f t="shared" si="45"/>
        <v>#VALUE!</v>
      </c>
      <c r="AO235" s="462"/>
      <c r="AP235" s="462"/>
      <c r="AQ235" s="441"/>
    </row>
    <row r="236" spans="2:43" x14ac:dyDescent="0.15">
      <c r="B236" s="941"/>
      <c r="C236" s="239"/>
      <c r="D236" s="239"/>
      <c r="E236" s="941"/>
      <c r="G236" s="941"/>
      <c r="H236" s="941"/>
      <c r="I236" s="239"/>
      <c r="J236" s="239"/>
      <c r="K236" s="475"/>
      <c r="L236" s="438"/>
      <c r="M236" s="438"/>
      <c r="N236" s="438"/>
      <c r="O236" s="69"/>
      <c r="P236" s="69"/>
      <c r="Q236" s="69"/>
      <c r="R236" s="470"/>
      <c r="S236" s="69"/>
      <c r="T236" s="69"/>
      <c r="U236" s="69"/>
      <c r="V236" s="69"/>
      <c r="W236" s="69"/>
      <c r="X236" s="69"/>
      <c r="Y236" s="69"/>
      <c r="Z236" s="69"/>
      <c r="AA236" s="69"/>
      <c r="AB236" s="69"/>
      <c r="AC236" s="69"/>
      <c r="AD236" s="69"/>
      <c r="AE236" s="69"/>
      <c r="AF236" s="69"/>
      <c r="AG236" s="69"/>
      <c r="AH236" s="69"/>
      <c r="AI236" s="69"/>
      <c r="AJ236" s="69"/>
      <c r="AK236" s="193" t="e">
        <f t="shared" si="99"/>
        <v>#VALUE!</v>
      </c>
      <c r="AL236" s="461" t="e">
        <f t="shared" ref="AL236:AL248" si="100">IF(AK236="",10000000,TorlTervElsoTorl-AK236)</f>
        <v>#VALUE!</v>
      </c>
      <c r="AM236" s="461" t="e">
        <f t="shared" si="44"/>
        <v>#VALUE!</v>
      </c>
      <c r="AN236" s="194" t="e">
        <f t="shared" si="45"/>
        <v>#VALUE!</v>
      </c>
      <c r="AO236" s="462"/>
      <c r="AP236" s="462"/>
      <c r="AQ236" s="441"/>
    </row>
    <row r="237" spans="2:43" x14ac:dyDescent="0.15">
      <c r="B237" s="941"/>
      <c r="C237" s="239"/>
      <c r="D237" s="239"/>
      <c r="E237" s="941"/>
      <c r="G237" s="941"/>
      <c r="H237" s="941"/>
      <c r="I237" s="239"/>
      <c r="J237" s="239"/>
      <c r="K237" s="475"/>
      <c r="L237" s="438"/>
      <c r="M237" s="438"/>
      <c r="N237" s="438"/>
      <c r="O237" s="69"/>
      <c r="P237" s="69"/>
      <c r="Q237" s="69"/>
      <c r="R237" s="470"/>
      <c r="S237" s="69"/>
      <c r="T237" s="69"/>
      <c r="U237" s="69"/>
      <c r="V237" s="69"/>
      <c r="W237" s="69"/>
      <c r="X237" s="69"/>
      <c r="Y237" s="69"/>
      <c r="Z237" s="69"/>
      <c r="AA237" s="69"/>
      <c r="AB237" s="69"/>
      <c r="AC237" s="69"/>
      <c r="AD237" s="69"/>
      <c r="AE237" s="69"/>
      <c r="AF237" s="69"/>
      <c r="AG237" s="69"/>
      <c r="AH237" s="69"/>
      <c r="AI237" s="69"/>
      <c r="AJ237" s="69"/>
      <c r="AK237" s="193" t="e">
        <f>+AJ10</f>
        <v>#VALUE!</v>
      </c>
      <c r="AL237" s="461" t="e">
        <f t="shared" si="100"/>
        <v>#VALUE!</v>
      </c>
      <c r="AM237" s="461" t="e">
        <f t="shared" ref="AM237:AM248" si="101">AM236+(IF(AN237="",0,1))</f>
        <v>#VALUE!</v>
      </c>
      <c r="AN237" s="194" t="e">
        <f t="shared" ref="AN237:AN248" si="102">IF(AL237&gt;0,"",AK237)</f>
        <v>#VALUE!</v>
      </c>
      <c r="AO237" s="462"/>
      <c r="AP237" s="462"/>
      <c r="AQ237" s="441"/>
    </row>
    <row r="238" spans="2:43" x14ac:dyDescent="0.15">
      <c r="B238" s="941"/>
      <c r="C238" s="239"/>
      <c r="D238" s="239"/>
      <c r="E238" s="941"/>
      <c r="G238" s="941"/>
      <c r="H238" s="941"/>
      <c r="I238" s="239"/>
      <c r="J238" s="239"/>
      <c r="K238" s="475"/>
      <c r="L238" s="438"/>
      <c r="M238" s="438"/>
      <c r="N238" s="438"/>
      <c r="O238" s="69"/>
      <c r="P238" s="69"/>
      <c r="Q238" s="69"/>
      <c r="R238" s="470"/>
      <c r="S238" s="69"/>
      <c r="T238" s="69"/>
      <c r="U238" s="69"/>
      <c r="V238" s="69"/>
      <c r="W238" s="69"/>
      <c r="X238" s="69"/>
      <c r="Y238" s="69"/>
      <c r="Z238" s="69"/>
      <c r="AA238" s="69"/>
      <c r="AB238" s="69"/>
      <c r="AC238" s="69"/>
      <c r="AD238" s="69"/>
      <c r="AE238" s="69"/>
      <c r="AF238" s="69"/>
      <c r="AG238" s="69"/>
      <c r="AH238" s="69"/>
      <c r="AI238" s="69"/>
      <c r="AJ238" s="69"/>
      <c r="AK238" s="193" t="e">
        <f>+AJ11</f>
        <v>#VALUE!</v>
      </c>
      <c r="AL238" s="461" t="e">
        <f t="shared" si="100"/>
        <v>#VALUE!</v>
      </c>
      <c r="AM238" s="461" t="e">
        <f t="shared" si="101"/>
        <v>#VALUE!</v>
      </c>
      <c r="AN238" s="194" t="e">
        <f t="shared" si="102"/>
        <v>#VALUE!</v>
      </c>
      <c r="AO238" s="462"/>
      <c r="AP238" s="462"/>
      <c r="AQ238" s="441"/>
    </row>
    <row r="239" spans="2:43" x14ac:dyDescent="0.15">
      <c r="B239" s="941"/>
      <c r="C239" s="239"/>
      <c r="D239" s="239"/>
      <c r="E239" s="941"/>
      <c r="G239" s="941"/>
      <c r="H239" s="941"/>
      <c r="I239" s="239"/>
      <c r="J239" s="239"/>
      <c r="K239" s="475"/>
      <c r="L239" s="438"/>
      <c r="M239" s="438"/>
      <c r="N239" s="438"/>
      <c r="O239" s="69"/>
      <c r="P239" s="69"/>
      <c r="Q239" s="69"/>
      <c r="R239" s="470"/>
      <c r="S239" s="69"/>
      <c r="T239" s="69"/>
      <c r="U239" s="69"/>
      <c r="V239" s="69"/>
      <c r="W239" s="69"/>
      <c r="X239" s="69"/>
      <c r="Y239" s="69"/>
      <c r="Z239" s="69"/>
      <c r="AA239" s="69"/>
      <c r="AB239" s="69"/>
      <c r="AC239" s="69"/>
      <c r="AD239" s="69"/>
      <c r="AE239" s="69"/>
      <c r="AF239" s="69"/>
      <c r="AG239" s="69"/>
      <c r="AH239" s="69"/>
      <c r="AI239" s="69"/>
      <c r="AJ239" s="69"/>
      <c r="AK239" s="193" t="e">
        <f>+AJ13</f>
        <v>#VALUE!</v>
      </c>
      <c r="AL239" s="461" t="e">
        <f t="shared" si="100"/>
        <v>#VALUE!</v>
      </c>
      <c r="AM239" s="461" t="e">
        <f t="shared" si="101"/>
        <v>#VALUE!</v>
      </c>
      <c r="AN239" s="194" t="e">
        <f t="shared" si="102"/>
        <v>#VALUE!</v>
      </c>
      <c r="AO239" s="462"/>
      <c r="AP239" s="462"/>
      <c r="AQ239" s="441"/>
    </row>
    <row r="240" spans="2:43" x14ac:dyDescent="0.15">
      <c r="B240" s="941"/>
      <c r="C240" s="239"/>
      <c r="D240" s="239"/>
      <c r="E240" s="941"/>
      <c r="G240" s="941"/>
      <c r="H240" s="941"/>
      <c r="I240" s="239"/>
      <c r="J240" s="239"/>
      <c r="K240" s="475"/>
      <c r="L240" s="438"/>
      <c r="M240" s="438"/>
      <c r="N240" s="438"/>
      <c r="O240" s="69"/>
      <c r="P240" s="69"/>
      <c r="Q240" s="69"/>
      <c r="R240" s="470"/>
      <c r="S240" s="69"/>
      <c r="T240" s="69"/>
      <c r="U240" s="69"/>
      <c r="V240" s="69"/>
      <c r="W240" s="69"/>
      <c r="X240" s="69"/>
      <c r="Y240" s="69"/>
      <c r="Z240" s="69"/>
      <c r="AA240" s="69"/>
      <c r="AB240" s="69"/>
      <c r="AC240" s="69"/>
      <c r="AD240" s="69"/>
      <c r="AE240" s="69"/>
      <c r="AF240" s="69"/>
      <c r="AG240" s="69"/>
      <c r="AH240" s="69"/>
      <c r="AI240" s="69"/>
      <c r="AJ240" s="69"/>
      <c r="AK240" s="193" t="e">
        <f t="shared" ref="AK240:AK245" si="103">+AJ14</f>
        <v>#VALUE!</v>
      </c>
      <c r="AL240" s="461" t="e">
        <f t="shared" si="100"/>
        <v>#VALUE!</v>
      </c>
      <c r="AM240" s="461" t="e">
        <f t="shared" si="101"/>
        <v>#VALUE!</v>
      </c>
      <c r="AN240" s="194" t="e">
        <f t="shared" si="102"/>
        <v>#VALUE!</v>
      </c>
      <c r="AO240" s="462"/>
      <c r="AP240" s="462"/>
      <c r="AQ240" s="441"/>
    </row>
    <row r="241" spans="2:43" x14ac:dyDescent="0.15">
      <c r="B241" s="941"/>
      <c r="C241" s="239"/>
      <c r="D241" s="239"/>
      <c r="E241" s="941"/>
      <c r="G241" s="941"/>
      <c r="H241" s="941"/>
      <c r="I241" s="239"/>
      <c r="J241" s="239"/>
      <c r="K241" s="475"/>
      <c r="L241" s="438"/>
      <c r="M241" s="438"/>
      <c r="N241" s="438"/>
      <c r="O241" s="69"/>
      <c r="P241" s="69"/>
      <c r="Q241" s="69"/>
      <c r="R241" s="470"/>
      <c r="S241" s="69"/>
      <c r="T241" s="69"/>
      <c r="U241" s="69"/>
      <c r="V241" s="69"/>
      <c r="W241" s="69"/>
      <c r="X241" s="69"/>
      <c r="Y241" s="69"/>
      <c r="Z241" s="69"/>
      <c r="AA241" s="69"/>
      <c r="AB241" s="69"/>
      <c r="AC241" s="69"/>
      <c r="AD241" s="69"/>
      <c r="AE241" s="69"/>
      <c r="AF241" s="69"/>
      <c r="AG241" s="69"/>
      <c r="AH241" s="69"/>
      <c r="AI241" s="69"/>
      <c r="AJ241" s="69"/>
      <c r="AK241" s="193" t="e">
        <f t="shared" si="103"/>
        <v>#VALUE!</v>
      </c>
      <c r="AL241" s="461" t="e">
        <f t="shared" si="100"/>
        <v>#VALUE!</v>
      </c>
      <c r="AM241" s="461" t="e">
        <f t="shared" si="101"/>
        <v>#VALUE!</v>
      </c>
      <c r="AN241" s="194" t="e">
        <f t="shared" si="102"/>
        <v>#VALUE!</v>
      </c>
      <c r="AO241" s="462"/>
      <c r="AP241" s="462"/>
      <c r="AQ241" s="441"/>
    </row>
    <row r="242" spans="2:43" x14ac:dyDescent="0.15">
      <c r="B242" s="941"/>
      <c r="C242" s="239"/>
      <c r="D242" s="239"/>
      <c r="E242" s="941"/>
      <c r="G242" s="941"/>
      <c r="H242" s="941"/>
      <c r="I242" s="239"/>
      <c r="J242" s="239"/>
      <c r="K242" s="475"/>
      <c r="L242" s="438"/>
      <c r="M242" s="438"/>
      <c r="N242" s="438"/>
      <c r="O242" s="69"/>
      <c r="P242" s="69"/>
      <c r="Q242" s="69"/>
      <c r="R242" s="470"/>
      <c r="S242" s="69"/>
      <c r="T242" s="69"/>
      <c r="U242" s="69"/>
      <c r="V242" s="69"/>
      <c r="W242" s="69"/>
      <c r="X242" s="69"/>
      <c r="Y242" s="69"/>
      <c r="Z242" s="69"/>
      <c r="AA242" s="69"/>
      <c r="AB242" s="69"/>
      <c r="AC242" s="69"/>
      <c r="AD242" s="69"/>
      <c r="AE242" s="69"/>
      <c r="AF242" s="69"/>
      <c r="AG242" s="69"/>
      <c r="AH242" s="69"/>
      <c r="AI242" s="69"/>
      <c r="AJ242" s="69"/>
      <c r="AK242" s="193" t="e">
        <f t="shared" si="103"/>
        <v>#VALUE!</v>
      </c>
      <c r="AL242" s="461" t="e">
        <f t="shared" si="100"/>
        <v>#VALUE!</v>
      </c>
      <c r="AM242" s="461" t="e">
        <f t="shared" si="101"/>
        <v>#VALUE!</v>
      </c>
      <c r="AN242" s="194" t="e">
        <f t="shared" si="102"/>
        <v>#VALUE!</v>
      </c>
      <c r="AO242" s="462"/>
      <c r="AP242" s="462"/>
      <c r="AQ242" s="441"/>
    </row>
    <row r="243" spans="2:43" x14ac:dyDescent="0.15">
      <c r="B243" s="941"/>
      <c r="C243" s="239"/>
      <c r="D243" s="239"/>
      <c r="E243" s="941"/>
      <c r="G243" s="941"/>
      <c r="H243" s="941"/>
      <c r="I243" s="239"/>
      <c r="J243" s="239"/>
      <c r="K243" s="475"/>
      <c r="L243" s="438"/>
      <c r="M243" s="438"/>
      <c r="N243" s="438"/>
      <c r="O243" s="69"/>
      <c r="P243" s="69"/>
      <c r="Q243" s="69"/>
      <c r="R243" s="470"/>
      <c r="S243" s="69"/>
      <c r="T243" s="69"/>
      <c r="U243" s="69"/>
      <c r="V243" s="69"/>
      <c r="W243" s="69"/>
      <c r="X243" s="69"/>
      <c r="Y243" s="69"/>
      <c r="Z243" s="69"/>
      <c r="AA243" s="69"/>
      <c r="AB243" s="69"/>
      <c r="AC243" s="69"/>
      <c r="AD243" s="69"/>
      <c r="AE243" s="69"/>
      <c r="AF243" s="69"/>
      <c r="AG243" s="69"/>
      <c r="AH243" s="69"/>
      <c r="AI243" s="69"/>
      <c r="AJ243" s="69"/>
      <c r="AK243" s="193" t="e">
        <f t="shared" si="103"/>
        <v>#VALUE!</v>
      </c>
      <c r="AL243" s="461" t="e">
        <f t="shared" si="100"/>
        <v>#VALUE!</v>
      </c>
      <c r="AM243" s="461" t="e">
        <f t="shared" si="101"/>
        <v>#VALUE!</v>
      </c>
      <c r="AN243" s="194" t="e">
        <f t="shared" si="102"/>
        <v>#VALUE!</v>
      </c>
      <c r="AO243" s="462"/>
      <c r="AP243" s="462"/>
      <c r="AQ243" s="441"/>
    </row>
    <row r="244" spans="2:43" x14ac:dyDescent="0.15">
      <c r="B244" s="941"/>
      <c r="C244" s="239"/>
      <c r="D244" s="239"/>
      <c r="E244" s="941"/>
      <c r="G244" s="941"/>
      <c r="H244" s="941"/>
      <c r="I244" s="239"/>
      <c r="J244" s="239"/>
      <c r="K244" s="475"/>
      <c r="L244" s="438"/>
      <c r="M244" s="438"/>
      <c r="N244" s="438"/>
      <c r="O244" s="69"/>
      <c r="P244" s="69"/>
      <c r="Q244" s="69"/>
      <c r="R244" s="470"/>
      <c r="S244" s="69"/>
      <c r="T244" s="69"/>
      <c r="U244" s="69"/>
      <c r="V244" s="69"/>
      <c r="W244" s="69"/>
      <c r="X244" s="69"/>
      <c r="Y244" s="69"/>
      <c r="Z244" s="69"/>
      <c r="AA244" s="69"/>
      <c r="AB244" s="69"/>
      <c r="AC244" s="69"/>
      <c r="AD244" s="69"/>
      <c r="AE244" s="69"/>
      <c r="AF244" s="69"/>
      <c r="AG244" s="69"/>
      <c r="AH244" s="69"/>
      <c r="AI244" s="69"/>
      <c r="AJ244" s="69"/>
      <c r="AK244" s="193" t="e">
        <f t="shared" si="103"/>
        <v>#VALUE!</v>
      </c>
      <c r="AL244" s="461" t="e">
        <f t="shared" si="100"/>
        <v>#VALUE!</v>
      </c>
      <c r="AM244" s="461" t="e">
        <f t="shared" si="101"/>
        <v>#VALUE!</v>
      </c>
      <c r="AN244" s="194" t="e">
        <f t="shared" si="102"/>
        <v>#VALUE!</v>
      </c>
      <c r="AO244" s="462"/>
      <c r="AP244" s="462"/>
      <c r="AQ244" s="441"/>
    </row>
    <row r="245" spans="2:43" x14ac:dyDescent="0.15">
      <c r="B245" s="941"/>
      <c r="C245" s="239"/>
      <c r="D245" s="239"/>
      <c r="E245" s="941"/>
      <c r="G245" s="941"/>
      <c r="H245" s="941"/>
      <c r="I245" s="239"/>
      <c r="J245" s="239"/>
      <c r="K245" s="475"/>
      <c r="L245" s="438"/>
      <c r="M245" s="438"/>
      <c r="N245" s="438"/>
      <c r="O245" s="69"/>
      <c r="P245" s="69"/>
      <c r="Q245" s="69"/>
      <c r="R245" s="470"/>
      <c r="S245" s="69"/>
      <c r="T245" s="69"/>
      <c r="U245" s="69"/>
      <c r="V245" s="69"/>
      <c r="W245" s="69"/>
      <c r="X245" s="69"/>
      <c r="Y245" s="69"/>
      <c r="Z245" s="69"/>
      <c r="AA245" s="69"/>
      <c r="AB245" s="69"/>
      <c r="AC245" s="69"/>
      <c r="AD245" s="69"/>
      <c r="AE245" s="69"/>
      <c r="AF245" s="69"/>
      <c r="AG245" s="69"/>
      <c r="AH245" s="69"/>
      <c r="AI245" s="69"/>
      <c r="AJ245" s="69"/>
      <c r="AK245" s="193" t="e">
        <f t="shared" si="103"/>
        <v>#VALUE!</v>
      </c>
      <c r="AL245" s="461" t="e">
        <f t="shared" si="100"/>
        <v>#VALUE!</v>
      </c>
      <c r="AM245" s="461" t="e">
        <f t="shared" si="101"/>
        <v>#VALUE!</v>
      </c>
      <c r="AN245" s="194" t="e">
        <f t="shared" si="102"/>
        <v>#VALUE!</v>
      </c>
      <c r="AO245" s="462"/>
      <c r="AP245" s="462"/>
      <c r="AQ245" s="441"/>
    </row>
    <row r="246" spans="2:43" x14ac:dyDescent="0.15">
      <c r="B246" s="941"/>
      <c r="C246" s="239"/>
      <c r="D246" s="239"/>
      <c r="E246" s="941"/>
      <c r="G246" s="941"/>
      <c r="H246" s="941"/>
      <c r="I246" s="239"/>
      <c r="J246" s="239"/>
      <c r="K246" s="475"/>
      <c r="L246" s="438"/>
      <c r="M246" s="438"/>
      <c r="N246" s="438"/>
      <c r="O246" s="69"/>
      <c r="P246" s="69"/>
      <c r="Q246" s="69"/>
      <c r="R246" s="470"/>
      <c r="S246" s="69"/>
      <c r="T246" s="69"/>
      <c r="U246" s="69"/>
      <c r="V246" s="69"/>
      <c r="W246" s="69"/>
      <c r="X246" s="69"/>
      <c r="Y246" s="69"/>
      <c r="Z246" s="69"/>
      <c r="AA246" s="69"/>
      <c r="AB246" s="69"/>
      <c r="AC246" s="69"/>
      <c r="AD246" s="69"/>
      <c r="AE246" s="69"/>
      <c r="AF246" s="69"/>
      <c r="AG246" s="69"/>
      <c r="AH246" s="69"/>
      <c r="AI246" s="69"/>
      <c r="AJ246" s="69"/>
      <c r="AK246" s="193" t="e">
        <f>+AJ20</f>
        <v>#VALUE!</v>
      </c>
      <c r="AL246" s="461" t="e">
        <f t="shared" si="100"/>
        <v>#VALUE!</v>
      </c>
      <c r="AM246" s="461" t="e">
        <f t="shared" si="101"/>
        <v>#VALUE!</v>
      </c>
      <c r="AN246" s="194" t="e">
        <f t="shared" si="102"/>
        <v>#VALUE!</v>
      </c>
      <c r="AO246" s="462"/>
      <c r="AP246" s="462"/>
      <c r="AQ246" s="441"/>
    </row>
    <row r="247" spans="2:43" x14ac:dyDescent="0.15">
      <c r="B247" s="941"/>
      <c r="C247" s="239"/>
      <c r="D247" s="239"/>
      <c r="E247" s="941"/>
      <c r="G247" s="941"/>
      <c r="H247" s="941"/>
      <c r="I247" s="239"/>
      <c r="J247" s="239"/>
      <c r="K247" s="475"/>
      <c r="L247" s="438"/>
      <c r="M247" s="438"/>
      <c r="N247" s="438"/>
      <c r="O247" s="69"/>
      <c r="P247" s="69"/>
      <c r="Q247" s="69"/>
      <c r="R247" s="470"/>
      <c r="S247" s="69"/>
      <c r="T247" s="69"/>
      <c r="U247" s="69"/>
      <c r="V247" s="69"/>
      <c r="W247" s="69"/>
      <c r="X247" s="69"/>
      <c r="Y247" s="69"/>
      <c r="Z247" s="69"/>
      <c r="AA247" s="69"/>
      <c r="AB247" s="69"/>
      <c r="AC247" s="69"/>
      <c r="AD247" s="69"/>
      <c r="AE247" s="69"/>
      <c r="AF247" s="69"/>
      <c r="AG247" s="69"/>
      <c r="AH247" s="69"/>
      <c r="AI247" s="69"/>
      <c r="AJ247" s="69"/>
      <c r="AK247" s="193" t="e">
        <f>+AJ21</f>
        <v>#VALUE!</v>
      </c>
      <c r="AL247" s="461" t="e">
        <f t="shared" si="100"/>
        <v>#VALUE!</v>
      </c>
      <c r="AM247" s="461" t="e">
        <f t="shared" si="101"/>
        <v>#VALUE!</v>
      </c>
      <c r="AN247" s="194" t="e">
        <f t="shared" si="102"/>
        <v>#VALUE!</v>
      </c>
      <c r="AO247" s="462"/>
      <c r="AP247" s="462"/>
      <c r="AQ247" s="441"/>
    </row>
    <row r="248" spans="2:43" ht="14" thickBot="1" x14ac:dyDescent="0.2">
      <c r="B248" s="941"/>
      <c r="C248" s="239"/>
      <c r="D248" s="239"/>
      <c r="E248" s="941"/>
      <c r="G248" s="941"/>
      <c r="H248" s="941"/>
      <c r="I248" s="239"/>
      <c r="J248" s="239"/>
      <c r="K248" s="480"/>
      <c r="L248" s="481"/>
      <c r="M248" s="481"/>
      <c r="N248" s="481"/>
      <c r="O248" s="452"/>
      <c r="P248" s="452"/>
      <c r="Q248" s="452"/>
      <c r="R248" s="482"/>
      <c r="S248" s="452"/>
      <c r="T248" s="452"/>
      <c r="U248" s="452"/>
      <c r="V248" s="452"/>
      <c r="W248" s="452"/>
      <c r="X248" s="452"/>
      <c r="Y248" s="452"/>
      <c r="Z248" s="452"/>
      <c r="AA248" s="452"/>
      <c r="AB248" s="452"/>
      <c r="AC248" s="452"/>
      <c r="AD248" s="452"/>
      <c r="AE248" s="452"/>
      <c r="AF248" s="452"/>
      <c r="AG248" s="452"/>
      <c r="AH248" s="452"/>
      <c r="AI248" s="452"/>
      <c r="AJ248" s="452"/>
      <c r="AK248" s="483" t="e">
        <f>+AJ22</f>
        <v>#VALUE!</v>
      </c>
      <c r="AL248" s="484" t="e">
        <f t="shared" si="100"/>
        <v>#VALUE!</v>
      </c>
      <c r="AM248" s="484" t="e">
        <f t="shared" si="101"/>
        <v>#VALUE!</v>
      </c>
      <c r="AN248" s="485" t="e">
        <f t="shared" si="102"/>
        <v>#VALUE!</v>
      </c>
      <c r="AO248" s="486"/>
      <c r="AP248" s="486"/>
      <c r="AQ248" s="454"/>
    </row>
    <row r="249" spans="2:43" x14ac:dyDescent="0.15">
      <c r="B249" s="176"/>
      <c r="C249" s="182"/>
      <c r="D249" s="182"/>
      <c r="H249" s="176"/>
      <c r="I249" s="182"/>
      <c r="J249" s="239"/>
      <c r="K249" s="232"/>
      <c r="L249" s="230"/>
      <c r="M249" s="230"/>
      <c r="N249" s="230"/>
      <c r="R249" s="121"/>
    </row>
    <row r="250" spans="2:43" x14ac:dyDescent="0.15">
      <c r="B250" s="176"/>
      <c r="C250" s="182"/>
      <c r="D250" s="182"/>
      <c r="H250" s="176"/>
      <c r="I250" s="182"/>
      <c r="J250" s="239"/>
      <c r="K250" s="232"/>
      <c r="L250" s="230"/>
      <c r="M250" s="230"/>
      <c r="N250" s="230"/>
      <c r="R250" s="121"/>
    </row>
    <row r="251" spans="2:43" x14ac:dyDescent="0.15">
      <c r="B251" s="176"/>
      <c r="C251" s="182"/>
      <c r="D251" s="182"/>
      <c r="H251" s="176"/>
      <c r="I251" s="182"/>
      <c r="J251" s="239"/>
      <c r="K251" s="232"/>
      <c r="L251" s="230"/>
      <c r="M251" s="230"/>
      <c r="N251" s="230"/>
      <c r="R251" s="121"/>
    </row>
    <row r="252" spans="2:43" x14ac:dyDescent="0.15">
      <c r="B252" s="176"/>
      <c r="C252" s="182"/>
      <c r="D252" s="182"/>
      <c r="H252" s="176"/>
      <c r="I252" s="182"/>
      <c r="J252" s="239"/>
      <c r="K252" s="232"/>
      <c r="L252" s="230"/>
      <c r="M252" s="230"/>
      <c r="N252" s="230"/>
      <c r="R252" s="121"/>
    </row>
    <row r="253" spans="2:43" x14ac:dyDescent="0.15">
      <c r="B253" s="176"/>
      <c r="C253" s="182"/>
      <c r="D253" s="182"/>
      <c r="H253" s="176"/>
      <c r="I253" s="182"/>
      <c r="J253" s="239"/>
      <c r="K253" s="232"/>
      <c r="L253" s="230"/>
      <c r="M253" s="230"/>
      <c r="N253" s="230"/>
      <c r="R253" s="121"/>
    </row>
    <row r="254" spans="2:43" x14ac:dyDescent="0.15">
      <c r="B254" s="176"/>
      <c r="C254" s="182"/>
      <c r="D254" s="182"/>
      <c r="H254" s="176"/>
      <c r="I254" s="182"/>
      <c r="J254" s="239"/>
      <c r="K254" s="232"/>
      <c r="L254" s="230"/>
      <c r="M254" s="230"/>
      <c r="N254" s="230"/>
      <c r="R254" s="121"/>
    </row>
    <row r="255" spans="2:43" x14ac:dyDescent="0.15">
      <c r="B255" s="176"/>
      <c r="C255" s="182"/>
      <c r="D255" s="182"/>
      <c r="H255" s="176"/>
      <c r="I255" s="182"/>
      <c r="J255" s="239"/>
      <c r="K255" s="232"/>
      <c r="L255" s="230"/>
      <c r="M255" s="230"/>
      <c r="N255" s="230"/>
      <c r="R255" s="121"/>
    </row>
    <row r="256" spans="2:43" x14ac:dyDescent="0.15">
      <c r="B256" s="176"/>
      <c r="C256" s="182"/>
      <c r="D256" s="182"/>
      <c r="H256" s="176"/>
      <c r="I256" s="182"/>
      <c r="J256" s="239"/>
      <c r="K256" s="232"/>
      <c r="L256" s="230"/>
      <c r="M256" s="230"/>
      <c r="N256" s="230"/>
      <c r="R256" s="121"/>
    </row>
    <row r="257" spans="2:18" x14ac:dyDescent="0.15">
      <c r="B257" s="176"/>
      <c r="C257" s="182"/>
      <c r="D257" s="182"/>
      <c r="H257" s="176"/>
      <c r="I257" s="182"/>
      <c r="J257" s="239"/>
      <c r="K257" s="232"/>
      <c r="L257" s="230"/>
      <c r="M257" s="230"/>
      <c r="N257" s="230"/>
      <c r="R257" s="121"/>
    </row>
    <row r="258" spans="2:18" x14ac:dyDescent="0.15">
      <c r="B258" s="176"/>
      <c r="C258" s="182"/>
      <c r="D258" s="182"/>
      <c r="H258" s="176"/>
      <c r="I258" s="182"/>
      <c r="J258" s="239"/>
      <c r="K258" s="232"/>
      <c r="L258" s="230"/>
      <c r="M258" s="230"/>
      <c r="N258" s="230"/>
      <c r="R258" s="121"/>
    </row>
    <row r="259" spans="2:18" x14ac:dyDescent="0.15">
      <c r="B259" s="176"/>
      <c r="C259" s="182"/>
      <c r="D259" s="182"/>
      <c r="H259" s="176"/>
      <c r="I259" s="182"/>
      <c r="J259" s="239"/>
      <c r="K259" s="232"/>
      <c r="L259" s="230"/>
      <c r="M259" s="230"/>
      <c r="N259" s="230"/>
      <c r="R259" s="121"/>
    </row>
    <row r="260" spans="2:18" x14ac:dyDescent="0.15">
      <c r="B260" s="176"/>
      <c r="C260" s="182"/>
      <c r="D260" s="182"/>
      <c r="H260" s="176"/>
      <c r="I260" s="182"/>
      <c r="J260" s="239"/>
      <c r="K260" s="232"/>
      <c r="L260" s="230"/>
      <c r="M260" s="230"/>
      <c r="N260" s="230"/>
      <c r="R260" s="121"/>
    </row>
    <row r="261" spans="2:18" x14ac:dyDescent="0.15">
      <c r="B261" s="176"/>
      <c r="C261" s="182"/>
      <c r="D261" s="182"/>
      <c r="H261" s="176"/>
      <c r="I261" s="182"/>
      <c r="J261" s="239"/>
      <c r="K261" s="232"/>
      <c r="L261" s="230"/>
      <c r="M261" s="230"/>
      <c r="N261" s="230"/>
      <c r="R261" s="121"/>
    </row>
    <row r="262" spans="2:18" x14ac:dyDescent="0.15">
      <c r="B262" s="176"/>
      <c r="C262" s="182"/>
      <c r="D262" s="182"/>
      <c r="H262" s="176"/>
      <c r="I262" s="182"/>
      <c r="J262" s="239"/>
      <c r="K262" s="232"/>
      <c r="L262" s="230"/>
      <c r="M262" s="230"/>
      <c r="N262" s="230"/>
      <c r="R262" s="121"/>
    </row>
    <row r="263" spans="2:18" x14ac:dyDescent="0.15">
      <c r="B263" s="176"/>
      <c r="C263" s="182"/>
      <c r="D263" s="182"/>
      <c r="H263" s="176"/>
      <c r="I263" s="182"/>
      <c r="J263" s="239"/>
      <c r="K263" s="232"/>
      <c r="L263" s="230"/>
      <c r="M263" s="230"/>
      <c r="N263" s="230"/>
      <c r="R263" s="121"/>
    </row>
    <row r="264" spans="2:18" x14ac:dyDescent="0.15">
      <c r="B264" s="176"/>
      <c r="C264" s="182"/>
      <c r="D264" s="182"/>
      <c r="H264" s="176"/>
      <c r="I264" s="182"/>
      <c r="J264" s="239"/>
      <c r="K264" s="232"/>
      <c r="L264" s="230"/>
      <c r="M264" s="230"/>
      <c r="N264" s="230"/>
      <c r="R264" s="121"/>
    </row>
    <row r="265" spans="2:18" x14ac:dyDescent="0.15">
      <c r="B265" s="176"/>
      <c r="C265" s="182"/>
      <c r="D265" s="182"/>
      <c r="H265" s="176"/>
      <c r="I265" s="182"/>
      <c r="J265" s="239"/>
      <c r="K265" s="232"/>
      <c r="L265" s="230"/>
      <c r="M265" s="230"/>
      <c r="N265" s="230"/>
      <c r="R265" s="121"/>
    </row>
    <row r="266" spans="2:18" x14ac:dyDescent="0.15">
      <c r="B266" s="176"/>
      <c r="C266" s="182"/>
      <c r="D266" s="182"/>
      <c r="H266" s="176"/>
      <c r="I266" s="182"/>
      <c r="J266" s="239"/>
      <c r="K266" s="232"/>
      <c r="L266" s="230"/>
      <c r="M266" s="230"/>
      <c r="N266" s="230"/>
      <c r="R266" s="121"/>
    </row>
    <row r="267" spans="2:18" x14ac:dyDescent="0.15">
      <c r="B267" s="176"/>
      <c r="C267" s="182"/>
      <c r="D267" s="182"/>
      <c r="H267" s="176"/>
      <c r="I267" s="182"/>
      <c r="J267" s="239"/>
      <c r="K267" s="232"/>
      <c r="L267" s="230"/>
      <c r="M267" s="230"/>
      <c r="N267" s="230"/>
      <c r="R267" s="121"/>
    </row>
    <row r="268" spans="2:18" x14ac:dyDescent="0.15">
      <c r="B268" s="176"/>
      <c r="C268" s="182"/>
      <c r="D268" s="182"/>
      <c r="H268" s="176"/>
      <c r="I268" s="182"/>
      <c r="J268" s="239"/>
      <c r="K268" s="232"/>
      <c r="L268" s="230"/>
      <c r="M268" s="230"/>
      <c r="N268" s="230"/>
      <c r="R268" s="121"/>
    </row>
    <row r="269" spans="2:18" x14ac:dyDescent="0.15">
      <c r="B269" s="176"/>
      <c r="C269" s="182"/>
      <c r="D269" s="182"/>
      <c r="H269" s="176"/>
      <c r="I269" s="182"/>
      <c r="J269" s="239"/>
      <c r="K269" s="232"/>
      <c r="L269" s="230"/>
      <c r="M269" s="230"/>
      <c r="N269" s="230"/>
      <c r="R269" s="121"/>
    </row>
    <row r="270" spans="2:18" x14ac:dyDescent="0.15">
      <c r="B270" s="176"/>
      <c r="C270" s="182"/>
      <c r="D270" s="182"/>
      <c r="H270" s="176"/>
      <c r="I270" s="182"/>
      <c r="J270" s="239"/>
      <c r="K270" s="232"/>
      <c r="L270" s="230"/>
      <c r="M270" s="230"/>
      <c r="N270" s="230"/>
      <c r="R270" s="121"/>
    </row>
    <row r="271" spans="2:18" x14ac:dyDescent="0.15">
      <c r="B271" s="176"/>
      <c r="C271" s="182"/>
      <c r="D271" s="182"/>
      <c r="H271" s="176"/>
      <c r="I271" s="182"/>
      <c r="J271" s="239"/>
      <c r="K271" s="232"/>
      <c r="L271" s="230"/>
      <c r="M271" s="230"/>
      <c r="N271" s="230"/>
      <c r="R271" s="121"/>
    </row>
    <row r="272" spans="2:18" x14ac:dyDescent="0.15">
      <c r="B272" s="176"/>
      <c r="C272" s="182"/>
      <c r="D272" s="182"/>
      <c r="H272" s="176"/>
      <c r="I272" s="182"/>
      <c r="J272" s="239"/>
      <c r="K272" s="232"/>
      <c r="L272" s="230"/>
      <c r="M272" s="230"/>
      <c r="N272" s="230"/>
      <c r="R272" s="121"/>
    </row>
    <row r="273" spans="2:18" x14ac:dyDescent="0.15">
      <c r="B273" s="176"/>
      <c r="C273" s="182"/>
      <c r="D273" s="182"/>
      <c r="H273" s="176"/>
      <c r="I273" s="182"/>
      <c r="J273" s="239"/>
      <c r="K273" s="232"/>
      <c r="L273" s="230"/>
      <c r="M273" s="230"/>
      <c r="N273" s="230"/>
      <c r="R273" s="121"/>
    </row>
    <row r="274" spans="2:18" x14ac:dyDescent="0.15">
      <c r="B274" s="176"/>
      <c r="C274" s="182"/>
      <c r="D274" s="182"/>
      <c r="H274" s="176"/>
      <c r="I274" s="182"/>
      <c r="J274" s="239"/>
      <c r="K274" s="232"/>
      <c r="L274" s="230"/>
      <c r="M274" s="230"/>
      <c r="N274" s="230"/>
      <c r="R274" s="121"/>
    </row>
    <row r="275" spans="2:18" x14ac:dyDescent="0.15">
      <c r="B275" s="176"/>
      <c r="C275" s="182"/>
      <c r="D275" s="182"/>
      <c r="H275" s="176"/>
      <c r="I275" s="182"/>
      <c r="J275" s="239"/>
      <c r="K275" s="232"/>
      <c r="L275" s="230"/>
      <c r="M275" s="230"/>
      <c r="N275" s="230"/>
      <c r="R275" s="121"/>
    </row>
    <row r="276" spans="2:18" x14ac:dyDescent="0.15">
      <c r="B276" s="176"/>
      <c r="C276" s="182"/>
      <c r="D276" s="182"/>
      <c r="H276" s="176"/>
      <c r="I276" s="182"/>
      <c r="J276" s="239"/>
      <c r="K276" s="232"/>
      <c r="L276" s="230"/>
      <c r="M276" s="230"/>
      <c r="N276" s="230"/>
      <c r="R276" s="121"/>
    </row>
    <row r="277" spans="2:18" x14ac:dyDescent="0.15">
      <c r="B277" s="176"/>
      <c r="C277" s="182"/>
      <c r="D277" s="182"/>
      <c r="H277" s="176"/>
      <c r="I277" s="182"/>
      <c r="J277" s="239"/>
      <c r="K277" s="232"/>
      <c r="L277" s="230"/>
      <c r="M277" s="230"/>
      <c r="N277" s="230"/>
      <c r="R277" s="121"/>
    </row>
    <row r="278" spans="2:18" x14ac:dyDescent="0.15">
      <c r="B278" s="176"/>
      <c r="C278" s="182"/>
      <c r="D278" s="182"/>
      <c r="H278" s="176"/>
      <c r="I278" s="182"/>
      <c r="J278" s="239"/>
      <c r="K278" s="232"/>
      <c r="L278" s="230"/>
      <c r="M278" s="230"/>
      <c r="N278" s="230"/>
      <c r="R278" s="121"/>
    </row>
    <row r="279" spans="2:18" x14ac:dyDescent="0.15">
      <c r="B279" s="176"/>
      <c r="C279" s="182"/>
      <c r="D279" s="182"/>
      <c r="H279" s="176"/>
      <c r="I279" s="182"/>
      <c r="J279" s="239"/>
      <c r="K279" s="232"/>
      <c r="L279" s="230"/>
      <c r="M279" s="230"/>
      <c r="N279" s="230"/>
      <c r="R279" s="121"/>
    </row>
    <row r="280" spans="2:18" x14ac:dyDescent="0.15">
      <c r="B280" s="176"/>
      <c r="C280" s="182"/>
      <c r="D280" s="182"/>
      <c r="H280" s="176"/>
      <c r="I280" s="182"/>
      <c r="J280" s="239"/>
      <c r="K280" s="232"/>
      <c r="L280" s="230"/>
      <c r="M280" s="230"/>
      <c r="N280" s="230"/>
      <c r="R280" s="121"/>
    </row>
    <row r="281" spans="2:18" x14ac:dyDescent="0.15">
      <c r="B281" s="176"/>
      <c r="C281" s="182"/>
      <c r="D281" s="182"/>
      <c r="H281" s="176"/>
      <c r="I281" s="182"/>
      <c r="J281" s="239"/>
      <c r="K281" s="232"/>
      <c r="L281" s="230"/>
      <c r="M281" s="230"/>
      <c r="N281" s="230"/>
      <c r="R281" s="121"/>
    </row>
    <row r="282" spans="2:18" x14ac:dyDescent="0.15">
      <c r="B282" s="176"/>
      <c r="C282" s="182"/>
      <c r="D282" s="182"/>
      <c r="H282" s="176"/>
      <c r="I282" s="182"/>
      <c r="J282" s="239"/>
      <c r="K282" s="232"/>
      <c r="L282" s="230"/>
      <c r="M282" s="230"/>
      <c r="N282" s="230"/>
      <c r="R282" s="121"/>
    </row>
    <row r="283" spans="2:18" x14ac:dyDescent="0.15">
      <c r="B283" s="176"/>
      <c r="C283" s="182"/>
      <c r="D283" s="182"/>
      <c r="H283" s="176"/>
      <c r="I283" s="182"/>
      <c r="J283" s="239"/>
      <c r="K283" s="232"/>
      <c r="L283" s="230"/>
      <c r="M283" s="230"/>
      <c r="N283" s="230"/>
      <c r="R283" s="121"/>
    </row>
    <row r="284" spans="2:18" x14ac:dyDescent="0.15">
      <c r="B284" s="176"/>
      <c r="C284" s="182"/>
      <c r="D284" s="182"/>
      <c r="H284" s="176"/>
      <c r="I284" s="182"/>
      <c r="J284" s="239"/>
      <c r="K284" s="232"/>
      <c r="L284" s="230"/>
      <c r="M284" s="230"/>
      <c r="N284" s="230"/>
      <c r="R284" s="121"/>
    </row>
    <row r="285" spans="2:18" x14ac:dyDescent="0.15">
      <c r="B285" s="176"/>
      <c r="C285" s="182"/>
      <c r="D285" s="182"/>
      <c r="H285" s="176"/>
      <c r="I285" s="182"/>
      <c r="J285" s="239"/>
      <c r="K285" s="232"/>
      <c r="L285" s="230"/>
      <c r="M285" s="230"/>
      <c r="N285" s="230"/>
      <c r="R285" s="121"/>
    </row>
    <row r="286" spans="2:18" x14ac:dyDescent="0.15">
      <c r="B286" s="176"/>
      <c r="C286" s="182"/>
      <c r="D286" s="182"/>
      <c r="H286" s="176"/>
      <c r="I286" s="182"/>
      <c r="J286" s="239"/>
      <c r="K286" s="232"/>
      <c r="L286" s="230"/>
      <c r="M286" s="230"/>
      <c r="N286" s="230"/>
      <c r="R286" s="121"/>
    </row>
    <row r="287" spans="2:18" x14ac:dyDescent="0.15">
      <c r="B287" s="176"/>
      <c r="C287" s="182"/>
      <c r="D287" s="182"/>
      <c r="H287" s="176"/>
      <c r="I287" s="182"/>
      <c r="J287" s="239"/>
      <c r="K287" s="232"/>
      <c r="L287" s="230"/>
      <c r="M287" s="230"/>
      <c r="N287" s="230"/>
      <c r="R287" s="121"/>
    </row>
    <row r="288" spans="2:18" x14ac:dyDescent="0.15">
      <c r="B288" s="176"/>
      <c r="C288" s="182"/>
      <c r="D288" s="182"/>
      <c r="H288" s="176"/>
      <c r="I288" s="182"/>
      <c r="J288" s="239"/>
      <c r="K288" s="232"/>
      <c r="L288" s="230"/>
      <c r="M288" s="230"/>
      <c r="N288" s="230"/>
      <c r="R288" s="121"/>
    </row>
    <row r="289" spans="2:18" x14ac:dyDescent="0.15">
      <c r="B289" s="176"/>
      <c r="C289" s="182"/>
      <c r="D289" s="182"/>
      <c r="H289" s="176"/>
      <c r="I289" s="182"/>
      <c r="J289" s="239"/>
      <c r="K289" s="232"/>
      <c r="L289" s="230"/>
      <c r="M289" s="230"/>
      <c r="N289" s="230"/>
      <c r="R289" s="121"/>
    </row>
    <row r="290" spans="2:18" x14ac:dyDescent="0.15">
      <c r="B290" s="176"/>
      <c r="C290" s="182"/>
      <c r="D290" s="182"/>
      <c r="H290" s="176"/>
      <c r="I290" s="182"/>
      <c r="J290" s="239"/>
      <c r="K290" s="232"/>
      <c r="L290" s="230"/>
      <c r="M290" s="230"/>
      <c r="N290" s="230"/>
      <c r="R290" s="121"/>
    </row>
    <row r="291" spans="2:18" x14ac:dyDescent="0.15">
      <c r="B291" s="176"/>
      <c r="C291" s="182"/>
      <c r="D291" s="182"/>
      <c r="H291" s="176"/>
      <c r="I291" s="182"/>
      <c r="J291" s="239"/>
      <c r="K291" s="232"/>
      <c r="L291" s="230"/>
      <c r="M291" s="230"/>
      <c r="N291" s="230"/>
      <c r="R291" s="121"/>
    </row>
    <row r="292" spans="2:18" x14ac:dyDescent="0.15">
      <c r="B292" s="176"/>
      <c r="C292" s="182"/>
      <c r="D292" s="182"/>
      <c r="H292" s="176"/>
      <c r="I292" s="182"/>
      <c r="J292" s="239"/>
      <c r="K292" s="232"/>
      <c r="L292" s="230"/>
      <c r="M292" s="230"/>
      <c r="N292" s="230"/>
      <c r="R292" s="121"/>
    </row>
    <row r="293" spans="2:18" x14ac:dyDescent="0.15">
      <c r="B293" s="176"/>
      <c r="C293" s="182"/>
      <c r="D293" s="182"/>
      <c r="H293" s="176"/>
      <c r="I293" s="182"/>
      <c r="J293" s="239"/>
      <c r="K293" s="232"/>
      <c r="L293" s="230"/>
      <c r="M293" s="230"/>
      <c r="N293" s="230"/>
      <c r="R293" s="121"/>
    </row>
    <row r="294" spans="2:18" x14ac:dyDescent="0.15">
      <c r="B294" s="176"/>
      <c r="C294" s="182"/>
      <c r="D294" s="182"/>
      <c r="H294" s="176"/>
      <c r="I294" s="182"/>
      <c r="J294" s="239"/>
      <c r="K294" s="232"/>
      <c r="L294" s="230"/>
      <c r="M294" s="230"/>
      <c r="N294" s="230"/>
      <c r="R294" s="121"/>
    </row>
    <row r="295" spans="2:18" x14ac:dyDescent="0.15">
      <c r="B295" s="176"/>
      <c r="C295" s="182"/>
      <c r="D295" s="182"/>
      <c r="H295" s="176"/>
      <c r="I295" s="182"/>
      <c r="J295" s="239"/>
      <c r="K295" s="232"/>
      <c r="L295" s="230"/>
      <c r="M295" s="230"/>
      <c r="N295" s="230"/>
      <c r="R295" s="121"/>
    </row>
    <row r="296" spans="2:18" x14ac:dyDescent="0.15">
      <c r="B296" s="176"/>
      <c r="C296" s="182"/>
      <c r="D296" s="182"/>
      <c r="H296" s="176"/>
      <c r="I296" s="182"/>
      <c r="J296" s="239"/>
      <c r="K296" s="232"/>
      <c r="L296" s="230"/>
      <c r="M296" s="230"/>
      <c r="N296" s="230"/>
      <c r="R296" s="121"/>
    </row>
    <row r="297" spans="2:18" x14ac:dyDescent="0.15">
      <c r="B297" s="176"/>
      <c r="C297" s="182"/>
      <c r="D297" s="182"/>
      <c r="H297" s="176"/>
      <c r="I297" s="182"/>
      <c r="J297" s="239"/>
      <c r="K297" s="232"/>
      <c r="L297" s="230"/>
      <c r="M297" s="230"/>
      <c r="N297" s="230"/>
      <c r="R297" s="121"/>
    </row>
    <row r="298" spans="2:18" x14ac:dyDescent="0.15">
      <c r="B298" s="176"/>
      <c r="C298" s="182"/>
      <c r="D298" s="182"/>
      <c r="H298" s="176"/>
      <c r="I298" s="182"/>
      <c r="J298" s="239"/>
      <c r="K298" s="232"/>
      <c r="L298" s="230"/>
      <c r="M298" s="230"/>
      <c r="N298" s="230"/>
      <c r="R298" s="121"/>
    </row>
    <row r="299" spans="2:18" x14ac:dyDescent="0.15">
      <c r="B299" s="176"/>
      <c r="C299" s="182"/>
      <c r="D299" s="182"/>
      <c r="H299" s="176"/>
      <c r="I299" s="182"/>
      <c r="J299" s="239"/>
      <c r="K299" s="232"/>
      <c r="L299" s="230"/>
      <c r="M299" s="230"/>
      <c r="N299" s="230"/>
      <c r="R299" s="121"/>
    </row>
    <row r="300" spans="2:18" x14ac:dyDescent="0.15">
      <c r="B300" s="176"/>
      <c r="C300" s="182"/>
      <c r="D300" s="182"/>
      <c r="H300" s="176"/>
      <c r="I300" s="182"/>
      <c r="J300" s="239"/>
      <c r="K300" s="232"/>
      <c r="L300" s="230"/>
      <c r="M300" s="230"/>
      <c r="N300" s="230"/>
      <c r="R300" s="121"/>
    </row>
    <row r="301" spans="2:18" x14ac:dyDescent="0.15">
      <c r="B301" s="176"/>
      <c r="C301" s="182"/>
      <c r="D301" s="182"/>
      <c r="H301" s="176"/>
      <c r="I301" s="182"/>
      <c r="J301" s="239"/>
      <c r="K301" s="232"/>
      <c r="L301" s="230"/>
      <c r="M301" s="230"/>
      <c r="N301" s="230"/>
      <c r="R301" s="121"/>
    </row>
    <row r="302" spans="2:18" x14ac:dyDescent="0.15">
      <c r="B302" s="176"/>
      <c r="C302" s="182"/>
      <c r="D302" s="182"/>
      <c r="H302" s="176"/>
      <c r="I302" s="182"/>
      <c r="J302" s="239"/>
      <c r="K302" s="232"/>
      <c r="L302" s="230"/>
      <c r="M302" s="230"/>
      <c r="N302" s="230"/>
      <c r="R302" s="121"/>
    </row>
    <row r="303" spans="2:18" x14ac:dyDescent="0.15">
      <c r="B303" s="176"/>
      <c r="C303" s="182"/>
      <c r="D303" s="182"/>
      <c r="H303" s="176"/>
      <c r="K303" s="231"/>
      <c r="L303" s="230"/>
      <c r="M303" s="230"/>
      <c r="N303" s="230"/>
      <c r="R303" s="121"/>
    </row>
    <row r="304" spans="2:18" x14ac:dyDescent="0.15">
      <c r="B304" s="176"/>
      <c r="D304" s="182"/>
      <c r="H304" s="176"/>
      <c r="K304" s="231"/>
      <c r="L304" s="230"/>
      <c r="M304" s="230"/>
      <c r="N304" s="230"/>
      <c r="R304" s="121"/>
    </row>
    <row r="305" spans="2:18" x14ac:dyDescent="0.15">
      <c r="B305" s="176"/>
      <c r="K305" s="231"/>
      <c r="L305" s="230"/>
      <c r="M305" s="230"/>
      <c r="N305" s="230"/>
      <c r="R305" s="121"/>
    </row>
    <row r="306" spans="2:18" x14ac:dyDescent="0.15">
      <c r="B306" s="176"/>
      <c r="K306" s="231"/>
      <c r="L306" s="230"/>
      <c r="M306" s="230"/>
      <c r="N306" s="230"/>
      <c r="R306" s="121"/>
    </row>
    <row r="307" spans="2:18" x14ac:dyDescent="0.15">
      <c r="B307" s="176"/>
      <c r="K307" s="231"/>
      <c r="L307" s="230"/>
      <c r="M307" s="230"/>
      <c r="N307" s="230"/>
      <c r="R307" s="121"/>
    </row>
    <row r="308" spans="2:18" x14ac:dyDescent="0.15">
      <c r="B308" s="176"/>
      <c r="K308" s="231"/>
      <c r="L308" s="230"/>
      <c r="M308" s="230"/>
      <c r="N308" s="230"/>
      <c r="R308" s="121"/>
    </row>
    <row r="309" spans="2:18" x14ac:dyDescent="0.15">
      <c r="B309" s="176"/>
      <c r="K309" s="231"/>
      <c r="L309" s="230"/>
      <c r="M309" s="230"/>
      <c r="N309" s="230"/>
      <c r="R309" s="121"/>
    </row>
    <row r="310" spans="2:18" x14ac:dyDescent="0.15">
      <c r="B310" s="176"/>
      <c r="K310" s="231"/>
      <c r="L310" s="230"/>
      <c r="M310" s="230"/>
      <c r="N310" s="230"/>
      <c r="R310" s="121"/>
    </row>
    <row r="311" spans="2:18" x14ac:dyDescent="0.15">
      <c r="B311" s="176"/>
      <c r="K311" s="231"/>
      <c r="L311" s="230"/>
      <c r="M311" s="230"/>
      <c r="N311" s="230"/>
      <c r="R311" s="121"/>
    </row>
    <row r="312" spans="2:18" x14ac:dyDescent="0.15">
      <c r="B312" s="176"/>
      <c r="K312" s="231"/>
      <c r="L312" s="230"/>
      <c r="M312" s="230"/>
      <c r="N312" s="230"/>
      <c r="R312" s="121"/>
    </row>
    <row r="313" spans="2:18" x14ac:dyDescent="0.15">
      <c r="B313" s="176"/>
      <c r="K313" s="231"/>
      <c r="L313" s="230"/>
      <c r="M313" s="230"/>
      <c r="N313" s="230"/>
      <c r="R313" s="121"/>
    </row>
    <row r="314" spans="2:18" x14ac:dyDescent="0.15">
      <c r="B314" s="176"/>
      <c r="K314" s="231"/>
      <c r="L314" s="230"/>
      <c r="M314" s="230"/>
      <c r="N314" s="230"/>
      <c r="R314" s="121"/>
    </row>
    <row r="315" spans="2:18" x14ac:dyDescent="0.15">
      <c r="B315" s="176"/>
      <c r="K315" s="231"/>
      <c r="L315" s="230"/>
      <c r="M315" s="230"/>
      <c r="N315" s="230"/>
      <c r="R315" s="121"/>
    </row>
    <row r="316" spans="2:18" x14ac:dyDescent="0.15">
      <c r="B316" s="176"/>
      <c r="K316" s="231"/>
      <c r="L316" s="230"/>
      <c r="M316" s="230"/>
      <c r="N316" s="230"/>
      <c r="R316" s="121"/>
    </row>
    <row r="317" spans="2:18" x14ac:dyDescent="0.15">
      <c r="B317" s="176"/>
      <c r="K317" s="231"/>
      <c r="L317" s="230"/>
      <c r="M317" s="230"/>
      <c r="N317" s="230"/>
      <c r="R317" s="121"/>
    </row>
    <row r="318" spans="2:18" x14ac:dyDescent="0.15">
      <c r="B318" s="176"/>
      <c r="K318" s="231"/>
      <c r="L318" s="230"/>
      <c r="M318" s="230"/>
      <c r="N318" s="230"/>
      <c r="R318" s="121"/>
    </row>
    <row r="319" spans="2:18" x14ac:dyDescent="0.15">
      <c r="B319" s="176"/>
      <c r="K319" s="231"/>
      <c r="L319" s="230"/>
      <c r="M319" s="230"/>
      <c r="N319" s="230"/>
      <c r="R319" s="121"/>
    </row>
    <row r="320" spans="2:18" x14ac:dyDescent="0.15">
      <c r="B320" s="176"/>
      <c r="K320" s="231"/>
      <c r="L320" s="230"/>
      <c r="M320" s="230"/>
      <c r="N320" s="230"/>
      <c r="R320" s="121"/>
    </row>
    <row r="321" spans="2:18" x14ac:dyDescent="0.15">
      <c r="B321" s="176"/>
      <c r="K321" s="231"/>
      <c r="L321" s="230"/>
      <c r="M321" s="230"/>
      <c r="N321" s="230"/>
      <c r="R321" s="121"/>
    </row>
    <row r="322" spans="2:18" x14ac:dyDescent="0.15">
      <c r="B322" s="176"/>
      <c r="K322" s="231"/>
      <c r="L322" s="230"/>
      <c r="M322" s="230"/>
      <c r="N322" s="230"/>
      <c r="R322" s="121"/>
    </row>
    <row r="323" spans="2:18" x14ac:dyDescent="0.15">
      <c r="B323" s="176"/>
      <c r="K323" s="231"/>
      <c r="L323" s="230"/>
      <c r="M323" s="230"/>
      <c r="N323" s="230"/>
      <c r="R323" s="121"/>
    </row>
    <row r="324" spans="2:18" x14ac:dyDescent="0.15">
      <c r="B324" s="176"/>
      <c r="K324" s="231"/>
      <c r="L324" s="230"/>
      <c r="M324" s="230"/>
      <c r="N324" s="230"/>
      <c r="R324" s="121"/>
    </row>
    <row r="325" spans="2:18" x14ac:dyDescent="0.15">
      <c r="B325" s="176"/>
      <c r="K325" s="231"/>
      <c r="L325" s="230"/>
      <c r="M325" s="230"/>
      <c r="N325" s="230"/>
      <c r="R325" s="121"/>
    </row>
    <row r="326" spans="2:18" x14ac:dyDescent="0.15">
      <c r="B326" s="176"/>
      <c r="K326" s="231"/>
      <c r="L326" s="230"/>
      <c r="M326" s="230"/>
      <c r="N326" s="230"/>
      <c r="R326" s="121"/>
    </row>
    <row r="327" spans="2:18" x14ac:dyDescent="0.15">
      <c r="B327" s="176"/>
      <c r="K327" s="231"/>
      <c r="L327" s="230"/>
      <c r="M327" s="230"/>
      <c r="N327" s="230"/>
      <c r="R327" s="121"/>
    </row>
    <row r="328" spans="2:18" x14ac:dyDescent="0.15">
      <c r="B328" s="176"/>
      <c r="K328" s="231"/>
      <c r="L328" s="230"/>
      <c r="M328" s="230"/>
      <c r="N328" s="230"/>
      <c r="R328" s="121"/>
    </row>
    <row r="329" spans="2:18" x14ac:dyDescent="0.15">
      <c r="B329" s="176"/>
      <c r="K329" s="231"/>
      <c r="L329" s="230"/>
      <c r="M329" s="230"/>
      <c r="N329" s="230"/>
      <c r="R329" s="121"/>
    </row>
    <row r="330" spans="2:18" x14ac:dyDescent="0.15">
      <c r="B330" s="176"/>
      <c r="K330" s="231"/>
      <c r="L330" s="230"/>
      <c r="M330" s="230"/>
      <c r="N330" s="230"/>
      <c r="R330" s="121"/>
    </row>
    <row r="331" spans="2:18" x14ac:dyDescent="0.15">
      <c r="B331" s="176"/>
      <c r="K331" s="231"/>
      <c r="L331" s="230"/>
      <c r="M331" s="230"/>
      <c r="N331" s="230"/>
      <c r="R331" s="121"/>
    </row>
    <row r="332" spans="2:18" x14ac:dyDescent="0.15">
      <c r="B332" s="176"/>
      <c r="K332" s="231"/>
      <c r="L332" s="230"/>
      <c r="M332" s="230"/>
      <c r="N332" s="230"/>
      <c r="R332" s="121"/>
    </row>
    <row r="333" spans="2:18" x14ac:dyDescent="0.15">
      <c r="B333" s="176"/>
      <c r="K333" s="231"/>
      <c r="L333" s="230"/>
      <c r="M333" s="230"/>
      <c r="N333" s="230"/>
      <c r="R333" s="121"/>
    </row>
    <row r="334" spans="2:18" x14ac:dyDescent="0.15">
      <c r="B334" s="176"/>
      <c r="K334" s="231"/>
      <c r="L334" s="230"/>
      <c r="M334" s="230"/>
      <c r="N334" s="230"/>
      <c r="R334" s="121"/>
    </row>
    <row r="335" spans="2:18" x14ac:dyDescent="0.15">
      <c r="B335" s="176"/>
      <c r="K335" s="231"/>
      <c r="L335" s="230"/>
      <c r="M335" s="230"/>
      <c r="N335" s="230"/>
      <c r="R335" s="121"/>
    </row>
    <row r="336" spans="2:18" x14ac:dyDescent="0.15">
      <c r="B336" s="176"/>
      <c r="K336" s="231"/>
      <c r="L336" s="230"/>
      <c r="M336" s="230"/>
      <c r="N336" s="230"/>
      <c r="R336" s="121"/>
    </row>
  </sheetData>
  <sheetProtection password="C613" sheet="1" objects="1" scenarios="1" pivotTables="0"/>
  <mergeCells count="14">
    <mergeCell ref="E222:I222"/>
    <mergeCell ref="B8:I8"/>
    <mergeCell ref="D6:H6"/>
    <mergeCell ref="B3:I4"/>
    <mergeCell ref="K7:AQ7"/>
    <mergeCell ref="B31:B33"/>
    <mergeCell ref="H13:I14"/>
    <mergeCell ref="H9:I10"/>
    <mergeCell ref="H11:I12"/>
    <mergeCell ref="H29:I29"/>
    <mergeCell ref="H22:I22"/>
    <mergeCell ref="H15:I16"/>
    <mergeCell ref="H32:I32"/>
    <mergeCell ref="H30:I31"/>
  </mergeCells>
  <conditionalFormatting sqref="H228">
    <cfRule type="expression" dxfId="130" priority="13">
      <formula>+gazform="zártkörűen működő részvénytársaság"</formula>
    </cfRule>
    <cfRule type="expression" dxfId="129" priority="14">
      <formula>+gazform="nyílvánosan működő részvénytársaság"</formula>
    </cfRule>
    <cfRule type="expression" dxfId="128" priority="15">
      <formula>+gazform="közkereseti társaság"</formula>
    </cfRule>
    <cfRule type="expression" dxfId="127" priority="16">
      <formula>+gazform="korlátolt felelősségű társaság"</formula>
    </cfRule>
    <cfRule type="expression" dxfId="126" priority="17">
      <formula>+gazform="betéti társaság"</formula>
    </cfRule>
  </conditionalFormatting>
  <conditionalFormatting sqref="B225">
    <cfRule type="expression" dxfId="125" priority="36">
      <formula>$CC$9="c"</formula>
    </cfRule>
  </conditionalFormatting>
  <conditionalFormatting sqref="B225">
    <cfRule type="expression" dxfId="124" priority="31">
      <formula>+gazform="zártkörűen működő részvénytársaság"</formula>
    </cfRule>
    <cfRule type="expression" dxfId="123" priority="32">
      <formula>+gazform="nyílvánosan működő részvénytársaság"</formula>
    </cfRule>
    <cfRule type="expression" dxfId="122" priority="33">
      <formula>+gazform="közkereseti társaság"</formula>
    </cfRule>
    <cfRule type="expression" dxfId="121" priority="34">
      <formula>+gazform="korlátolt felelősségű társaság"</formula>
    </cfRule>
    <cfRule type="expression" dxfId="120" priority="35">
      <formula>+gazform="betéti társaság"</formula>
    </cfRule>
  </conditionalFormatting>
  <conditionalFormatting sqref="B228">
    <cfRule type="expression" dxfId="119" priority="30">
      <formula>$CC$9="c"</formula>
    </cfRule>
  </conditionalFormatting>
  <conditionalFormatting sqref="B228">
    <cfRule type="expression" dxfId="118" priority="25">
      <formula>+gazform="zártkörűen működő részvénytársaság"</formula>
    </cfRule>
    <cfRule type="expression" dxfId="117" priority="26">
      <formula>+gazform="nyílvánosan működő részvénytársaság"</formula>
    </cfRule>
    <cfRule type="expression" dxfId="116" priority="27">
      <formula>+gazform="közkereseti társaság"</formula>
    </cfRule>
    <cfRule type="expression" dxfId="115" priority="28">
      <formula>+gazform="korlátolt felelősségű társaság"</formula>
    </cfRule>
    <cfRule type="expression" dxfId="114" priority="29">
      <formula>+gazform="betéti társaság"</formula>
    </cfRule>
  </conditionalFormatting>
  <conditionalFormatting sqref="E228:F228">
    <cfRule type="expression" dxfId="113" priority="24">
      <formula>$CC$9="c"</formula>
    </cfRule>
  </conditionalFormatting>
  <conditionalFormatting sqref="E228:F228">
    <cfRule type="expression" dxfId="112" priority="19">
      <formula>+gazform="zártkörűen működő részvénytársaság"</formula>
    </cfRule>
    <cfRule type="expression" dxfId="111" priority="20">
      <formula>+gazform="nyílvánosan működő részvénytársaság"</formula>
    </cfRule>
    <cfRule type="expression" dxfId="110" priority="21">
      <formula>+gazform="közkereseti társaság"</formula>
    </cfRule>
    <cfRule type="expression" dxfId="109" priority="22">
      <formula>+gazform="korlátolt felelősségű társaság"</formula>
    </cfRule>
    <cfRule type="expression" dxfId="108" priority="23">
      <formula>+gazform="betéti társaság"</formula>
    </cfRule>
  </conditionalFormatting>
  <conditionalFormatting sqref="H228">
    <cfRule type="expression" dxfId="107" priority="18">
      <formula>$CC$9="c"</formula>
    </cfRule>
  </conditionalFormatting>
  <conditionalFormatting sqref="E222">
    <cfRule type="expression" dxfId="106" priority="39">
      <formula>$K$234&lt;&gt;"igen"</formula>
    </cfRule>
  </conditionalFormatting>
  <dataValidations count="3">
    <dataValidation type="list" allowBlank="1" showInputMessage="1" showErrorMessage="1" sqref="B36" xr:uid="{00000000-0002-0000-0400-000000000000}">
      <formula1>$O$40:$O$42</formula1>
    </dataValidation>
    <dataValidation allowBlank="1" showInputMessage="1" showErrorMessage="1" prompt="Kérem a kiválasztott tőkefizetési gyakoriság szerint jelölje meg azokat a hónapokat, amelyben törleszteni kíván!" sqref="D17" xr:uid="{00000000-0002-0000-0400-000001000000}"/>
    <dataValidation allowBlank="1" showInputMessage="1" showErrorMessage="1" promptTitle="Kamat" prompt="A lenti kamatfizetési ütemterv csak a tőkefizetési időszakhoz kapcsolódó kamatfizetést mutatja! " sqref="H34:I34" xr:uid="{00000000-0002-0000-0400-000002000000}"/>
  </dataValidations>
  <pageMargins left="0" right="0" top="0" bottom="0" header="0" footer="0"/>
  <pageSetup scale="55" fitToHeight="0" orientation="portrait" r:id="rId1"/>
  <rowBreaks count="2" manualBreakCount="2">
    <brk id="82" max="10" man="1"/>
    <brk id="143" max="1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7" id="{E9B228FE-D575-4103-868D-AE16FA1A1D84}">
            <xm:f>'Refinanszírozási kérelem'!$BU$9=3</xm:f>
            <x14:dxf>
              <font>
                <color theme="0"/>
              </font>
              <fill>
                <patternFill>
                  <fgColor theme="0"/>
                  <bgColor theme="0"/>
                </patternFill>
              </fill>
              <border>
                <left/>
                <right/>
                <top/>
                <bottom/>
                <vertical/>
                <horizontal/>
              </border>
            </x14:dxf>
          </x14:cfRule>
          <x14:cfRule type="expression" priority="47" id="{85ABE98A-BB03-4339-AE01-258C2082FFA3}">
            <xm:f>'Refinanszírozási kérelem'!$BU$8=2</xm:f>
            <x14:dxf>
              <font>
                <color theme="0"/>
              </font>
              <fill>
                <patternFill>
                  <fgColor theme="0"/>
                  <bgColor theme="0"/>
                </patternFill>
              </fill>
              <border>
                <left/>
                <right/>
                <top/>
                <bottom/>
                <vertical/>
                <horizontal/>
              </border>
            </x14:dxf>
          </x14:cfRule>
          <xm:sqref>D33:F33</xm:sqref>
        </x14:conditionalFormatting>
        <x14:conditionalFormatting xmlns:xm="http://schemas.microsoft.com/office/excel/2006/main">
          <x14:cfRule type="expression" priority="40" id="{C47F3AF6-99F9-44BD-BEC0-FFBBFC43E705}">
            <xm:f>+'Refinanszírozási kérelem'!$R$20:$BC$20="MFB NHP Fix Lízing Refinanszírozási Program"</xm:f>
            <x14:dxf>
              <font>
                <color theme="0"/>
              </font>
              <fill>
                <patternFill>
                  <fgColor theme="0"/>
                  <bgColor theme="0"/>
                </patternFill>
              </fill>
              <border>
                <left/>
                <right/>
                <top/>
                <bottom/>
                <vertical/>
                <horizontal/>
              </border>
            </x14:dxf>
          </x14:cfRule>
          <x14:cfRule type="expression" priority="41" id="{A0003983-8245-411C-AA54-6D73D53D7D0C}">
            <xm:f>+'Refinanszírozási kérelem'!$R$20:$BC$20="MFB Lízing Refinanszírozási Program"</xm:f>
            <x14:dxf>
              <font>
                <color theme="0"/>
              </font>
              <fill>
                <patternFill patternType="solid">
                  <fgColor theme="0"/>
                  <bgColor theme="0"/>
                </patternFill>
              </fill>
              <border>
                <left/>
                <right/>
                <top/>
                <bottom/>
                <vertical/>
                <horizontal/>
              </border>
            </x14:dxf>
          </x14:cfRule>
          <xm:sqref>E222</xm:sqref>
        </x14:conditionalFormatting>
        <x14:conditionalFormatting xmlns:xm="http://schemas.microsoft.com/office/excel/2006/main">
          <x14:cfRule type="expression" priority="5" id="{E0B62AEA-C907-465B-A653-020BCF3442A7}">
            <xm:f>OR('Refinanszírozási kérelem'!$BU$10=4,'Refinanszírozási kérelem'!$BU$11=5)</xm:f>
            <x14:dxf>
              <font>
                <color theme="0"/>
              </font>
              <fill>
                <patternFill>
                  <fgColor theme="0"/>
                  <bgColor theme="0"/>
                </patternFill>
              </fill>
              <border>
                <left/>
                <right/>
                <vertical/>
                <horizontal/>
              </border>
            </x14:dxf>
          </x14:cfRule>
          <x14:cfRule type="expression" priority="6" id="{CEC518FE-6C0F-4B01-B1D4-EFBD06E44F89}">
            <xm:f>'Refinanszírozási kérelem'!$BU$7=1</xm:f>
            <x14:dxf>
              <font>
                <color theme="0"/>
              </font>
              <fill>
                <patternFill>
                  <fgColor theme="0"/>
                  <bgColor theme="0"/>
                </patternFill>
              </fill>
              <border>
                <left/>
                <right/>
                <vertical/>
                <horizontal/>
              </border>
            </x14:dxf>
          </x14:cfRule>
          <xm:sqref>B36:I36</xm:sqref>
        </x14:conditionalFormatting>
        <x14:conditionalFormatting xmlns:xm="http://schemas.microsoft.com/office/excel/2006/main">
          <x14:cfRule type="expression" priority="3" id="{73138061-F79E-469A-9453-D935C6BBC0BF}">
            <xm:f>'Refinanszírozási kérelem'!$BU$10=4</xm:f>
            <x14:dxf>
              <fill>
                <patternFill>
                  <fgColor theme="0"/>
                  <bgColor theme="0"/>
                </patternFill>
              </fill>
              <border>
                <left style="thin">
                  <color auto="1"/>
                </left>
                <vertical/>
                <horizontal/>
              </border>
            </x14:dxf>
          </x14:cfRule>
          <x14:cfRule type="expression" priority="4" id="{0DA5CCE0-252D-4E49-88D4-F6B169073734}">
            <xm:f>'Refinanszírozási kérelem'!$BU$7=1</xm:f>
            <x14:dxf>
              <fill>
                <patternFill>
                  <fgColor theme="0"/>
                  <bgColor theme="0"/>
                </patternFill>
              </fill>
              <border>
                <left style="thin">
                  <color auto="1"/>
                </left>
                <vertical/>
                <horizontal/>
              </border>
            </x14:dxf>
          </x14:cfRule>
          <xm:sqref>J36</xm:sqref>
        </x14:conditionalFormatting>
        <x14:conditionalFormatting xmlns:xm="http://schemas.microsoft.com/office/excel/2006/main">
          <x14:cfRule type="expression" priority="1" id="{70731285-96F4-4C92-B6DD-8327DE193AF1}">
            <xm:f>'Refinanszírozási kérelem'!$BU$10=4</xm:f>
            <x14:dxf>
              <font>
                <color theme="0"/>
              </font>
              <fill>
                <patternFill>
                  <fgColor theme="0"/>
                  <bgColor theme="0"/>
                </patternFill>
              </fill>
              <border>
                <right style="thin">
                  <color auto="1"/>
                </right>
                <vertical/>
                <horizontal/>
              </border>
            </x14:dxf>
          </x14:cfRule>
          <x14:cfRule type="expression" priority="2" id="{28430FB1-76EA-4633-AF8D-CBFA80BDB9AE}">
            <xm:f>'Refinanszírozási kérelem'!$BU$7=1</xm:f>
            <x14:dxf>
              <fill>
                <patternFill>
                  <fgColor theme="0"/>
                  <bgColor theme="0"/>
                </patternFill>
              </fill>
              <border>
                <right style="thin">
                  <color auto="1"/>
                </right>
                <vertical/>
                <horizontal/>
              </border>
            </x14:dxf>
          </x14:cfRule>
          <xm:sqref>A36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8">
    <tabColor theme="3" tint="0.79998168889431442"/>
    <pageSetUpPr fitToPage="1"/>
  </sheetPr>
  <dimension ref="A2:BY94"/>
  <sheetViews>
    <sheetView view="pageBreakPreview" zoomScale="80" zoomScaleNormal="70" zoomScaleSheetLayoutView="80" workbookViewId="0">
      <selection activeCell="AI50" sqref="AI50:AL50"/>
    </sheetView>
  </sheetViews>
  <sheetFormatPr baseColWidth="10" defaultColWidth="2.1640625" defaultRowHeight="12" customHeight="1" x14ac:dyDescent="0.15"/>
  <cols>
    <col min="1" max="1" width="1.33203125" style="198" customWidth="1"/>
    <col min="2" max="14" width="2.1640625" style="198" customWidth="1"/>
    <col min="15" max="15" width="8.1640625" style="198" customWidth="1"/>
    <col min="16" max="16" width="5.33203125" style="198" customWidth="1"/>
    <col min="17" max="17" width="3.33203125" style="198" customWidth="1"/>
    <col min="18" max="18" width="2.1640625" style="198" customWidth="1"/>
    <col min="19" max="20" width="3.33203125" style="198" customWidth="1"/>
    <col min="21" max="28" width="4" style="198" customWidth="1"/>
    <col min="29" max="29" width="5.5" style="198" customWidth="1"/>
    <col min="30" max="30" width="4" style="198" customWidth="1"/>
    <col min="31" max="31" width="5" style="198" customWidth="1"/>
    <col min="32" max="36" width="4" style="198" customWidth="1"/>
    <col min="37" max="37" width="7.6640625" style="198" customWidth="1"/>
    <col min="38" max="38" width="4" style="198" customWidth="1"/>
    <col min="39" max="39" width="5.5" style="198" customWidth="1"/>
    <col min="40" max="40" width="4.5" style="198" customWidth="1"/>
    <col min="41" max="43" width="4" style="198" customWidth="1"/>
    <col min="44" max="44" width="6" style="198" customWidth="1"/>
    <col min="45" max="76" width="4" style="198" customWidth="1"/>
    <col min="77" max="78" width="0.6640625" style="198" customWidth="1"/>
    <col min="79" max="16384" width="2.1640625" style="198"/>
  </cols>
  <sheetData>
    <row r="2" spans="1:76" ht="24.75" customHeight="1" x14ac:dyDescent="0.15">
      <c r="C2" s="1489" t="str">
        <f>+IF(Hitelprog_Rovid="","",Hitelprog_Rovid)</f>
        <v/>
      </c>
      <c r="D2" s="1489"/>
      <c r="E2" s="1489"/>
      <c r="F2" s="1489"/>
      <c r="G2" s="1489"/>
      <c r="H2" s="1489"/>
      <c r="I2" s="1489"/>
      <c r="J2" s="1489"/>
      <c r="K2" s="1489"/>
      <c r="L2" s="1489"/>
      <c r="M2" s="1489"/>
      <c r="N2" s="1489"/>
      <c r="O2" s="1489"/>
      <c r="P2" s="1489"/>
      <c r="Q2" s="1489"/>
      <c r="R2" s="1489"/>
      <c r="S2" s="1489"/>
      <c r="T2" s="1489"/>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c r="AT2" s="1489"/>
      <c r="AU2" s="1489"/>
      <c r="AV2" s="1489"/>
      <c r="AW2" s="1489"/>
      <c r="AX2" s="1489"/>
      <c r="AY2" s="1489"/>
      <c r="AZ2" s="1489"/>
      <c r="BA2" s="1489"/>
      <c r="BB2" s="1489"/>
      <c r="BC2" s="1489"/>
      <c r="BD2" s="1489"/>
      <c r="BE2" s="1489"/>
      <c r="BF2" s="1489"/>
      <c r="BG2" s="1489"/>
      <c r="BH2" s="1489"/>
      <c r="BI2" s="1489"/>
      <c r="BJ2" s="1489"/>
      <c r="BK2" s="1489"/>
      <c r="BL2" s="1489"/>
      <c r="BM2" s="1489"/>
      <c r="BN2" s="1489"/>
      <c r="BO2" s="1489"/>
      <c r="BP2" s="1489"/>
      <c r="BQ2" s="1489"/>
      <c r="BR2" s="1489"/>
      <c r="BS2" s="1489"/>
      <c r="BT2" s="1489"/>
      <c r="BU2" s="1489"/>
      <c r="BV2" s="1489"/>
      <c r="BW2" s="1489"/>
      <c r="BX2" s="1489"/>
    </row>
    <row r="3" spans="1:76" ht="12" customHeight="1" thickBot="1" x14ac:dyDescent="0.2"/>
    <row r="4" spans="1:76" ht="27.75" customHeight="1" thickBot="1" x14ac:dyDescent="0.2">
      <c r="AD4" s="1490" t="s">
        <v>993</v>
      </c>
      <c r="AE4" s="1491"/>
      <c r="AF4" s="1491"/>
      <c r="AG4" s="1491"/>
      <c r="AH4" s="1491"/>
      <c r="AI4" s="1491"/>
      <c r="AJ4" s="1491"/>
      <c r="AK4" s="1491"/>
      <c r="AL4" s="1491"/>
      <c r="AM4" s="1491"/>
      <c r="AN4" s="1491"/>
      <c r="AO4" s="1491"/>
      <c r="AP4" s="1491"/>
      <c r="AQ4" s="1491"/>
      <c r="AR4" s="1491"/>
      <c r="AS4" s="1491"/>
      <c r="AT4" s="1491"/>
      <c r="AU4" s="1491"/>
      <c r="AV4" s="1491"/>
      <c r="AW4" s="1491"/>
      <c r="AX4" s="1491"/>
      <c r="AY4" s="1491"/>
      <c r="AZ4" s="1492"/>
    </row>
    <row r="5" spans="1:76" ht="12" customHeight="1" thickBot="1" x14ac:dyDescent="0.2"/>
    <row r="6" spans="1:76" ht="15" customHeight="1" thickBot="1" x14ac:dyDescent="0.2">
      <c r="A6" s="124"/>
      <c r="B6" s="124"/>
      <c r="C6" s="1558" t="s">
        <v>319</v>
      </c>
      <c r="D6" s="1534"/>
      <c r="E6" s="1534"/>
      <c r="F6" s="1534"/>
      <c r="G6" s="1534"/>
      <c r="H6" s="1534"/>
      <c r="I6" s="1534"/>
      <c r="J6" s="1534"/>
      <c r="K6" s="1534"/>
      <c r="L6" s="1534"/>
      <c r="M6" s="1534"/>
      <c r="N6" s="1534"/>
      <c r="O6" s="1534"/>
      <c r="P6" s="1534"/>
      <c r="Q6" s="1534"/>
      <c r="R6" s="1534"/>
      <c r="S6" s="1534"/>
      <c r="T6" s="1534"/>
      <c r="U6" s="1534"/>
      <c r="V6" s="1534"/>
      <c r="W6" s="1534"/>
      <c r="X6" s="1534"/>
      <c r="Y6" s="1534"/>
      <c r="Z6" s="1534"/>
      <c r="AA6" s="1534"/>
      <c r="AB6" s="1534"/>
      <c r="AC6" s="1534"/>
      <c r="AD6" s="1534"/>
      <c r="AE6" s="1534"/>
      <c r="AF6" s="1534"/>
      <c r="AG6" s="1534"/>
      <c r="AH6" s="1534"/>
      <c r="AI6" s="1534"/>
      <c r="AJ6" s="1534"/>
      <c r="AK6" s="1534"/>
      <c r="AL6" s="1534"/>
      <c r="AM6" s="1534"/>
      <c r="AN6" s="1534"/>
      <c r="AO6" s="1534"/>
      <c r="AP6" s="1534"/>
      <c r="AQ6" s="1534"/>
      <c r="AR6" s="1534"/>
      <c r="AS6" s="1534"/>
      <c r="AT6" s="1534"/>
      <c r="AU6" s="1534"/>
      <c r="AV6" s="1534"/>
      <c r="AW6" s="1534"/>
      <c r="AX6" s="1534"/>
      <c r="AY6" s="1534"/>
      <c r="AZ6" s="1534"/>
      <c r="BA6" s="1534"/>
      <c r="BB6" s="1534"/>
      <c r="BC6" s="1534"/>
      <c r="BD6" s="1534"/>
      <c r="BE6" s="1534"/>
      <c r="BF6" s="1534"/>
      <c r="BG6" s="1534"/>
      <c r="BH6" s="1534"/>
      <c r="BI6" s="1534"/>
      <c r="BJ6" s="1534"/>
      <c r="BK6" s="1534"/>
      <c r="BL6" s="1534"/>
      <c r="BM6" s="1534"/>
      <c r="BN6" s="1534"/>
      <c r="BO6" s="1534"/>
      <c r="BP6" s="1534"/>
      <c r="BQ6" s="1534"/>
      <c r="BR6" s="1534"/>
      <c r="BS6" s="1534"/>
      <c r="BT6" s="1534"/>
      <c r="BU6" s="1534"/>
      <c r="BV6" s="1534"/>
      <c r="BW6" s="1534"/>
      <c r="BX6" s="1559"/>
    </row>
    <row r="7" spans="1:76" ht="13" x14ac:dyDescent="0.15">
      <c r="A7" s="124"/>
      <c r="B7" s="124"/>
      <c r="C7" s="124"/>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200"/>
    </row>
    <row r="8" spans="1:76" ht="10.5" customHeight="1" x14ac:dyDescent="0.15">
      <c r="A8" s="124"/>
      <c r="B8" s="124"/>
      <c r="C8" s="1560" t="s">
        <v>320</v>
      </c>
      <c r="D8" s="1561"/>
      <c r="E8" s="1561"/>
      <c r="F8" s="1561"/>
      <c r="G8" s="1561"/>
      <c r="H8" s="1561"/>
      <c r="I8" s="1561"/>
      <c r="J8" s="1561"/>
      <c r="K8" s="1561"/>
      <c r="L8" s="1561"/>
      <c r="M8" s="1561"/>
      <c r="N8" s="1561"/>
      <c r="O8" s="1561"/>
      <c r="P8" s="1562"/>
      <c r="Q8" s="1563" t="s">
        <v>321</v>
      </c>
      <c r="R8" s="1564"/>
      <c r="S8" s="1564"/>
      <c r="T8" s="1565"/>
      <c r="U8" s="1563" t="s">
        <v>322</v>
      </c>
      <c r="V8" s="1564"/>
      <c r="W8" s="1564"/>
      <c r="X8" s="1564"/>
      <c r="Y8" s="1564"/>
      <c r="Z8" s="1564"/>
      <c r="AA8" s="1564"/>
      <c r="AB8" s="1564"/>
      <c r="AC8" s="1564"/>
      <c r="AD8" s="1564"/>
      <c r="AE8" s="1564"/>
      <c r="AF8" s="1564"/>
      <c r="AG8" s="1564"/>
      <c r="AH8" s="1564"/>
      <c r="AI8" s="1564"/>
      <c r="AJ8" s="1564"/>
      <c r="AK8" s="1564"/>
      <c r="AL8" s="1564"/>
      <c r="AM8" s="1564"/>
      <c r="AN8" s="1564"/>
      <c r="AO8" s="1564"/>
      <c r="AP8" s="1564"/>
      <c r="AQ8" s="1564"/>
      <c r="AR8" s="1564"/>
      <c r="AS8" s="1564"/>
      <c r="AT8" s="1564"/>
      <c r="AU8" s="1564"/>
      <c r="AV8" s="1564"/>
      <c r="AW8" s="1564"/>
      <c r="AX8" s="1564"/>
      <c r="AY8" s="1564"/>
      <c r="AZ8" s="1564"/>
      <c r="BA8" s="1564"/>
      <c r="BB8" s="1564"/>
      <c r="BC8" s="1564"/>
      <c r="BD8" s="1564"/>
      <c r="BE8" s="1564"/>
      <c r="BF8" s="1564"/>
      <c r="BG8" s="1564"/>
      <c r="BH8" s="1564"/>
      <c r="BI8" s="1564"/>
      <c r="BJ8" s="1564"/>
      <c r="BK8" s="1564"/>
      <c r="BL8" s="1564"/>
      <c r="BM8" s="1564"/>
      <c r="BN8" s="1564"/>
      <c r="BO8" s="1564"/>
      <c r="BP8" s="1564"/>
      <c r="BQ8" s="1564"/>
      <c r="BR8" s="1564"/>
      <c r="BS8" s="1564"/>
      <c r="BT8" s="1564"/>
      <c r="BU8" s="1564"/>
      <c r="BV8" s="1564"/>
      <c r="BW8" s="1564"/>
      <c r="BX8" s="1565"/>
    </row>
    <row r="9" spans="1:76" ht="13" x14ac:dyDescent="0.15">
      <c r="A9" s="124"/>
      <c r="B9" s="124"/>
      <c r="C9" s="1539"/>
      <c r="D9" s="1540"/>
      <c r="E9" s="1540"/>
      <c r="F9" s="1540"/>
      <c r="G9" s="1540"/>
      <c r="H9" s="1540"/>
      <c r="I9" s="1540"/>
      <c r="J9" s="1540"/>
      <c r="K9" s="1540"/>
      <c r="L9" s="1540"/>
      <c r="M9" s="1540"/>
      <c r="N9" s="1540"/>
      <c r="O9" s="1540"/>
      <c r="P9" s="1541"/>
      <c r="Q9" s="1527"/>
      <c r="R9" s="1528"/>
      <c r="S9" s="1528"/>
      <c r="T9" s="1529"/>
      <c r="U9" s="1527"/>
      <c r="V9" s="1528"/>
      <c r="W9" s="1528"/>
      <c r="X9" s="1528"/>
      <c r="Y9" s="1528"/>
      <c r="Z9" s="1528"/>
      <c r="AA9" s="1528"/>
      <c r="AB9" s="1528"/>
      <c r="AC9" s="1528"/>
      <c r="AD9" s="1528"/>
      <c r="AE9" s="1528"/>
      <c r="AF9" s="1528"/>
      <c r="AG9" s="1528"/>
      <c r="AH9" s="1528"/>
      <c r="AI9" s="1528"/>
      <c r="AJ9" s="1528"/>
      <c r="AK9" s="1528"/>
      <c r="AL9" s="1528"/>
      <c r="AM9" s="1528"/>
      <c r="AN9" s="1528"/>
      <c r="AO9" s="1528"/>
      <c r="AP9" s="1528"/>
      <c r="AQ9" s="1528"/>
      <c r="AR9" s="1528"/>
      <c r="AS9" s="1528"/>
      <c r="AT9" s="1528"/>
      <c r="AU9" s="1528"/>
      <c r="AV9" s="1528"/>
      <c r="AW9" s="1528"/>
      <c r="AX9" s="1528"/>
      <c r="AY9" s="1528"/>
      <c r="AZ9" s="1528"/>
      <c r="BA9" s="1528"/>
      <c r="BB9" s="1528"/>
      <c r="BC9" s="1528"/>
      <c r="BD9" s="1528"/>
      <c r="BE9" s="1528"/>
      <c r="BF9" s="1528"/>
      <c r="BG9" s="1528"/>
      <c r="BH9" s="1528"/>
      <c r="BI9" s="1528"/>
      <c r="BJ9" s="1528"/>
      <c r="BK9" s="1528"/>
      <c r="BL9" s="1528"/>
      <c r="BM9" s="1528"/>
      <c r="BN9" s="1528"/>
      <c r="BO9" s="1528"/>
      <c r="BP9" s="1528"/>
      <c r="BQ9" s="1528"/>
      <c r="BR9" s="1528"/>
      <c r="BS9" s="1528"/>
      <c r="BT9" s="1528"/>
      <c r="BU9" s="1528"/>
      <c r="BV9" s="1528"/>
      <c r="BW9" s="1528"/>
      <c r="BX9" s="1529"/>
    </row>
    <row r="10" spans="1:76" ht="13" x14ac:dyDescent="0.15">
      <c r="A10" s="124"/>
      <c r="B10" s="124"/>
      <c r="C10" s="1542"/>
      <c r="D10" s="1543"/>
      <c r="E10" s="1543"/>
      <c r="F10" s="1543"/>
      <c r="G10" s="1543"/>
      <c r="H10" s="1543"/>
      <c r="I10" s="1543"/>
      <c r="J10" s="1543"/>
      <c r="K10" s="1543"/>
      <c r="L10" s="1543"/>
      <c r="M10" s="1543"/>
      <c r="N10" s="1543"/>
      <c r="O10" s="1543"/>
      <c r="P10" s="1544"/>
      <c r="Q10" s="1550"/>
      <c r="R10" s="1551"/>
      <c r="S10" s="1551"/>
      <c r="T10" s="1552"/>
      <c r="U10" s="1550"/>
      <c r="V10" s="1551"/>
      <c r="W10" s="1551"/>
      <c r="X10" s="1552"/>
      <c r="Y10" s="1550"/>
      <c r="Z10" s="1551"/>
      <c r="AA10" s="1551"/>
      <c r="AB10" s="1552"/>
      <c r="AC10" s="1550"/>
      <c r="AD10" s="1551"/>
      <c r="AE10" s="1551"/>
      <c r="AF10" s="1552"/>
      <c r="AG10" s="1550"/>
      <c r="AH10" s="1551"/>
      <c r="AI10" s="1551"/>
      <c r="AJ10" s="1552"/>
      <c r="AK10" s="1550"/>
      <c r="AL10" s="1551"/>
      <c r="AM10" s="1551"/>
      <c r="AN10" s="1552"/>
      <c r="AO10" s="1550"/>
      <c r="AP10" s="1551"/>
      <c r="AQ10" s="1551"/>
      <c r="AR10" s="1552"/>
      <c r="AS10" s="1550"/>
      <c r="AT10" s="1551"/>
      <c r="AU10" s="1551"/>
      <c r="AV10" s="1552"/>
      <c r="AW10" s="1550"/>
      <c r="AX10" s="1551"/>
      <c r="AY10" s="1551"/>
      <c r="AZ10" s="1552"/>
      <c r="BA10" s="1550"/>
      <c r="BB10" s="1551"/>
      <c r="BC10" s="1551"/>
      <c r="BD10" s="1552"/>
      <c r="BE10" s="1550"/>
      <c r="BF10" s="1551"/>
      <c r="BG10" s="1551"/>
      <c r="BH10" s="1552"/>
      <c r="BI10" s="1550"/>
      <c r="BJ10" s="1551"/>
      <c r="BK10" s="1551"/>
      <c r="BL10" s="1552"/>
      <c r="BM10" s="1550"/>
      <c r="BN10" s="1551"/>
      <c r="BO10" s="1551"/>
      <c r="BP10" s="1552"/>
      <c r="BQ10" s="1550"/>
      <c r="BR10" s="1551"/>
      <c r="BS10" s="1551"/>
      <c r="BT10" s="1552"/>
      <c r="BU10" s="1550"/>
      <c r="BV10" s="1551"/>
      <c r="BW10" s="1551"/>
      <c r="BX10" s="1552"/>
    </row>
    <row r="11" spans="1:76" ht="13" x14ac:dyDescent="0.15">
      <c r="A11" s="124"/>
      <c r="B11" s="124"/>
      <c r="C11" s="201" t="s">
        <v>323</v>
      </c>
      <c r="D11" s="202"/>
      <c r="E11" s="202"/>
      <c r="F11" s="202"/>
      <c r="G11" s="202"/>
      <c r="H11" s="202"/>
      <c r="I11" s="202"/>
      <c r="J11" s="202"/>
      <c r="K11" s="202"/>
      <c r="L11" s="202"/>
      <c r="M11" s="202"/>
      <c r="N11" s="202"/>
      <c r="O11" s="202"/>
      <c r="P11" s="203"/>
      <c r="Q11" s="1499"/>
      <c r="R11" s="1500"/>
      <c r="S11" s="1500"/>
      <c r="T11" s="1501"/>
      <c r="U11" s="1499"/>
      <c r="V11" s="1500"/>
      <c r="W11" s="1500"/>
      <c r="X11" s="1501"/>
      <c r="Y11" s="1499"/>
      <c r="Z11" s="1500"/>
      <c r="AA11" s="1500"/>
      <c r="AB11" s="1501"/>
      <c r="AC11" s="1499"/>
      <c r="AD11" s="1500"/>
      <c r="AE11" s="1500"/>
      <c r="AF11" s="1501"/>
      <c r="AG11" s="1499"/>
      <c r="AH11" s="1500"/>
      <c r="AI11" s="1500"/>
      <c r="AJ11" s="1501"/>
      <c r="AK11" s="1499"/>
      <c r="AL11" s="1500"/>
      <c r="AM11" s="1500"/>
      <c r="AN11" s="1501"/>
      <c r="AO11" s="1499"/>
      <c r="AP11" s="1500"/>
      <c r="AQ11" s="1500"/>
      <c r="AR11" s="1501"/>
      <c r="AS11" s="1499"/>
      <c r="AT11" s="1500"/>
      <c r="AU11" s="1500"/>
      <c r="AV11" s="1501"/>
      <c r="AW11" s="1499"/>
      <c r="AX11" s="1500"/>
      <c r="AY11" s="1500"/>
      <c r="AZ11" s="1501"/>
      <c r="BA11" s="1499"/>
      <c r="BB11" s="1500"/>
      <c r="BC11" s="1500"/>
      <c r="BD11" s="1501"/>
      <c r="BE11" s="1499"/>
      <c r="BF11" s="1500"/>
      <c r="BG11" s="1500"/>
      <c r="BH11" s="1501"/>
      <c r="BI11" s="1499"/>
      <c r="BJ11" s="1500"/>
      <c r="BK11" s="1500"/>
      <c r="BL11" s="1501"/>
      <c r="BM11" s="1499"/>
      <c r="BN11" s="1500"/>
      <c r="BO11" s="1500"/>
      <c r="BP11" s="1501"/>
      <c r="BQ11" s="1499"/>
      <c r="BR11" s="1500"/>
      <c r="BS11" s="1500"/>
      <c r="BT11" s="1501"/>
      <c r="BU11" s="1499"/>
      <c r="BV11" s="1500"/>
      <c r="BW11" s="1500"/>
      <c r="BX11" s="1501"/>
    </row>
    <row r="12" spans="1:76" ht="14" thickBot="1" x14ac:dyDescent="0.2">
      <c r="A12" s="124"/>
      <c r="B12" s="124"/>
      <c r="C12" s="201" t="s">
        <v>324</v>
      </c>
      <c r="D12" s="202"/>
      <c r="E12" s="202"/>
      <c r="F12" s="202"/>
      <c r="G12" s="202"/>
      <c r="H12" s="202"/>
      <c r="I12" s="202"/>
      <c r="J12" s="202"/>
      <c r="K12" s="202"/>
      <c r="L12" s="202"/>
      <c r="M12" s="202"/>
      <c r="N12" s="202"/>
      <c r="O12" s="202"/>
      <c r="P12" s="203"/>
      <c r="Q12" s="1502"/>
      <c r="R12" s="1503"/>
      <c r="S12" s="1503"/>
      <c r="T12" s="1504"/>
      <c r="U12" s="1502"/>
      <c r="V12" s="1503"/>
      <c r="W12" s="1503"/>
      <c r="X12" s="1504"/>
      <c r="Y12" s="1502"/>
      <c r="Z12" s="1503"/>
      <c r="AA12" s="1503"/>
      <c r="AB12" s="1504"/>
      <c r="AC12" s="1502"/>
      <c r="AD12" s="1503"/>
      <c r="AE12" s="1503"/>
      <c r="AF12" s="1504"/>
      <c r="AG12" s="1502"/>
      <c r="AH12" s="1503"/>
      <c r="AI12" s="1503"/>
      <c r="AJ12" s="1504"/>
      <c r="AK12" s="1502"/>
      <c r="AL12" s="1503"/>
      <c r="AM12" s="1503"/>
      <c r="AN12" s="1504"/>
      <c r="AO12" s="1502"/>
      <c r="AP12" s="1503"/>
      <c r="AQ12" s="1503"/>
      <c r="AR12" s="1504"/>
      <c r="AS12" s="1502"/>
      <c r="AT12" s="1503"/>
      <c r="AU12" s="1503"/>
      <c r="AV12" s="1504"/>
      <c r="AW12" s="1502"/>
      <c r="AX12" s="1503"/>
      <c r="AY12" s="1503"/>
      <c r="AZ12" s="1504"/>
      <c r="BA12" s="1502"/>
      <c r="BB12" s="1503"/>
      <c r="BC12" s="1503"/>
      <c r="BD12" s="1504"/>
      <c r="BE12" s="1502"/>
      <c r="BF12" s="1503"/>
      <c r="BG12" s="1503"/>
      <c r="BH12" s="1504"/>
      <c r="BI12" s="1502"/>
      <c r="BJ12" s="1503"/>
      <c r="BK12" s="1503"/>
      <c r="BL12" s="1504"/>
      <c r="BM12" s="1502"/>
      <c r="BN12" s="1503"/>
      <c r="BO12" s="1503"/>
      <c r="BP12" s="1504"/>
      <c r="BQ12" s="1502"/>
      <c r="BR12" s="1503"/>
      <c r="BS12" s="1503"/>
      <c r="BT12" s="1504"/>
      <c r="BU12" s="1502"/>
      <c r="BV12" s="1503"/>
      <c r="BW12" s="1503"/>
      <c r="BX12" s="1504"/>
    </row>
    <row r="13" spans="1:76" ht="11.25" customHeight="1" thickBot="1" x14ac:dyDescent="0.2">
      <c r="A13" s="124"/>
      <c r="B13" s="124"/>
      <c r="C13" s="1530" t="s">
        <v>325</v>
      </c>
      <c r="D13" s="1531"/>
      <c r="E13" s="1531"/>
      <c r="F13" s="1531"/>
      <c r="G13" s="1531"/>
      <c r="H13" s="1531"/>
      <c r="I13" s="1531"/>
      <c r="J13" s="1531"/>
      <c r="K13" s="1531"/>
      <c r="L13" s="1531"/>
      <c r="M13" s="1531"/>
      <c r="N13" s="1531"/>
      <c r="O13" s="1531"/>
      <c r="P13" s="1532"/>
      <c r="Q13" s="1514">
        <f>Q11-Q12</f>
        <v>0</v>
      </c>
      <c r="R13" s="1515"/>
      <c r="S13" s="1515"/>
      <c r="T13" s="1516"/>
      <c r="U13" s="1514">
        <f>U11-U12</f>
        <v>0</v>
      </c>
      <c r="V13" s="1515"/>
      <c r="W13" s="1515"/>
      <c r="X13" s="1516"/>
      <c r="Y13" s="1514">
        <f>Y11-Y12</f>
        <v>0</v>
      </c>
      <c r="Z13" s="1515"/>
      <c r="AA13" s="1515"/>
      <c r="AB13" s="1516"/>
      <c r="AC13" s="1514">
        <f>AC11-AC12</f>
        <v>0</v>
      </c>
      <c r="AD13" s="1515"/>
      <c r="AE13" s="1515"/>
      <c r="AF13" s="1516"/>
      <c r="AG13" s="1514">
        <f>AG11-AG12</f>
        <v>0</v>
      </c>
      <c r="AH13" s="1515"/>
      <c r="AI13" s="1515"/>
      <c r="AJ13" s="1516"/>
      <c r="AK13" s="1514">
        <f>AK11-AK12</f>
        <v>0</v>
      </c>
      <c r="AL13" s="1515"/>
      <c r="AM13" s="1515"/>
      <c r="AN13" s="1516"/>
      <c r="AO13" s="1514">
        <f>AO11-AO12</f>
        <v>0</v>
      </c>
      <c r="AP13" s="1515"/>
      <c r="AQ13" s="1515"/>
      <c r="AR13" s="1516"/>
      <c r="AS13" s="1514">
        <f>AS11-AS12</f>
        <v>0</v>
      </c>
      <c r="AT13" s="1515"/>
      <c r="AU13" s="1515"/>
      <c r="AV13" s="1516"/>
      <c r="AW13" s="1514">
        <f>AW11-AW12</f>
        <v>0</v>
      </c>
      <c r="AX13" s="1515"/>
      <c r="AY13" s="1515"/>
      <c r="AZ13" s="1516"/>
      <c r="BA13" s="1514">
        <f>BA11-BA12</f>
        <v>0</v>
      </c>
      <c r="BB13" s="1515"/>
      <c r="BC13" s="1515"/>
      <c r="BD13" s="1516"/>
      <c r="BE13" s="1514">
        <f>BE11-BE12</f>
        <v>0</v>
      </c>
      <c r="BF13" s="1515"/>
      <c r="BG13" s="1515"/>
      <c r="BH13" s="1516"/>
      <c r="BI13" s="1514">
        <f>BI11-BI12</f>
        <v>0</v>
      </c>
      <c r="BJ13" s="1515"/>
      <c r="BK13" s="1515"/>
      <c r="BL13" s="1516"/>
      <c r="BM13" s="1514">
        <f>BM11-BM12</f>
        <v>0</v>
      </c>
      <c r="BN13" s="1515"/>
      <c r="BO13" s="1515"/>
      <c r="BP13" s="1516"/>
      <c r="BQ13" s="1514">
        <f>BQ11-BQ12</f>
        <v>0</v>
      </c>
      <c r="BR13" s="1515"/>
      <c r="BS13" s="1515"/>
      <c r="BT13" s="1516"/>
      <c r="BU13" s="1514">
        <f>BU11-BU12</f>
        <v>0</v>
      </c>
      <c r="BV13" s="1515"/>
      <c r="BW13" s="1515"/>
      <c r="BX13" s="1516"/>
    </row>
    <row r="14" spans="1:76" ht="13" x14ac:dyDescent="0.15">
      <c r="A14" s="124"/>
      <c r="B14" s="124"/>
      <c r="C14" s="197" t="s">
        <v>326</v>
      </c>
      <c r="D14" s="204"/>
      <c r="E14" s="204"/>
      <c r="F14" s="204"/>
      <c r="G14" s="204"/>
      <c r="H14" s="204"/>
      <c r="I14" s="204"/>
      <c r="J14" s="204"/>
      <c r="K14" s="204"/>
      <c r="L14" s="204"/>
      <c r="M14" s="204"/>
      <c r="N14" s="204"/>
      <c r="O14" s="204"/>
      <c r="P14" s="205"/>
      <c r="Q14" s="1553"/>
      <c r="R14" s="1554"/>
      <c r="S14" s="1554"/>
      <c r="T14" s="1555"/>
      <c r="U14" s="1553"/>
      <c r="V14" s="1554"/>
      <c r="W14" s="1554"/>
      <c r="X14" s="1555"/>
      <c r="Y14" s="1553"/>
      <c r="Z14" s="1554"/>
      <c r="AA14" s="1554"/>
      <c r="AB14" s="1555"/>
      <c r="AC14" s="1553"/>
      <c r="AD14" s="1554"/>
      <c r="AE14" s="1554"/>
      <c r="AF14" s="1555"/>
      <c r="AG14" s="1553"/>
      <c r="AH14" s="1554"/>
      <c r="AI14" s="1554"/>
      <c r="AJ14" s="1555"/>
      <c r="AK14" s="1553"/>
      <c r="AL14" s="1554"/>
      <c r="AM14" s="1554"/>
      <c r="AN14" s="1555"/>
      <c r="AO14" s="1553"/>
      <c r="AP14" s="1554"/>
      <c r="AQ14" s="1554"/>
      <c r="AR14" s="1555"/>
      <c r="AS14" s="1553"/>
      <c r="AT14" s="1554"/>
      <c r="AU14" s="1554"/>
      <c r="AV14" s="1555"/>
      <c r="AW14" s="1553"/>
      <c r="AX14" s="1554"/>
      <c r="AY14" s="1554"/>
      <c r="AZ14" s="1555"/>
      <c r="BA14" s="1553"/>
      <c r="BB14" s="1554"/>
      <c r="BC14" s="1554"/>
      <c r="BD14" s="1555"/>
      <c r="BE14" s="1553"/>
      <c r="BF14" s="1554"/>
      <c r="BG14" s="1554"/>
      <c r="BH14" s="1555"/>
      <c r="BI14" s="1553"/>
      <c r="BJ14" s="1554"/>
      <c r="BK14" s="1554"/>
      <c r="BL14" s="1555"/>
      <c r="BM14" s="1553"/>
      <c r="BN14" s="1554"/>
      <c r="BO14" s="1554"/>
      <c r="BP14" s="1555"/>
      <c r="BQ14" s="1553"/>
      <c r="BR14" s="1554"/>
      <c r="BS14" s="1554"/>
      <c r="BT14" s="1555"/>
      <c r="BU14" s="1553"/>
      <c r="BV14" s="1554"/>
      <c r="BW14" s="1554"/>
      <c r="BX14" s="1555"/>
    </row>
    <row r="15" spans="1:76" ht="14" thickBot="1" x14ac:dyDescent="0.2">
      <c r="A15" s="124"/>
      <c r="B15" s="124"/>
      <c r="C15" s="197" t="s">
        <v>327</v>
      </c>
      <c r="D15" s="206"/>
      <c r="E15" s="206"/>
      <c r="F15" s="206"/>
      <c r="G15" s="206"/>
      <c r="H15" s="206"/>
      <c r="I15" s="206"/>
      <c r="J15" s="206"/>
      <c r="K15" s="206"/>
      <c r="L15" s="206"/>
      <c r="M15" s="206"/>
      <c r="N15" s="206"/>
      <c r="O15" s="206"/>
      <c r="P15" s="207"/>
      <c r="Q15" s="1502"/>
      <c r="R15" s="1503"/>
      <c r="S15" s="1503"/>
      <c r="T15" s="1504"/>
      <c r="U15" s="1502"/>
      <c r="V15" s="1503"/>
      <c r="W15" s="1503"/>
      <c r="X15" s="1504"/>
      <c r="Y15" s="1502"/>
      <c r="Z15" s="1503"/>
      <c r="AA15" s="1503"/>
      <c r="AB15" s="1504"/>
      <c r="AC15" s="1502"/>
      <c r="AD15" s="1503"/>
      <c r="AE15" s="1503"/>
      <c r="AF15" s="1504"/>
      <c r="AG15" s="1502"/>
      <c r="AH15" s="1503"/>
      <c r="AI15" s="1503"/>
      <c r="AJ15" s="1504"/>
      <c r="AK15" s="1502"/>
      <c r="AL15" s="1503"/>
      <c r="AM15" s="1503"/>
      <c r="AN15" s="1504"/>
      <c r="AO15" s="1502"/>
      <c r="AP15" s="1503"/>
      <c r="AQ15" s="1503"/>
      <c r="AR15" s="1504"/>
      <c r="AS15" s="1502"/>
      <c r="AT15" s="1503"/>
      <c r="AU15" s="1503"/>
      <c r="AV15" s="1504"/>
      <c r="AW15" s="1502"/>
      <c r="AX15" s="1503"/>
      <c r="AY15" s="1503"/>
      <c r="AZ15" s="1504"/>
      <c r="BA15" s="1502"/>
      <c r="BB15" s="1503"/>
      <c r="BC15" s="1503"/>
      <c r="BD15" s="1504"/>
      <c r="BE15" s="1502"/>
      <c r="BF15" s="1503"/>
      <c r="BG15" s="1503"/>
      <c r="BH15" s="1504"/>
      <c r="BI15" s="1502"/>
      <c r="BJ15" s="1503"/>
      <c r="BK15" s="1503"/>
      <c r="BL15" s="1504"/>
      <c r="BM15" s="1502"/>
      <c r="BN15" s="1503"/>
      <c r="BO15" s="1503"/>
      <c r="BP15" s="1504"/>
      <c r="BQ15" s="1502"/>
      <c r="BR15" s="1503"/>
      <c r="BS15" s="1503"/>
      <c r="BT15" s="1504"/>
      <c r="BU15" s="1502"/>
      <c r="BV15" s="1503"/>
      <c r="BW15" s="1503"/>
      <c r="BX15" s="1504"/>
    </row>
    <row r="16" spans="1:76" ht="11.25" customHeight="1" thickBot="1" x14ac:dyDescent="0.2">
      <c r="A16" s="124"/>
      <c r="B16" s="124"/>
      <c r="C16" s="1530" t="s">
        <v>328</v>
      </c>
      <c r="D16" s="1531"/>
      <c r="E16" s="1531"/>
      <c r="F16" s="1531"/>
      <c r="G16" s="1531"/>
      <c r="H16" s="1531"/>
      <c r="I16" s="1531"/>
      <c r="J16" s="1531"/>
      <c r="K16" s="1531"/>
      <c r="L16" s="1531"/>
      <c r="M16" s="1531"/>
      <c r="N16" s="1531"/>
      <c r="O16" s="1531"/>
      <c r="P16" s="1532"/>
      <c r="Q16" s="1514">
        <f>Q13+Q14+Q15</f>
        <v>0</v>
      </c>
      <c r="R16" s="1515"/>
      <c r="S16" s="1515"/>
      <c r="T16" s="1516"/>
      <c r="U16" s="1514">
        <f>U13+U14+U15</f>
        <v>0</v>
      </c>
      <c r="V16" s="1515"/>
      <c r="W16" s="1515"/>
      <c r="X16" s="1516"/>
      <c r="Y16" s="1514">
        <f>Y13+Y14+Y15</f>
        <v>0</v>
      </c>
      <c r="Z16" s="1515"/>
      <c r="AA16" s="1515"/>
      <c r="AB16" s="1516"/>
      <c r="AC16" s="1514">
        <f>AC13+AC14+AC15</f>
        <v>0</v>
      </c>
      <c r="AD16" s="1515"/>
      <c r="AE16" s="1515"/>
      <c r="AF16" s="1516"/>
      <c r="AG16" s="1514">
        <f>AG13+AG14+AG15</f>
        <v>0</v>
      </c>
      <c r="AH16" s="1515"/>
      <c r="AI16" s="1515"/>
      <c r="AJ16" s="1516"/>
      <c r="AK16" s="1514">
        <f>AK13+AK14+AK15</f>
        <v>0</v>
      </c>
      <c r="AL16" s="1515"/>
      <c r="AM16" s="1515"/>
      <c r="AN16" s="1516"/>
      <c r="AO16" s="1514">
        <f>AO13+AO14+AO15</f>
        <v>0</v>
      </c>
      <c r="AP16" s="1515"/>
      <c r="AQ16" s="1515"/>
      <c r="AR16" s="1516"/>
      <c r="AS16" s="1514">
        <f>AS13+AS14+AS15</f>
        <v>0</v>
      </c>
      <c r="AT16" s="1515"/>
      <c r="AU16" s="1515"/>
      <c r="AV16" s="1516"/>
      <c r="AW16" s="1514">
        <f>AW13+AW14+AW15</f>
        <v>0</v>
      </c>
      <c r="AX16" s="1515"/>
      <c r="AY16" s="1515"/>
      <c r="AZ16" s="1516"/>
      <c r="BA16" s="1514">
        <f>BA13+BA14+BA15</f>
        <v>0</v>
      </c>
      <c r="BB16" s="1515"/>
      <c r="BC16" s="1515"/>
      <c r="BD16" s="1516"/>
      <c r="BE16" s="1514">
        <f>BE13+BE14+BE15</f>
        <v>0</v>
      </c>
      <c r="BF16" s="1515"/>
      <c r="BG16" s="1515"/>
      <c r="BH16" s="1516"/>
      <c r="BI16" s="1514">
        <f>BI13+BI14+BI15</f>
        <v>0</v>
      </c>
      <c r="BJ16" s="1515"/>
      <c r="BK16" s="1515"/>
      <c r="BL16" s="1516"/>
      <c r="BM16" s="1514">
        <f>BM13+BM14+BM15</f>
        <v>0</v>
      </c>
      <c r="BN16" s="1515"/>
      <c r="BO16" s="1515"/>
      <c r="BP16" s="1516"/>
      <c r="BQ16" s="1514">
        <f>BQ13+BQ14+BQ15</f>
        <v>0</v>
      </c>
      <c r="BR16" s="1515"/>
      <c r="BS16" s="1515"/>
      <c r="BT16" s="1516"/>
      <c r="BU16" s="1514">
        <f>BU13+BU14+BU15</f>
        <v>0</v>
      </c>
      <c r="BV16" s="1515"/>
      <c r="BW16" s="1515"/>
      <c r="BX16" s="1516"/>
    </row>
    <row r="17" spans="1:76" ht="14" thickBot="1" x14ac:dyDescent="0.2">
      <c r="A17" s="124"/>
      <c r="B17" s="124"/>
      <c r="C17" s="199" t="s">
        <v>329</v>
      </c>
      <c r="D17" s="124"/>
      <c r="E17" s="124"/>
      <c r="F17" s="124"/>
      <c r="G17" s="124"/>
      <c r="H17" s="124"/>
      <c r="I17" s="124"/>
      <c r="J17" s="124"/>
      <c r="K17" s="124"/>
      <c r="L17" s="124"/>
      <c r="M17" s="124"/>
      <c r="N17" s="124"/>
      <c r="O17" s="124"/>
      <c r="P17" s="200"/>
      <c r="Q17" s="1517"/>
      <c r="R17" s="1518"/>
      <c r="S17" s="1518"/>
      <c r="T17" s="1519"/>
      <c r="U17" s="1517"/>
      <c r="V17" s="1518"/>
      <c r="W17" s="1518"/>
      <c r="X17" s="1519"/>
      <c r="Y17" s="1517"/>
      <c r="Z17" s="1518"/>
      <c r="AA17" s="1518"/>
      <c r="AB17" s="1519"/>
      <c r="AC17" s="1517"/>
      <c r="AD17" s="1518"/>
      <c r="AE17" s="1518"/>
      <c r="AF17" s="1519"/>
      <c r="AG17" s="1517"/>
      <c r="AH17" s="1518"/>
      <c r="AI17" s="1518"/>
      <c r="AJ17" s="1519"/>
      <c r="AK17" s="1517"/>
      <c r="AL17" s="1518"/>
      <c r="AM17" s="1518"/>
      <c r="AN17" s="1519"/>
      <c r="AO17" s="1517"/>
      <c r="AP17" s="1518"/>
      <c r="AQ17" s="1518"/>
      <c r="AR17" s="1519"/>
      <c r="AS17" s="1517"/>
      <c r="AT17" s="1518"/>
      <c r="AU17" s="1518"/>
      <c r="AV17" s="1519"/>
      <c r="AW17" s="1517"/>
      <c r="AX17" s="1518"/>
      <c r="AY17" s="1518"/>
      <c r="AZ17" s="1519"/>
      <c r="BA17" s="1517"/>
      <c r="BB17" s="1518"/>
      <c r="BC17" s="1518"/>
      <c r="BD17" s="1519"/>
      <c r="BE17" s="1517"/>
      <c r="BF17" s="1518"/>
      <c r="BG17" s="1518"/>
      <c r="BH17" s="1519"/>
      <c r="BI17" s="1517"/>
      <c r="BJ17" s="1518"/>
      <c r="BK17" s="1518"/>
      <c r="BL17" s="1519"/>
      <c r="BM17" s="1517"/>
      <c r="BN17" s="1518"/>
      <c r="BO17" s="1518"/>
      <c r="BP17" s="1519"/>
      <c r="BQ17" s="1517"/>
      <c r="BR17" s="1518"/>
      <c r="BS17" s="1518"/>
      <c r="BT17" s="1519"/>
      <c r="BU17" s="1517"/>
      <c r="BV17" s="1518"/>
      <c r="BW17" s="1518"/>
      <c r="BX17" s="1519"/>
    </row>
    <row r="18" spans="1:76" ht="11.25" customHeight="1" thickBot="1" x14ac:dyDescent="0.2">
      <c r="A18" s="124"/>
      <c r="B18" s="124"/>
      <c r="C18" s="1530" t="s">
        <v>330</v>
      </c>
      <c r="D18" s="1531"/>
      <c r="E18" s="1531"/>
      <c r="F18" s="1531"/>
      <c r="G18" s="1531"/>
      <c r="H18" s="1531"/>
      <c r="I18" s="1531"/>
      <c r="J18" s="1531"/>
      <c r="K18" s="1531"/>
      <c r="L18" s="1531"/>
      <c r="M18" s="1531"/>
      <c r="N18" s="1531"/>
      <c r="O18" s="1531"/>
      <c r="P18" s="1532"/>
      <c r="Q18" s="1514">
        <f>Q16-Q17</f>
        <v>0</v>
      </c>
      <c r="R18" s="1515"/>
      <c r="S18" s="1515"/>
      <c r="T18" s="1516"/>
      <c r="U18" s="1514">
        <f>U16-U17</f>
        <v>0</v>
      </c>
      <c r="V18" s="1515"/>
      <c r="W18" s="1515"/>
      <c r="X18" s="1516"/>
      <c r="Y18" s="1514">
        <f>Y16-Y17</f>
        <v>0</v>
      </c>
      <c r="Z18" s="1515"/>
      <c r="AA18" s="1515"/>
      <c r="AB18" s="1516"/>
      <c r="AC18" s="1514">
        <f>AC16-AC17</f>
        <v>0</v>
      </c>
      <c r="AD18" s="1515"/>
      <c r="AE18" s="1515"/>
      <c r="AF18" s="1516"/>
      <c r="AG18" s="1514">
        <f>AG16-AG17</f>
        <v>0</v>
      </c>
      <c r="AH18" s="1515"/>
      <c r="AI18" s="1515"/>
      <c r="AJ18" s="1516"/>
      <c r="AK18" s="1514">
        <f>AK16-AK17</f>
        <v>0</v>
      </c>
      <c r="AL18" s="1515"/>
      <c r="AM18" s="1515"/>
      <c r="AN18" s="1516"/>
      <c r="AO18" s="1514">
        <f>AO16-AO17</f>
        <v>0</v>
      </c>
      <c r="AP18" s="1515"/>
      <c r="AQ18" s="1515"/>
      <c r="AR18" s="1516"/>
      <c r="AS18" s="1514">
        <f>AS16-AS17</f>
        <v>0</v>
      </c>
      <c r="AT18" s="1515"/>
      <c r="AU18" s="1515"/>
      <c r="AV18" s="1516"/>
      <c r="AW18" s="1514">
        <f>AW16-AW17</f>
        <v>0</v>
      </c>
      <c r="AX18" s="1515"/>
      <c r="AY18" s="1515"/>
      <c r="AZ18" s="1516"/>
      <c r="BA18" s="1514">
        <f>BA16-BA17</f>
        <v>0</v>
      </c>
      <c r="BB18" s="1515"/>
      <c r="BC18" s="1515"/>
      <c r="BD18" s="1516"/>
      <c r="BE18" s="1514">
        <f>BE16-BE17</f>
        <v>0</v>
      </c>
      <c r="BF18" s="1515"/>
      <c r="BG18" s="1515"/>
      <c r="BH18" s="1516"/>
      <c r="BI18" s="1514">
        <f>BI16-BI17</f>
        <v>0</v>
      </c>
      <c r="BJ18" s="1515"/>
      <c r="BK18" s="1515"/>
      <c r="BL18" s="1516"/>
      <c r="BM18" s="1514">
        <f>BM16-BM17</f>
        <v>0</v>
      </c>
      <c r="BN18" s="1515"/>
      <c r="BO18" s="1515"/>
      <c r="BP18" s="1516"/>
      <c r="BQ18" s="1514">
        <f>BQ16-BQ17</f>
        <v>0</v>
      </c>
      <c r="BR18" s="1515"/>
      <c r="BS18" s="1515"/>
      <c r="BT18" s="1516"/>
      <c r="BU18" s="1514">
        <f>BU16-BU17</f>
        <v>0</v>
      </c>
      <c r="BV18" s="1515"/>
      <c r="BW18" s="1515"/>
      <c r="BX18" s="1516"/>
    </row>
    <row r="19" spans="1:76" ht="11.25" customHeight="1" thickBot="1" x14ac:dyDescent="0.2">
      <c r="A19" s="124"/>
      <c r="B19" s="124"/>
      <c r="C19" s="1530" t="s">
        <v>331</v>
      </c>
      <c r="D19" s="1531"/>
      <c r="E19" s="1531"/>
      <c r="F19" s="1531"/>
      <c r="G19" s="1531"/>
      <c r="H19" s="1531"/>
      <c r="I19" s="1531"/>
      <c r="J19" s="1531"/>
      <c r="K19" s="1531"/>
      <c r="L19" s="1531"/>
      <c r="M19" s="1531"/>
      <c r="N19" s="1531"/>
      <c r="O19" s="1531"/>
      <c r="P19" s="1532"/>
      <c r="Q19" s="1514">
        <v>0</v>
      </c>
      <c r="R19" s="1515"/>
      <c r="S19" s="1515"/>
      <c r="T19" s="1516"/>
      <c r="U19" s="1514">
        <v>0</v>
      </c>
      <c r="V19" s="1515"/>
      <c r="W19" s="1515"/>
      <c r="X19" s="1516"/>
      <c r="Y19" s="1514">
        <v>0</v>
      </c>
      <c r="Z19" s="1515"/>
      <c r="AA19" s="1515"/>
      <c r="AB19" s="1516"/>
      <c r="AC19" s="1514">
        <v>0</v>
      </c>
      <c r="AD19" s="1515"/>
      <c r="AE19" s="1515"/>
      <c r="AF19" s="1516"/>
      <c r="AG19" s="1514">
        <v>0</v>
      </c>
      <c r="AH19" s="1515"/>
      <c r="AI19" s="1515"/>
      <c r="AJ19" s="1516"/>
      <c r="AK19" s="1514">
        <v>0</v>
      </c>
      <c r="AL19" s="1515"/>
      <c r="AM19" s="1515"/>
      <c r="AN19" s="1516"/>
      <c r="AO19" s="1514">
        <v>0</v>
      </c>
      <c r="AP19" s="1515"/>
      <c r="AQ19" s="1515"/>
      <c r="AR19" s="1516"/>
      <c r="AS19" s="1514">
        <v>0</v>
      </c>
      <c r="AT19" s="1515"/>
      <c r="AU19" s="1515"/>
      <c r="AV19" s="1516"/>
      <c r="AW19" s="1514">
        <v>0</v>
      </c>
      <c r="AX19" s="1515"/>
      <c r="AY19" s="1515"/>
      <c r="AZ19" s="1516"/>
      <c r="BA19" s="1514">
        <v>0</v>
      </c>
      <c r="BB19" s="1515"/>
      <c r="BC19" s="1515"/>
      <c r="BD19" s="1516"/>
      <c r="BE19" s="1514">
        <v>0</v>
      </c>
      <c r="BF19" s="1515"/>
      <c r="BG19" s="1515"/>
      <c r="BH19" s="1516"/>
      <c r="BI19" s="1514">
        <v>0</v>
      </c>
      <c r="BJ19" s="1515"/>
      <c r="BK19" s="1515"/>
      <c r="BL19" s="1516"/>
      <c r="BM19" s="1514">
        <v>0</v>
      </c>
      <c r="BN19" s="1515"/>
      <c r="BO19" s="1515"/>
      <c r="BP19" s="1516"/>
      <c r="BQ19" s="1514">
        <v>0</v>
      </c>
      <c r="BR19" s="1515"/>
      <c r="BS19" s="1515"/>
      <c r="BT19" s="1516"/>
      <c r="BU19" s="1514">
        <v>0</v>
      </c>
      <c r="BV19" s="1515"/>
      <c r="BW19" s="1515"/>
      <c r="BX19" s="1516"/>
    </row>
    <row r="20" spans="1:76" ht="13" x14ac:dyDescent="0.15">
      <c r="A20" s="124"/>
      <c r="B20" s="124"/>
      <c r="C20" s="208" t="s">
        <v>332</v>
      </c>
      <c r="D20" s="204"/>
      <c r="E20" s="204"/>
      <c r="F20" s="204"/>
      <c r="G20" s="204"/>
      <c r="H20" s="204"/>
      <c r="I20" s="204"/>
      <c r="J20" s="204"/>
      <c r="K20" s="204"/>
      <c r="L20" s="204"/>
      <c r="M20" s="204"/>
      <c r="N20" s="204"/>
      <c r="O20" s="204"/>
      <c r="P20" s="205"/>
      <c r="Q20" s="1553"/>
      <c r="R20" s="1554"/>
      <c r="S20" s="1554"/>
      <c r="T20" s="1555"/>
      <c r="U20" s="1553"/>
      <c r="V20" s="1554"/>
      <c r="W20" s="1554"/>
      <c r="X20" s="1555"/>
      <c r="Y20" s="1553"/>
      <c r="Z20" s="1554"/>
      <c r="AA20" s="1554"/>
      <c r="AB20" s="1555"/>
      <c r="AC20" s="1553"/>
      <c r="AD20" s="1554"/>
      <c r="AE20" s="1554"/>
      <c r="AF20" s="1555"/>
      <c r="AG20" s="1553"/>
      <c r="AH20" s="1554"/>
      <c r="AI20" s="1554"/>
      <c r="AJ20" s="1555"/>
      <c r="AK20" s="1553"/>
      <c r="AL20" s="1554"/>
      <c r="AM20" s="1554"/>
      <c r="AN20" s="1555"/>
      <c r="AO20" s="1553"/>
      <c r="AP20" s="1554"/>
      <c r="AQ20" s="1554"/>
      <c r="AR20" s="1555"/>
      <c r="AS20" s="1553"/>
      <c r="AT20" s="1554"/>
      <c r="AU20" s="1554"/>
      <c r="AV20" s="1555"/>
      <c r="AW20" s="1553"/>
      <c r="AX20" s="1554"/>
      <c r="AY20" s="1554"/>
      <c r="AZ20" s="1555"/>
      <c r="BA20" s="1553"/>
      <c r="BB20" s="1554"/>
      <c r="BC20" s="1554"/>
      <c r="BD20" s="1555"/>
      <c r="BE20" s="1553"/>
      <c r="BF20" s="1554"/>
      <c r="BG20" s="1554"/>
      <c r="BH20" s="1555"/>
      <c r="BI20" s="1553"/>
      <c r="BJ20" s="1554"/>
      <c r="BK20" s="1554"/>
      <c r="BL20" s="1555"/>
      <c r="BM20" s="1553"/>
      <c r="BN20" s="1554"/>
      <c r="BO20" s="1554"/>
      <c r="BP20" s="1555"/>
      <c r="BQ20" s="1553"/>
      <c r="BR20" s="1554"/>
      <c r="BS20" s="1554"/>
      <c r="BT20" s="1555"/>
      <c r="BU20" s="1553"/>
      <c r="BV20" s="1554"/>
      <c r="BW20" s="1554"/>
      <c r="BX20" s="1555"/>
    </row>
    <row r="21" spans="1:76" ht="13" x14ac:dyDescent="0.15">
      <c r="A21" s="124"/>
      <c r="B21" s="124"/>
      <c r="C21" s="201" t="s">
        <v>353</v>
      </c>
      <c r="D21" s="202"/>
      <c r="E21" s="202"/>
      <c r="F21" s="202"/>
      <c r="G21" s="202"/>
      <c r="H21" s="202"/>
      <c r="I21" s="202"/>
      <c r="J21" s="202"/>
      <c r="K21" s="202"/>
      <c r="L21" s="202"/>
      <c r="M21" s="202"/>
      <c r="N21" s="202"/>
      <c r="O21" s="202"/>
      <c r="P21" s="203"/>
      <c r="Q21" s="1499"/>
      <c r="R21" s="1500"/>
      <c r="S21" s="1500"/>
      <c r="T21" s="1501"/>
      <c r="U21" s="1499"/>
      <c r="V21" s="1500"/>
      <c r="W21" s="1500"/>
      <c r="X21" s="1501"/>
      <c r="Y21" s="1499"/>
      <c r="Z21" s="1500"/>
      <c r="AA21" s="1500"/>
      <c r="AB21" s="1501"/>
      <c r="AC21" s="1499"/>
      <c r="AD21" s="1500"/>
      <c r="AE21" s="1500"/>
      <c r="AF21" s="1501"/>
      <c r="AG21" s="1499"/>
      <c r="AH21" s="1500"/>
      <c r="AI21" s="1500"/>
      <c r="AJ21" s="1501"/>
      <c r="AK21" s="1499"/>
      <c r="AL21" s="1500"/>
      <c r="AM21" s="1500"/>
      <c r="AN21" s="1501"/>
      <c r="AO21" s="1499"/>
      <c r="AP21" s="1500"/>
      <c r="AQ21" s="1500"/>
      <c r="AR21" s="1501"/>
      <c r="AS21" s="1499"/>
      <c r="AT21" s="1500"/>
      <c r="AU21" s="1500"/>
      <c r="AV21" s="1501"/>
      <c r="AW21" s="1499"/>
      <c r="AX21" s="1500"/>
      <c r="AY21" s="1500"/>
      <c r="AZ21" s="1501"/>
      <c r="BA21" s="1499"/>
      <c r="BB21" s="1500"/>
      <c r="BC21" s="1500"/>
      <c r="BD21" s="1501"/>
      <c r="BE21" s="1499"/>
      <c r="BF21" s="1500"/>
      <c r="BG21" s="1500"/>
      <c r="BH21" s="1501"/>
      <c r="BI21" s="1499"/>
      <c r="BJ21" s="1500"/>
      <c r="BK21" s="1500"/>
      <c r="BL21" s="1501"/>
      <c r="BM21" s="1499"/>
      <c r="BN21" s="1500"/>
      <c r="BO21" s="1500"/>
      <c r="BP21" s="1501"/>
      <c r="BQ21" s="1499"/>
      <c r="BR21" s="1500"/>
      <c r="BS21" s="1500"/>
      <c r="BT21" s="1501"/>
      <c r="BU21" s="1499"/>
      <c r="BV21" s="1500"/>
      <c r="BW21" s="1500"/>
      <c r="BX21" s="1501"/>
    </row>
    <row r="22" spans="1:76" ht="13" x14ac:dyDescent="0.15">
      <c r="A22" s="124"/>
      <c r="B22" s="124"/>
      <c r="C22" s="199" t="s">
        <v>351</v>
      </c>
      <c r="D22" s="124"/>
      <c r="E22" s="124"/>
      <c r="F22" s="124"/>
      <c r="G22" s="124"/>
      <c r="H22" s="124"/>
      <c r="I22" s="124"/>
      <c r="J22" s="124"/>
      <c r="K22" s="124"/>
      <c r="L22" s="124"/>
      <c r="M22" s="124"/>
      <c r="N22" s="124"/>
      <c r="O22" s="124"/>
      <c r="P22" s="200"/>
      <c r="Q22" s="1499"/>
      <c r="R22" s="1500"/>
      <c r="S22" s="1500"/>
      <c r="T22" s="1501"/>
      <c r="U22" s="1499"/>
      <c r="V22" s="1500"/>
      <c r="W22" s="1500"/>
      <c r="X22" s="1501"/>
      <c r="Y22" s="1499"/>
      <c r="Z22" s="1500"/>
      <c r="AA22" s="1500"/>
      <c r="AB22" s="1501"/>
      <c r="AC22" s="1499"/>
      <c r="AD22" s="1500"/>
      <c r="AE22" s="1500"/>
      <c r="AF22" s="1501"/>
      <c r="AG22" s="1499"/>
      <c r="AH22" s="1500"/>
      <c r="AI22" s="1500"/>
      <c r="AJ22" s="1501"/>
      <c r="AK22" s="1499"/>
      <c r="AL22" s="1500"/>
      <c r="AM22" s="1500"/>
      <c r="AN22" s="1501"/>
      <c r="AO22" s="1499"/>
      <c r="AP22" s="1500"/>
      <c r="AQ22" s="1500"/>
      <c r="AR22" s="1501"/>
      <c r="AS22" s="1499"/>
      <c r="AT22" s="1500"/>
      <c r="AU22" s="1500"/>
      <c r="AV22" s="1501"/>
      <c r="AW22" s="1499"/>
      <c r="AX22" s="1500"/>
      <c r="AY22" s="1500"/>
      <c r="AZ22" s="1501"/>
      <c r="BA22" s="1499"/>
      <c r="BB22" s="1500"/>
      <c r="BC22" s="1500"/>
      <c r="BD22" s="1501"/>
      <c r="BE22" s="1499"/>
      <c r="BF22" s="1500"/>
      <c r="BG22" s="1500"/>
      <c r="BH22" s="1501"/>
      <c r="BI22" s="1499"/>
      <c r="BJ22" s="1500"/>
      <c r="BK22" s="1500"/>
      <c r="BL22" s="1501"/>
      <c r="BM22" s="1499"/>
      <c r="BN22" s="1500"/>
      <c r="BO22" s="1500"/>
      <c r="BP22" s="1501"/>
      <c r="BQ22" s="1499"/>
      <c r="BR22" s="1500"/>
      <c r="BS22" s="1500"/>
      <c r="BT22" s="1501"/>
      <c r="BU22" s="1499"/>
      <c r="BV22" s="1500"/>
      <c r="BW22" s="1500"/>
      <c r="BX22" s="1501"/>
    </row>
    <row r="23" spans="1:76" ht="14" thickBot="1" x14ac:dyDescent="0.2">
      <c r="A23" s="124"/>
      <c r="B23" s="124"/>
      <c r="C23" s="209"/>
      <c r="D23" s="206"/>
      <c r="E23" s="206" t="s">
        <v>333</v>
      </c>
      <c r="F23" s="206"/>
      <c r="G23" s="206"/>
      <c r="H23" s="206"/>
      <c r="I23" s="206"/>
      <c r="J23" s="206"/>
      <c r="K23" s="206"/>
      <c r="L23" s="206"/>
      <c r="M23" s="206"/>
      <c r="N23" s="206"/>
      <c r="O23" s="206"/>
      <c r="P23" s="207"/>
      <c r="Q23" s="1502"/>
      <c r="R23" s="1503"/>
      <c r="S23" s="1503"/>
      <c r="T23" s="1504"/>
      <c r="U23" s="1502"/>
      <c r="V23" s="1503"/>
      <c r="W23" s="1503"/>
      <c r="X23" s="1504"/>
      <c r="Y23" s="1502"/>
      <c r="Z23" s="1503"/>
      <c r="AA23" s="1503"/>
      <c r="AB23" s="1504"/>
      <c r="AC23" s="1502"/>
      <c r="AD23" s="1503"/>
      <c r="AE23" s="1503"/>
      <c r="AF23" s="1504"/>
      <c r="AG23" s="1502"/>
      <c r="AH23" s="1503"/>
      <c r="AI23" s="1503"/>
      <c r="AJ23" s="1504"/>
      <c r="AK23" s="1502"/>
      <c r="AL23" s="1503"/>
      <c r="AM23" s="1503"/>
      <c r="AN23" s="1504"/>
      <c r="AO23" s="1502"/>
      <c r="AP23" s="1503"/>
      <c r="AQ23" s="1503"/>
      <c r="AR23" s="1504"/>
      <c r="AS23" s="1502"/>
      <c r="AT23" s="1503"/>
      <c r="AU23" s="1503"/>
      <c r="AV23" s="1504"/>
      <c r="AW23" s="1502"/>
      <c r="AX23" s="1503"/>
      <c r="AY23" s="1503"/>
      <c r="AZ23" s="1504"/>
      <c r="BA23" s="1502"/>
      <c r="BB23" s="1503"/>
      <c r="BC23" s="1503"/>
      <c r="BD23" s="1504"/>
      <c r="BE23" s="1502"/>
      <c r="BF23" s="1503"/>
      <c r="BG23" s="1503"/>
      <c r="BH23" s="1504"/>
      <c r="BI23" s="1502"/>
      <c r="BJ23" s="1503"/>
      <c r="BK23" s="1503"/>
      <c r="BL23" s="1504"/>
      <c r="BM23" s="1502"/>
      <c r="BN23" s="1503"/>
      <c r="BO23" s="1503"/>
      <c r="BP23" s="1504"/>
      <c r="BQ23" s="1502"/>
      <c r="BR23" s="1503"/>
      <c r="BS23" s="1503"/>
      <c r="BT23" s="1504"/>
      <c r="BU23" s="1502"/>
      <c r="BV23" s="1503"/>
      <c r="BW23" s="1503"/>
      <c r="BX23" s="1504"/>
    </row>
    <row r="24" spans="1:76" ht="11.25" customHeight="1" thickBot="1" x14ac:dyDescent="0.2">
      <c r="A24" s="124"/>
      <c r="B24" s="124"/>
      <c r="C24" s="1530" t="s">
        <v>352</v>
      </c>
      <c r="D24" s="1531"/>
      <c r="E24" s="1531"/>
      <c r="F24" s="1531"/>
      <c r="G24" s="1531"/>
      <c r="H24" s="1531"/>
      <c r="I24" s="1531"/>
      <c r="J24" s="1531"/>
      <c r="K24" s="1531"/>
      <c r="L24" s="1531"/>
      <c r="M24" s="1531"/>
      <c r="N24" s="1531"/>
      <c r="O24" s="1531"/>
      <c r="P24" s="1532"/>
      <c r="Q24" s="1514">
        <f>Q18+Q20-Q22-Q21</f>
        <v>0</v>
      </c>
      <c r="R24" s="1515"/>
      <c r="S24" s="1515"/>
      <c r="T24" s="1516"/>
      <c r="U24" s="1514">
        <f t="shared" ref="U24" si="0">U18+U20-U22-U21</f>
        <v>0</v>
      </c>
      <c r="V24" s="1515"/>
      <c r="W24" s="1515"/>
      <c r="X24" s="1516"/>
      <c r="Y24" s="1514">
        <f t="shared" ref="Y24" si="1">Y18+Y20-Y22-Y21</f>
        <v>0</v>
      </c>
      <c r="Z24" s="1515"/>
      <c r="AA24" s="1515"/>
      <c r="AB24" s="1516"/>
      <c r="AC24" s="1514">
        <f t="shared" ref="AC24" si="2">AC18+AC20-AC22-AC21</f>
        <v>0</v>
      </c>
      <c r="AD24" s="1515"/>
      <c r="AE24" s="1515"/>
      <c r="AF24" s="1516"/>
      <c r="AG24" s="1514">
        <f t="shared" ref="AG24" si="3">AG18+AG20-AG22-AG21</f>
        <v>0</v>
      </c>
      <c r="AH24" s="1515"/>
      <c r="AI24" s="1515"/>
      <c r="AJ24" s="1516"/>
      <c r="AK24" s="1514">
        <f t="shared" ref="AK24" si="4">AK18+AK20-AK22-AK21</f>
        <v>0</v>
      </c>
      <c r="AL24" s="1515"/>
      <c r="AM24" s="1515"/>
      <c r="AN24" s="1516"/>
      <c r="AO24" s="1514">
        <f t="shared" ref="AO24" si="5">AO18+AO20-AO22-AO21</f>
        <v>0</v>
      </c>
      <c r="AP24" s="1515"/>
      <c r="AQ24" s="1515"/>
      <c r="AR24" s="1516"/>
      <c r="AS24" s="1514">
        <f t="shared" ref="AS24" si="6">AS18+AS20-AS22-AS21</f>
        <v>0</v>
      </c>
      <c r="AT24" s="1515"/>
      <c r="AU24" s="1515"/>
      <c r="AV24" s="1516"/>
      <c r="AW24" s="1514">
        <f t="shared" ref="AW24" si="7">AW18+AW20-AW22-AW21</f>
        <v>0</v>
      </c>
      <c r="AX24" s="1515"/>
      <c r="AY24" s="1515"/>
      <c r="AZ24" s="1516"/>
      <c r="BA24" s="1514">
        <f t="shared" ref="BA24" si="8">BA18+BA20-BA22-BA21</f>
        <v>0</v>
      </c>
      <c r="BB24" s="1515"/>
      <c r="BC24" s="1515"/>
      <c r="BD24" s="1516"/>
      <c r="BE24" s="1514">
        <f t="shared" ref="BE24" si="9">BE18+BE20-BE22-BE21</f>
        <v>0</v>
      </c>
      <c r="BF24" s="1515"/>
      <c r="BG24" s="1515"/>
      <c r="BH24" s="1516"/>
      <c r="BI24" s="1514">
        <f t="shared" ref="BI24" si="10">BI18+BI20-BI22-BI21</f>
        <v>0</v>
      </c>
      <c r="BJ24" s="1515"/>
      <c r="BK24" s="1515"/>
      <c r="BL24" s="1516"/>
      <c r="BM24" s="1514">
        <f t="shared" ref="BM24" si="11">BM18+BM20-BM22-BM21</f>
        <v>0</v>
      </c>
      <c r="BN24" s="1515"/>
      <c r="BO24" s="1515"/>
      <c r="BP24" s="1516"/>
      <c r="BQ24" s="1514">
        <f t="shared" ref="BQ24" si="12">BQ18+BQ20-BQ22-BQ21</f>
        <v>0</v>
      </c>
      <c r="BR24" s="1515"/>
      <c r="BS24" s="1515"/>
      <c r="BT24" s="1516"/>
      <c r="BU24" s="1514">
        <f t="shared" ref="BU24" si="13">BU18+BU20-BU22-BU21</f>
        <v>0</v>
      </c>
      <c r="BV24" s="1515"/>
      <c r="BW24" s="1515"/>
      <c r="BX24" s="1516"/>
    </row>
    <row r="25" spans="1:76" ht="11.25" customHeight="1" thickBot="1" x14ac:dyDescent="0.2">
      <c r="A25" s="124"/>
      <c r="B25" s="124"/>
      <c r="C25" s="1530" t="s">
        <v>354</v>
      </c>
      <c r="D25" s="1531"/>
      <c r="E25" s="1531"/>
      <c r="F25" s="1531"/>
      <c r="G25" s="1531"/>
      <c r="H25" s="1531"/>
      <c r="I25" s="1531"/>
      <c r="J25" s="1531"/>
      <c r="K25" s="1531"/>
      <c r="L25" s="1531"/>
      <c r="M25" s="1531"/>
      <c r="N25" s="1531"/>
      <c r="O25" s="1531"/>
      <c r="P25" s="1532"/>
      <c r="Q25" s="1514">
        <f>Q24</f>
        <v>0</v>
      </c>
      <c r="R25" s="1515"/>
      <c r="S25" s="1515"/>
      <c r="T25" s="1516"/>
      <c r="U25" s="1514">
        <f>U24+Q25</f>
        <v>0</v>
      </c>
      <c r="V25" s="1515"/>
      <c r="W25" s="1515"/>
      <c r="X25" s="1516"/>
      <c r="Y25" s="1514">
        <f t="shared" ref="Y25" si="14">Y24+U25</f>
        <v>0</v>
      </c>
      <c r="Z25" s="1515"/>
      <c r="AA25" s="1515"/>
      <c r="AB25" s="1516"/>
      <c r="AC25" s="1514">
        <f t="shared" ref="AC25" si="15">AC24+Y25</f>
        <v>0</v>
      </c>
      <c r="AD25" s="1515"/>
      <c r="AE25" s="1515"/>
      <c r="AF25" s="1516"/>
      <c r="AG25" s="1514">
        <f t="shared" ref="AG25" si="16">AG24+AC25</f>
        <v>0</v>
      </c>
      <c r="AH25" s="1515"/>
      <c r="AI25" s="1515"/>
      <c r="AJ25" s="1516"/>
      <c r="AK25" s="1514">
        <f t="shared" ref="AK25" si="17">AK24+AG25</f>
        <v>0</v>
      </c>
      <c r="AL25" s="1515"/>
      <c r="AM25" s="1515"/>
      <c r="AN25" s="1516"/>
      <c r="AO25" s="1514">
        <f t="shared" ref="AO25" si="18">AO24+AK25</f>
        <v>0</v>
      </c>
      <c r="AP25" s="1515"/>
      <c r="AQ25" s="1515"/>
      <c r="AR25" s="1516"/>
      <c r="AS25" s="1514">
        <f t="shared" ref="AS25" si="19">AS24+AO25</f>
        <v>0</v>
      </c>
      <c r="AT25" s="1515"/>
      <c r="AU25" s="1515"/>
      <c r="AV25" s="1516"/>
      <c r="AW25" s="1514">
        <f t="shared" ref="AW25" si="20">AW24+AS25</f>
        <v>0</v>
      </c>
      <c r="AX25" s="1515"/>
      <c r="AY25" s="1515"/>
      <c r="AZ25" s="1516"/>
      <c r="BA25" s="1514">
        <f t="shared" ref="BA25" si="21">BA24+AW25</f>
        <v>0</v>
      </c>
      <c r="BB25" s="1515"/>
      <c r="BC25" s="1515"/>
      <c r="BD25" s="1516"/>
      <c r="BE25" s="1514">
        <f t="shared" ref="BE25" si="22">BE24+BA25</f>
        <v>0</v>
      </c>
      <c r="BF25" s="1515"/>
      <c r="BG25" s="1515"/>
      <c r="BH25" s="1516"/>
      <c r="BI25" s="1514">
        <f t="shared" ref="BI25" si="23">BI24+BE25</f>
        <v>0</v>
      </c>
      <c r="BJ25" s="1515"/>
      <c r="BK25" s="1515"/>
      <c r="BL25" s="1516"/>
      <c r="BM25" s="1514">
        <f t="shared" ref="BM25" si="24">BM24+BI25</f>
        <v>0</v>
      </c>
      <c r="BN25" s="1515"/>
      <c r="BO25" s="1515"/>
      <c r="BP25" s="1516"/>
      <c r="BQ25" s="1514">
        <f t="shared" ref="BQ25" si="25">BQ24+BM25</f>
        <v>0</v>
      </c>
      <c r="BR25" s="1515"/>
      <c r="BS25" s="1515"/>
      <c r="BT25" s="1516"/>
      <c r="BU25" s="1514">
        <f t="shared" ref="BU25" si="26">BU24+BQ25</f>
        <v>0</v>
      </c>
      <c r="BV25" s="1515"/>
      <c r="BW25" s="1515"/>
      <c r="BX25" s="1516"/>
    </row>
    <row r="26" spans="1:76" ht="14" thickBot="1" x14ac:dyDescent="0.2">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200"/>
    </row>
    <row r="27" spans="1:76" ht="11.25" customHeight="1" thickBot="1" x14ac:dyDescent="0.2">
      <c r="B27" s="1533" t="s">
        <v>334</v>
      </c>
      <c r="C27" s="1534"/>
      <c r="D27" s="1534"/>
      <c r="E27" s="1534"/>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1534"/>
      <c r="AJ27" s="1534"/>
      <c r="AK27" s="1534"/>
      <c r="AL27" s="1534"/>
      <c r="AM27" s="1534"/>
      <c r="AN27" s="1534"/>
      <c r="AO27" s="1534"/>
      <c r="AP27" s="1534"/>
      <c r="AQ27" s="1534"/>
      <c r="AR27" s="1534"/>
      <c r="AS27" s="1534"/>
      <c r="AT27" s="1534"/>
      <c r="AU27" s="1534"/>
      <c r="AV27" s="1534"/>
      <c r="AW27" s="1534"/>
      <c r="AX27" s="1534"/>
      <c r="AY27" s="1534"/>
      <c r="AZ27" s="1534"/>
      <c r="BA27" s="1534"/>
      <c r="BB27" s="1534"/>
      <c r="BC27" s="1534"/>
      <c r="BD27" s="1534"/>
      <c r="BE27" s="1534"/>
      <c r="BF27" s="1534"/>
      <c r="BG27" s="1534"/>
      <c r="BH27" s="1534"/>
      <c r="BI27" s="1534"/>
      <c r="BJ27" s="1534"/>
      <c r="BK27" s="1534"/>
      <c r="BL27" s="1534"/>
      <c r="BM27" s="1534"/>
      <c r="BN27" s="1534"/>
      <c r="BO27" s="1534"/>
      <c r="BP27" s="1534"/>
      <c r="BQ27" s="1534"/>
      <c r="BR27" s="1534"/>
      <c r="BS27" s="1534"/>
      <c r="BT27" s="1534"/>
      <c r="BU27" s="1534"/>
      <c r="BV27" s="1534"/>
      <c r="BW27" s="1535"/>
      <c r="BX27" s="200"/>
    </row>
    <row r="28" spans="1:76" ht="14" thickBot="1" x14ac:dyDescent="0.2">
      <c r="B28" s="199"/>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200"/>
    </row>
    <row r="29" spans="1:76" ht="10.5" customHeight="1" x14ac:dyDescent="0.15">
      <c r="B29" s="1536" t="s">
        <v>320</v>
      </c>
      <c r="C29" s="1537"/>
      <c r="D29" s="1537"/>
      <c r="E29" s="1537"/>
      <c r="F29" s="1537"/>
      <c r="G29" s="1537"/>
      <c r="H29" s="1537"/>
      <c r="I29" s="1537"/>
      <c r="J29" s="1537"/>
      <c r="K29" s="1537"/>
      <c r="L29" s="1537"/>
      <c r="M29" s="1537"/>
      <c r="N29" s="1537"/>
      <c r="O29" s="1538"/>
      <c r="P29" s="1545" t="s">
        <v>321</v>
      </c>
      <c r="Q29" s="1546"/>
      <c r="R29" s="1546"/>
      <c r="S29" s="1547"/>
      <c r="T29" s="1545" t="s">
        <v>335</v>
      </c>
      <c r="U29" s="1546"/>
      <c r="V29" s="1546"/>
      <c r="W29" s="1546"/>
      <c r="X29" s="1546"/>
      <c r="Y29" s="1546"/>
      <c r="Z29" s="1546"/>
      <c r="AA29" s="1546"/>
      <c r="AB29" s="1546"/>
      <c r="AC29" s="1546"/>
      <c r="AD29" s="1546"/>
      <c r="AE29" s="1546"/>
      <c r="AF29" s="1546"/>
      <c r="AG29" s="1546"/>
      <c r="AH29" s="1546"/>
      <c r="AI29" s="1546"/>
      <c r="AJ29" s="1546"/>
      <c r="AK29" s="1546"/>
      <c r="AL29" s="1546"/>
      <c r="AM29" s="1546"/>
      <c r="AN29" s="1546"/>
      <c r="AO29" s="1546"/>
      <c r="AP29" s="1546"/>
      <c r="AQ29" s="1546"/>
      <c r="AR29" s="1546"/>
      <c r="AS29" s="1546"/>
      <c r="AT29" s="1546"/>
      <c r="AU29" s="1546"/>
      <c r="AV29" s="1546"/>
      <c r="AW29" s="1546"/>
      <c r="AX29" s="1546"/>
      <c r="AY29" s="1546"/>
      <c r="AZ29" s="1546"/>
      <c r="BA29" s="1546"/>
      <c r="BB29" s="1546"/>
      <c r="BC29" s="1546"/>
      <c r="BD29" s="1546"/>
      <c r="BE29" s="1546"/>
      <c r="BF29" s="1546"/>
      <c r="BG29" s="1546"/>
      <c r="BH29" s="1546"/>
      <c r="BI29" s="1546"/>
      <c r="BJ29" s="1546"/>
      <c r="BK29" s="1546"/>
      <c r="BL29" s="1546"/>
      <c r="BM29" s="1546"/>
      <c r="BN29" s="1546"/>
      <c r="BO29" s="1546"/>
      <c r="BP29" s="1546"/>
      <c r="BQ29" s="1546"/>
      <c r="BR29" s="1546"/>
      <c r="BS29" s="1546"/>
      <c r="BT29" s="1546"/>
      <c r="BU29" s="1546"/>
      <c r="BV29" s="1546"/>
      <c r="BW29" s="1548"/>
      <c r="BX29" s="200"/>
    </row>
    <row r="30" spans="1:76" ht="18.75" customHeight="1" x14ac:dyDescent="0.15">
      <c r="B30" s="1539"/>
      <c r="C30" s="1540"/>
      <c r="D30" s="1540"/>
      <c r="E30" s="1540"/>
      <c r="F30" s="1540"/>
      <c r="G30" s="1540"/>
      <c r="H30" s="1540"/>
      <c r="I30" s="1540"/>
      <c r="J30" s="1540"/>
      <c r="K30" s="1540"/>
      <c r="L30" s="1540"/>
      <c r="M30" s="1540"/>
      <c r="N30" s="1540"/>
      <c r="O30" s="1541"/>
      <c r="P30" s="1527"/>
      <c r="Q30" s="1528"/>
      <c r="R30" s="1528"/>
      <c r="S30" s="1529"/>
      <c r="T30" s="1527"/>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28"/>
      <c r="BF30" s="1528"/>
      <c r="BG30" s="1528"/>
      <c r="BH30" s="1528"/>
      <c r="BI30" s="1528"/>
      <c r="BJ30" s="1528"/>
      <c r="BK30" s="1528"/>
      <c r="BL30" s="1528"/>
      <c r="BM30" s="1528"/>
      <c r="BN30" s="1528"/>
      <c r="BO30" s="1528"/>
      <c r="BP30" s="1528"/>
      <c r="BQ30" s="1528"/>
      <c r="BR30" s="1528"/>
      <c r="BS30" s="1528"/>
      <c r="BT30" s="1528"/>
      <c r="BU30" s="1528"/>
      <c r="BV30" s="1528"/>
      <c r="BW30" s="1549"/>
      <c r="BX30" s="200"/>
    </row>
    <row r="31" spans="1:76" ht="12" customHeight="1" x14ac:dyDescent="0.15">
      <c r="B31" s="1542"/>
      <c r="C31" s="1543"/>
      <c r="D31" s="1543"/>
      <c r="E31" s="1543"/>
      <c r="F31" s="1543"/>
      <c r="G31" s="1543"/>
      <c r="H31" s="1543"/>
      <c r="I31" s="1543"/>
      <c r="J31" s="1543"/>
      <c r="K31" s="1543"/>
      <c r="L31" s="1543"/>
      <c r="M31" s="1543"/>
      <c r="N31" s="1543"/>
      <c r="O31" s="1544"/>
      <c r="P31" s="1550"/>
      <c r="Q31" s="1551"/>
      <c r="R31" s="1551"/>
      <c r="S31" s="1552"/>
      <c r="T31" s="1550"/>
      <c r="U31" s="1551"/>
      <c r="V31" s="1551"/>
      <c r="W31" s="1552"/>
      <c r="X31" s="1550"/>
      <c r="Y31" s="1551"/>
      <c r="Z31" s="1551"/>
      <c r="AA31" s="1552"/>
      <c r="AB31" s="1550"/>
      <c r="AC31" s="1551"/>
      <c r="AD31" s="1551"/>
      <c r="AE31" s="1552"/>
      <c r="AF31" s="1550"/>
      <c r="AG31" s="1551"/>
      <c r="AH31" s="1551"/>
      <c r="AI31" s="1552"/>
      <c r="AJ31" s="1550"/>
      <c r="AK31" s="1551"/>
      <c r="AL31" s="1551"/>
      <c r="AM31" s="1552"/>
      <c r="AN31" s="1550"/>
      <c r="AO31" s="1551"/>
      <c r="AP31" s="1551"/>
      <c r="AQ31" s="1552"/>
      <c r="AR31" s="1550"/>
      <c r="AS31" s="1551"/>
      <c r="AT31" s="1551"/>
      <c r="AU31" s="1552"/>
      <c r="AV31" s="1550"/>
      <c r="AW31" s="1551"/>
      <c r="AX31" s="1551"/>
      <c r="AY31" s="1552"/>
      <c r="AZ31" s="1550"/>
      <c r="BA31" s="1551"/>
      <c r="BB31" s="1551"/>
      <c r="BC31" s="1552"/>
      <c r="BD31" s="1550"/>
      <c r="BE31" s="1551"/>
      <c r="BF31" s="1551"/>
      <c r="BG31" s="1552"/>
      <c r="BH31" s="1550"/>
      <c r="BI31" s="1551"/>
      <c r="BJ31" s="1551"/>
      <c r="BK31" s="1552"/>
      <c r="BL31" s="1550"/>
      <c r="BM31" s="1551"/>
      <c r="BN31" s="1551"/>
      <c r="BO31" s="1552"/>
      <c r="BP31" s="1550"/>
      <c r="BQ31" s="1551"/>
      <c r="BR31" s="1551"/>
      <c r="BS31" s="1552"/>
      <c r="BT31" s="1550"/>
      <c r="BU31" s="1551"/>
      <c r="BV31" s="1551"/>
      <c r="BW31" s="1556"/>
      <c r="BX31" s="200"/>
    </row>
    <row r="32" spans="1:76" ht="12" customHeight="1" x14ac:dyDescent="0.15">
      <c r="B32" s="201" t="s">
        <v>336</v>
      </c>
      <c r="C32" s="202"/>
      <c r="D32" s="202"/>
      <c r="E32" s="202"/>
      <c r="F32" s="202"/>
      <c r="G32" s="202"/>
      <c r="H32" s="202"/>
      <c r="I32" s="202"/>
      <c r="J32" s="202"/>
      <c r="K32" s="202"/>
      <c r="L32" s="202"/>
      <c r="M32" s="202"/>
      <c r="N32" s="202"/>
      <c r="O32" s="203"/>
      <c r="P32" s="1499"/>
      <c r="Q32" s="1500"/>
      <c r="R32" s="1500"/>
      <c r="S32" s="1501"/>
      <c r="T32" s="1499"/>
      <c r="U32" s="1500"/>
      <c r="V32" s="1500"/>
      <c r="W32" s="1501"/>
      <c r="X32" s="1499"/>
      <c r="Y32" s="1500"/>
      <c r="Z32" s="1500"/>
      <c r="AA32" s="1501"/>
      <c r="AB32" s="1499"/>
      <c r="AC32" s="1500"/>
      <c r="AD32" s="1500"/>
      <c r="AE32" s="1501"/>
      <c r="AF32" s="1499"/>
      <c r="AG32" s="1500"/>
      <c r="AH32" s="1500"/>
      <c r="AI32" s="1501"/>
      <c r="AJ32" s="1499"/>
      <c r="AK32" s="1500"/>
      <c r="AL32" s="1500"/>
      <c r="AM32" s="1501"/>
      <c r="AN32" s="1499"/>
      <c r="AO32" s="1500"/>
      <c r="AP32" s="1500"/>
      <c r="AQ32" s="1501"/>
      <c r="AR32" s="1499"/>
      <c r="AS32" s="1500"/>
      <c r="AT32" s="1500"/>
      <c r="AU32" s="1501"/>
      <c r="AV32" s="1499"/>
      <c r="AW32" s="1500"/>
      <c r="AX32" s="1500"/>
      <c r="AY32" s="1501"/>
      <c r="AZ32" s="1499"/>
      <c r="BA32" s="1500"/>
      <c r="BB32" s="1500"/>
      <c r="BC32" s="1501"/>
      <c r="BD32" s="1499"/>
      <c r="BE32" s="1500"/>
      <c r="BF32" s="1500"/>
      <c r="BG32" s="1501"/>
      <c r="BH32" s="1499"/>
      <c r="BI32" s="1500"/>
      <c r="BJ32" s="1500"/>
      <c r="BK32" s="1501"/>
      <c r="BL32" s="1499"/>
      <c r="BM32" s="1500"/>
      <c r="BN32" s="1500"/>
      <c r="BO32" s="1501"/>
      <c r="BP32" s="1499"/>
      <c r="BQ32" s="1500"/>
      <c r="BR32" s="1500"/>
      <c r="BS32" s="1501"/>
      <c r="BT32" s="1499"/>
      <c r="BU32" s="1500"/>
      <c r="BV32" s="1500"/>
      <c r="BW32" s="1501"/>
      <c r="BX32" s="200"/>
    </row>
    <row r="33" spans="2:76" ht="13" x14ac:dyDescent="0.15">
      <c r="B33" s="201" t="s">
        <v>337</v>
      </c>
      <c r="C33" s="202"/>
      <c r="D33" s="202"/>
      <c r="E33" s="202"/>
      <c r="F33" s="202"/>
      <c r="G33" s="202"/>
      <c r="H33" s="202"/>
      <c r="I33" s="202"/>
      <c r="J33" s="202"/>
      <c r="K33" s="202"/>
      <c r="L33" s="202"/>
      <c r="M33" s="202"/>
      <c r="N33" s="202"/>
      <c r="O33" s="203"/>
      <c r="P33" s="1499"/>
      <c r="Q33" s="1500"/>
      <c r="R33" s="1500"/>
      <c r="S33" s="1501"/>
      <c r="T33" s="1499"/>
      <c r="U33" s="1500"/>
      <c r="V33" s="1500"/>
      <c r="W33" s="1501"/>
      <c r="X33" s="1499"/>
      <c r="Y33" s="1500"/>
      <c r="Z33" s="1500"/>
      <c r="AA33" s="1501"/>
      <c r="AB33" s="1499"/>
      <c r="AC33" s="1500"/>
      <c r="AD33" s="1500"/>
      <c r="AE33" s="1501"/>
      <c r="AF33" s="1499"/>
      <c r="AG33" s="1500"/>
      <c r="AH33" s="1500"/>
      <c r="AI33" s="1501"/>
      <c r="AJ33" s="1499"/>
      <c r="AK33" s="1500"/>
      <c r="AL33" s="1500"/>
      <c r="AM33" s="1501"/>
      <c r="AN33" s="1499"/>
      <c r="AO33" s="1500"/>
      <c r="AP33" s="1500"/>
      <c r="AQ33" s="1501"/>
      <c r="AR33" s="1499"/>
      <c r="AS33" s="1500"/>
      <c r="AT33" s="1500"/>
      <c r="AU33" s="1501"/>
      <c r="AV33" s="1499"/>
      <c r="AW33" s="1500"/>
      <c r="AX33" s="1500"/>
      <c r="AY33" s="1501"/>
      <c r="AZ33" s="1499"/>
      <c r="BA33" s="1500"/>
      <c r="BB33" s="1500"/>
      <c r="BC33" s="1501"/>
      <c r="BD33" s="1499"/>
      <c r="BE33" s="1500"/>
      <c r="BF33" s="1500"/>
      <c r="BG33" s="1501"/>
      <c r="BH33" s="1499"/>
      <c r="BI33" s="1500"/>
      <c r="BJ33" s="1500"/>
      <c r="BK33" s="1501"/>
      <c r="BL33" s="1499"/>
      <c r="BM33" s="1500"/>
      <c r="BN33" s="1500"/>
      <c r="BO33" s="1501"/>
      <c r="BP33" s="1499"/>
      <c r="BQ33" s="1500"/>
      <c r="BR33" s="1500"/>
      <c r="BS33" s="1501"/>
      <c r="BT33" s="1499"/>
      <c r="BU33" s="1500"/>
      <c r="BV33" s="1500"/>
      <c r="BW33" s="1501"/>
      <c r="BX33" s="200"/>
    </row>
    <row r="34" spans="2:76" ht="12" customHeight="1" x14ac:dyDescent="0.15">
      <c r="B34" s="201" t="s">
        <v>338</v>
      </c>
      <c r="C34" s="202"/>
      <c r="D34" s="202"/>
      <c r="E34" s="202"/>
      <c r="F34" s="202"/>
      <c r="G34" s="202"/>
      <c r="H34" s="202"/>
      <c r="I34" s="202"/>
      <c r="J34" s="202"/>
      <c r="K34" s="202"/>
      <c r="L34" s="202"/>
      <c r="M34" s="202"/>
      <c r="N34" s="202"/>
      <c r="O34" s="203"/>
      <c r="P34" s="1499"/>
      <c r="Q34" s="1500"/>
      <c r="R34" s="1500"/>
      <c r="S34" s="1501"/>
      <c r="T34" s="1499"/>
      <c r="U34" s="1500"/>
      <c r="V34" s="1500"/>
      <c r="W34" s="1501"/>
      <c r="X34" s="1499"/>
      <c r="Y34" s="1500"/>
      <c r="Z34" s="1500"/>
      <c r="AA34" s="1501"/>
      <c r="AB34" s="1499"/>
      <c r="AC34" s="1500"/>
      <c r="AD34" s="1500"/>
      <c r="AE34" s="1501"/>
      <c r="AF34" s="1499"/>
      <c r="AG34" s="1500"/>
      <c r="AH34" s="1500"/>
      <c r="AI34" s="1501"/>
      <c r="AJ34" s="1499"/>
      <c r="AK34" s="1500"/>
      <c r="AL34" s="1500"/>
      <c r="AM34" s="1501"/>
      <c r="AN34" s="1499"/>
      <c r="AO34" s="1500"/>
      <c r="AP34" s="1500"/>
      <c r="AQ34" s="1501"/>
      <c r="AR34" s="1499"/>
      <c r="AS34" s="1500"/>
      <c r="AT34" s="1500"/>
      <c r="AU34" s="1501"/>
      <c r="AV34" s="1499"/>
      <c r="AW34" s="1500"/>
      <c r="AX34" s="1500"/>
      <c r="AY34" s="1501"/>
      <c r="AZ34" s="1499"/>
      <c r="BA34" s="1500"/>
      <c r="BB34" s="1500"/>
      <c r="BC34" s="1501"/>
      <c r="BD34" s="1499"/>
      <c r="BE34" s="1500"/>
      <c r="BF34" s="1500"/>
      <c r="BG34" s="1501"/>
      <c r="BH34" s="1499"/>
      <c r="BI34" s="1500"/>
      <c r="BJ34" s="1500"/>
      <c r="BK34" s="1501"/>
      <c r="BL34" s="1499"/>
      <c r="BM34" s="1500"/>
      <c r="BN34" s="1500"/>
      <c r="BO34" s="1501"/>
      <c r="BP34" s="1499"/>
      <c r="BQ34" s="1500"/>
      <c r="BR34" s="1500"/>
      <c r="BS34" s="1501"/>
      <c r="BT34" s="1499"/>
      <c r="BU34" s="1500"/>
      <c r="BV34" s="1500"/>
      <c r="BW34" s="1501"/>
      <c r="BX34" s="200"/>
    </row>
    <row r="35" spans="2:76" ht="11.25" customHeight="1" thickBot="1" x14ac:dyDescent="0.2">
      <c r="B35" s="201"/>
      <c r="C35" s="202"/>
      <c r="D35" s="1566" t="s">
        <v>339</v>
      </c>
      <c r="E35" s="1566"/>
      <c r="F35" s="1566"/>
      <c r="G35" s="1566"/>
      <c r="H35" s="1566"/>
      <c r="I35" s="1566"/>
      <c r="J35" s="1566"/>
      <c r="K35" s="1566"/>
      <c r="L35" s="1566"/>
      <c r="M35" s="1566"/>
      <c r="N35" s="1566"/>
      <c r="O35" s="1567"/>
      <c r="P35" s="1502"/>
      <c r="Q35" s="1503"/>
      <c r="R35" s="1503"/>
      <c r="S35" s="1504"/>
      <c r="T35" s="1502"/>
      <c r="U35" s="1503"/>
      <c r="V35" s="1503"/>
      <c r="W35" s="1504"/>
      <c r="X35" s="1502"/>
      <c r="Y35" s="1503"/>
      <c r="Z35" s="1503"/>
      <c r="AA35" s="1504"/>
      <c r="AB35" s="1502"/>
      <c r="AC35" s="1503"/>
      <c r="AD35" s="1503"/>
      <c r="AE35" s="1504"/>
      <c r="AF35" s="1502"/>
      <c r="AG35" s="1503"/>
      <c r="AH35" s="1503"/>
      <c r="AI35" s="1504"/>
      <c r="AJ35" s="1502"/>
      <c r="AK35" s="1503"/>
      <c r="AL35" s="1503"/>
      <c r="AM35" s="1504"/>
      <c r="AN35" s="1502"/>
      <c r="AO35" s="1503"/>
      <c r="AP35" s="1503"/>
      <c r="AQ35" s="1504"/>
      <c r="AR35" s="1502"/>
      <c r="AS35" s="1503"/>
      <c r="AT35" s="1503"/>
      <c r="AU35" s="1504"/>
      <c r="AV35" s="1502"/>
      <c r="AW35" s="1503"/>
      <c r="AX35" s="1503"/>
      <c r="AY35" s="1504"/>
      <c r="AZ35" s="1502"/>
      <c r="BA35" s="1503"/>
      <c r="BB35" s="1503"/>
      <c r="BC35" s="1504"/>
      <c r="BD35" s="1502"/>
      <c r="BE35" s="1503"/>
      <c r="BF35" s="1503"/>
      <c r="BG35" s="1504"/>
      <c r="BH35" s="1502"/>
      <c r="BI35" s="1503"/>
      <c r="BJ35" s="1503"/>
      <c r="BK35" s="1504"/>
      <c r="BL35" s="1502"/>
      <c r="BM35" s="1503"/>
      <c r="BN35" s="1503"/>
      <c r="BO35" s="1504"/>
      <c r="BP35" s="1502"/>
      <c r="BQ35" s="1503"/>
      <c r="BR35" s="1503"/>
      <c r="BS35" s="1504"/>
      <c r="BT35" s="1502"/>
      <c r="BU35" s="1503"/>
      <c r="BV35" s="1503"/>
      <c r="BW35" s="1504"/>
      <c r="BX35" s="200"/>
    </row>
    <row r="36" spans="2:76" ht="11.25" customHeight="1" thickBot="1" x14ac:dyDescent="0.2">
      <c r="B36" s="1568" t="s">
        <v>340</v>
      </c>
      <c r="C36" s="1531"/>
      <c r="D36" s="1531"/>
      <c r="E36" s="1531"/>
      <c r="F36" s="1531"/>
      <c r="G36" s="1531"/>
      <c r="H36" s="1531"/>
      <c r="I36" s="1531"/>
      <c r="J36" s="1531"/>
      <c r="K36" s="1531"/>
      <c r="L36" s="1531"/>
      <c r="M36" s="1531"/>
      <c r="N36" s="1531"/>
      <c r="O36" s="1532"/>
      <c r="P36" s="1514">
        <f>P32-P33</f>
        <v>0</v>
      </c>
      <c r="Q36" s="1515"/>
      <c r="R36" s="1515"/>
      <c r="S36" s="1516"/>
      <c r="T36" s="1514">
        <f>T32-T33</f>
        <v>0</v>
      </c>
      <c r="U36" s="1515"/>
      <c r="V36" s="1515"/>
      <c r="W36" s="1516"/>
      <c r="X36" s="1514">
        <f>X32-X33</f>
        <v>0</v>
      </c>
      <c r="Y36" s="1515"/>
      <c r="Z36" s="1515"/>
      <c r="AA36" s="1516"/>
      <c r="AB36" s="1514">
        <f>AB32-AB33</f>
        <v>0</v>
      </c>
      <c r="AC36" s="1515"/>
      <c r="AD36" s="1515"/>
      <c r="AE36" s="1516"/>
      <c r="AF36" s="1514">
        <f>AF32-AF33</f>
        <v>0</v>
      </c>
      <c r="AG36" s="1515"/>
      <c r="AH36" s="1515"/>
      <c r="AI36" s="1516"/>
      <c r="AJ36" s="1514">
        <f>AJ32-AJ33</f>
        <v>0</v>
      </c>
      <c r="AK36" s="1515"/>
      <c r="AL36" s="1515"/>
      <c r="AM36" s="1516"/>
      <c r="AN36" s="1514">
        <f>AN32-AN33</f>
        <v>0</v>
      </c>
      <c r="AO36" s="1515"/>
      <c r="AP36" s="1515"/>
      <c r="AQ36" s="1516"/>
      <c r="AR36" s="1514">
        <f>AR32-AR33</f>
        <v>0</v>
      </c>
      <c r="AS36" s="1515"/>
      <c r="AT36" s="1515"/>
      <c r="AU36" s="1516"/>
      <c r="AV36" s="1514">
        <f>AV32-AV33</f>
        <v>0</v>
      </c>
      <c r="AW36" s="1515"/>
      <c r="AX36" s="1515"/>
      <c r="AY36" s="1516"/>
      <c r="AZ36" s="1514">
        <f>AZ32-AZ33</f>
        <v>0</v>
      </c>
      <c r="BA36" s="1515"/>
      <c r="BB36" s="1515"/>
      <c r="BC36" s="1516"/>
      <c r="BD36" s="1514">
        <f>BD32-BD33</f>
        <v>0</v>
      </c>
      <c r="BE36" s="1515"/>
      <c r="BF36" s="1515"/>
      <c r="BG36" s="1516"/>
      <c r="BH36" s="1514">
        <f>BH32-BH33</f>
        <v>0</v>
      </c>
      <c r="BI36" s="1515"/>
      <c r="BJ36" s="1515"/>
      <c r="BK36" s="1516"/>
      <c r="BL36" s="1514">
        <f>BL32-BL33</f>
        <v>0</v>
      </c>
      <c r="BM36" s="1515"/>
      <c r="BN36" s="1515"/>
      <c r="BO36" s="1516"/>
      <c r="BP36" s="1514">
        <f>BP32-BP33</f>
        <v>0</v>
      </c>
      <c r="BQ36" s="1515"/>
      <c r="BR36" s="1515"/>
      <c r="BS36" s="1516"/>
      <c r="BT36" s="1514">
        <f>BT32-BT33</f>
        <v>0</v>
      </c>
      <c r="BU36" s="1515"/>
      <c r="BV36" s="1515"/>
      <c r="BW36" s="1516"/>
      <c r="BX36" s="200"/>
    </row>
    <row r="37" spans="2:76" ht="14" thickBot="1" x14ac:dyDescent="0.2">
      <c r="B37" s="199" t="s">
        <v>341</v>
      </c>
      <c r="C37" s="124"/>
      <c r="D37" s="124"/>
      <c r="E37" s="124"/>
      <c r="F37" s="124"/>
      <c r="G37" s="124"/>
      <c r="H37" s="124"/>
      <c r="I37" s="124"/>
      <c r="J37" s="124"/>
      <c r="K37" s="124"/>
      <c r="L37" s="124"/>
      <c r="M37" s="124"/>
      <c r="N37" s="124"/>
      <c r="O37" s="200"/>
      <c r="P37" s="1517"/>
      <c r="Q37" s="1518"/>
      <c r="R37" s="1518"/>
      <c r="S37" s="1519"/>
      <c r="T37" s="1517"/>
      <c r="U37" s="1518"/>
      <c r="V37" s="1518"/>
      <c r="W37" s="1519"/>
      <c r="X37" s="1517"/>
      <c r="Y37" s="1518"/>
      <c r="Z37" s="1518"/>
      <c r="AA37" s="1519"/>
      <c r="AB37" s="1517"/>
      <c r="AC37" s="1518"/>
      <c r="AD37" s="1518"/>
      <c r="AE37" s="1519"/>
      <c r="AF37" s="1517"/>
      <c r="AG37" s="1518"/>
      <c r="AH37" s="1518"/>
      <c r="AI37" s="1519"/>
      <c r="AJ37" s="1517"/>
      <c r="AK37" s="1518"/>
      <c r="AL37" s="1518"/>
      <c r="AM37" s="1519"/>
      <c r="AN37" s="1517"/>
      <c r="AO37" s="1518"/>
      <c r="AP37" s="1518"/>
      <c r="AQ37" s="1519"/>
      <c r="AR37" s="1517"/>
      <c r="AS37" s="1518"/>
      <c r="AT37" s="1518"/>
      <c r="AU37" s="1519"/>
      <c r="AV37" s="1517"/>
      <c r="AW37" s="1518"/>
      <c r="AX37" s="1518"/>
      <c r="AY37" s="1519"/>
      <c r="AZ37" s="1517"/>
      <c r="BA37" s="1518"/>
      <c r="BB37" s="1518"/>
      <c r="BC37" s="1519"/>
      <c r="BD37" s="1517"/>
      <c r="BE37" s="1518"/>
      <c r="BF37" s="1518"/>
      <c r="BG37" s="1519"/>
      <c r="BH37" s="1517"/>
      <c r="BI37" s="1518"/>
      <c r="BJ37" s="1518"/>
      <c r="BK37" s="1519"/>
      <c r="BL37" s="1517"/>
      <c r="BM37" s="1518"/>
      <c r="BN37" s="1518"/>
      <c r="BO37" s="1519"/>
      <c r="BP37" s="1517"/>
      <c r="BQ37" s="1518"/>
      <c r="BR37" s="1518"/>
      <c r="BS37" s="1519"/>
      <c r="BT37" s="1517"/>
      <c r="BU37" s="1518"/>
      <c r="BV37" s="1518"/>
      <c r="BW37" s="1569"/>
      <c r="BX37" s="200"/>
    </row>
    <row r="38" spans="2:76" ht="22.5" customHeight="1" thickBot="1" x14ac:dyDescent="0.2">
      <c r="B38" s="1568" t="s">
        <v>342</v>
      </c>
      <c r="C38" s="1531"/>
      <c r="D38" s="1531"/>
      <c r="E38" s="1531"/>
      <c r="F38" s="1531"/>
      <c r="G38" s="1531"/>
      <c r="H38" s="1531"/>
      <c r="I38" s="1531"/>
      <c r="J38" s="1531"/>
      <c r="K38" s="1531"/>
      <c r="L38" s="1531"/>
      <c r="M38" s="1531"/>
      <c r="N38" s="1531"/>
      <c r="O38" s="1532"/>
      <c r="P38" s="1514">
        <f>P36-P37</f>
        <v>0</v>
      </c>
      <c r="Q38" s="1515"/>
      <c r="R38" s="1515"/>
      <c r="S38" s="1516"/>
      <c r="T38" s="1514">
        <f>T36-T37</f>
        <v>0</v>
      </c>
      <c r="U38" s="1515"/>
      <c r="V38" s="1515"/>
      <c r="W38" s="1516"/>
      <c r="X38" s="1514">
        <f>X36-X37</f>
        <v>0</v>
      </c>
      <c r="Y38" s="1515"/>
      <c r="Z38" s="1515"/>
      <c r="AA38" s="1516"/>
      <c r="AB38" s="1514">
        <f>AB36-AB37</f>
        <v>0</v>
      </c>
      <c r="AC38" s="1515"/>
      <c r="AD38" s="1515"/>
      <c r="AE38" s="1516"/>
      <c r="AF38" s="1514">
        <f>AF36-AF37</f>
        <v>0</v>
      </c>
      <c r="AG38" s="1515"/>
      <c r="AH38" s="1515"/>
      <c r="AI38" s="1516"/>
      <c r="AJ38" s="1514">
        <f>AJ36-AJ37</f>
        <v>0</v>
      </c>
      <c r="AK38" s="1515"/>
      <c r="AL38" s="1515"/>
      <c r="AM38" s="1516"/>
      <c r="AN38" s="1514">
        <f>AN36-AN37</f>
        <v>0</v>
      </c>
      <c r="AO38" s="1515"/>
      <c r="AP38" s="1515"/>
      <c r="AQ38" s="1516"/>
      <c r="AR38" s="1514">
        <f>AR36-AR37</f>
        <v>0</v>
      </c>
      <c r="AS38" s="1515"/>
      <c r="AT38" s="1515"/>
      <c r="AU38" s="1516"/>
      <c r="AV38" s="1514">
        <f>AV36-AV37</f>
        <v>0</v>
      </c>
      <c r="AW38" s="1515"/>
      <c r="AX38" s="1515"/>
      <c r="AY38" s="1516"/>
      <c r="AZ38" s="1514">
        <f>AZ36-AZ37</f>
        <v>0</v>
      </c>
      <c r="BA38" s="1515"/>
      <c r="BB38" s="1515"/>
      <c r="BC38" s="1516"/>
      <c r="BD38" s="1514">
        <f>BD36-BD37</f>
        <v>0</v>
      </c>
      <c r="BE38" s="1515"/>
      <c r="BF38" s="1515"/>
      <c r="BG38" s="1516"/>
      <c r="BH38" s="1514">
        <f>BH36-BH37</f>
        <v>0</v>
      </c>
      <c r="BI38" s="1515"/>
      <c r="BJ38" s="1515"/>
      <c r="BK38" s="1516"/>
      <c r="BL38" s="1514">
        <f>BL36-BL37</f>
        <v>0</v>
      </c>
      <c r="BM38" s="1515"/>
      <c r="BN38" s="1515"/>
      <c r="BO38" s="1516"/>
      <c r="BP38" s="1514">
        <f>BP36-BP37</f>
        <v>0</v>
      </c>
      <c r="BQ38" s="1515"/>
      <c r="BR38" s="1515"/>
      <c r="BS38" s="1516"/>
      <c r="BT38" s="1514">
        <f>BT36-BT37</f>
        <v>0</v>
      </c>
      <c r="BU38" s="1515"/>
      <c r="BV38" s="1515"/>
      <c r="BW38" s="1570"/>
      <c r="BX38" s="200"/>
    </row>
    <row r="39" spans="2:76" ht="15.75" customHeight="1" thickBot="1" x14ac:dyDescent="0.2">
      <c r="B39" s="199" t="s">
        <v>343</v>
      </c>
      <c r="C39" s="124"/>
      <c r="D39" s="124"/>
      <c r="E39" s="124"/>
      <c r="F39" s="124"/>
      <c r="G39" s="124"/>
      <c r="H39" s="124"/>
      <c r="I39" s="124"/>
      <c r="J39" s="124"/>
      <c r="K39" s="124"/>
      <c r="L39" s="124"/>
      <c r="M39" s="124"/>
      <c r="N39" s="124"/>
      <c r="O39" s="200"/>
      <c r="P39" s="1517"/>
      <c r="Q39" s="1518"/>
      <c r="R39" s="1518"/>
      <c r="S39" s="1519"/>
      <c r="T39" s="1517"/>
      <c r="U39" s="1518"/>
      <c r="V39" s="1518"/>
      <c r="W39" s="1519"/>
      <c r="X39" s="1517"/>
      <c r="Y39" s="1518"/>
      <c r="Z39" s="1518"/>
      <c r="AA39" s="1519"/>
      <c r="AB39" s="1517"/>
      <c r="AC39" s="1518"/>
      <c r="AD39" s="1518"/>
      <c r="AE39" s="1519"/>
      <c r="AF39" s="1517"/>
      <c r="AG39" s="1518"/>
      <c r="AH39" s="1518"/>
      <c r="AI39" s="1519"/>
      <c r="AJ39" s="1517"/>
      <c r="AK39" s="1518"/>
      <c r="AL39" s="1518"/>
      <c r="AM39" s="1519"/>
      <c r="AN39" s="1517"/>
      <c r="AO39" s="1518"/>
      <c r="AP39" s="1518"/>
      <c r="AQ39" s="1519"/>
      <c r="AR39" s="1517"/>
      <c r="AS39" s="1518"/>
      <c r="AT39" s="1518"/>
      <c r="AU39" s="1519"/>
      <c r="AV39" s="1517"/>
      <c r="AW39" s="1518"/>
      <c r="AX39" s="1518"/>
      <c r="AY39" s="1519"/>
      <c r="AZ39" s="1517"/>
      <c r="BA39" s="1518"/>
      <c r="BB39" s="1518"/>
      <c r="BC39" s="1519"/>
      <c r="BD39" s="1517"/>
      <c r="BE39" s="1518"/>
      <c r="BF39" s="1518"/>
      <c r="BG39" s="1519"/>
      <c r="BH39" s="1517"/>
      <c r="BI39" s="1518"/>
      <c r="BJ39" s="1518"/>
      <c r="BK39" s="1519"/>
      <c r="BL39" s="1517"/>
      <c r="BM39" s="1518"/>
      <c r="BN39" s="1518"/>
      <c r="BO39" s="1519"/>
      <c r="BP39" s="1517"/>
      <c r="BQ39" s="1518"/>
      <c r="BR39" s="1518"/>
      <c r="BS39" s="1519"/>
      <c r="BT39" s="1517"/>
      <c r="BU39" s="1518"/>
      <c r="BV39" s="1518"/>
      <c r="BW39" s="1569"/>
      <c r="BX39" s="200"/>
    </row>
    <row r="40" spans="2:76" ht="10.5" customHeight="1" x14ac:dyDescent="0.15">
      <c r="B40" s="1572" t="s">
        <v>344</v>
      </c>
      <c r="C40" s="1573"/>
      <c r="D40" s="1573"/>
      <c r="E40" s="1573"/>
      <c r="F40" s="1573"/>
      <c r="G40" s="1573"/>
      <c r="H40" s="1573"/>
      <c r="I40" s="1573"/>
      <c r="J40" s="1573"/>
      <c r="K40" s="1573"/>
      <c r="L40" s="1573"/>
      <c r="M40" s="1573"/>
      <c r="N40" s="1573"/>
      <c r="O40" s="1574"/>
      <c r="P40" s="1520"/>
      <c r="Q40" s="1521"/>
      <c r="R40" s="1521"/>
      <c r="S40" s="1522"/>
      <c r="T40" s="1520"/>
      <c r="U40" s="1521"/>
      <c r="V40" s="1521"/>
      <c r="W40" s="1522"/>
      <c r="X40" s="1520"/>
      <c r="Y40" s="1521"/>
      <c r="Z40" s="1521"/>
      <c r="AA40" s="1522"/>
      <c r="AB40" s="1520"/>
      <c r="AC40" s="1521"/>
      <c r="AD40" s="1521"/>
      <c r="AE40" s="1522"/>
      <c r="AF40" s="1520"/>
      <c r="AG40" s="1521"/>
      <c r="AH40" s="1521"/>
      <c r="AI40" s="1522"/>
      <c r="AJ40" s="1520"/>
      <c r="AK40" s="1521"/>
      <c r="AL40" s="1521"/>
      <c r="AM40" s="1522"/>
      <c r="AN40" s="1520"/>
      <c r="AO40" s="1521"/>
      <c r="AP40" s="1521"/>
      <c r="AQ40" s="1522"/>
      <c r="AR40" s="1520"/>
      <c r="AS40" s="1521"/>
      <c r="AT40" s="1521"/>
      <c r="AU40" s="1522"/>
      <c r="AV40" s="1520"/>
      <c r="AW40" s="1521"/>
      <c r="AX40" s="1521"/>
      <c r="AY40" s="1522"/>
      <c r="AZ40" s="1520"/>
      <c r="BA40" s="1521"/>
      <c r="BB40" s="1521"/>
      <c r="BC40" s="1522"/>
      <c r="BD40" s="1520"/>
      <c r="BE40" s="1521"/>
      <c r="BF40" s="1521"/>
      <c r="BG40" s="1522"/>
      <c r="BH40" s="1520"/>
      <c r="BI40" s="1521"/>
      <c r="BJ40" s="1521"/>
      <c r="BK40" s="1522"/>
      <c r="BL40" s="1520"/>
      <c r="BM40" s="1521"/>
      <c r="BN40" s="1521"/>
      <c r="BO40" s="1522"/>
      <c r="BP40" s="1520"/>
      <c r="BQ40" s="1521"/>
      <c r="BR40" s="1521"/>
      <c r="BS40" s="1522"/>
      <c r="BT40" s="1520"/>
      <c r="BU40" s="1521"/>
      <c r="BV40" s="1521"/>
      <c r="BW40" s="1571"/>
      <c r="BX40" s="205"/>
    </row>
    <row r="41" spans="2:76" ht="13" x14ac:dyDescent="0.15">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row>
    <row r="42" spans="2:76" ht="15.75" customHeight="1" x14ac:dyDescent="0.15">
      <c r="B42" s="124"/>
      <c r="C42" s="1523" t="s">
        <v>886</v>
      </c>
      <c r="D42" s="1523"/>
      <c r="E42" s="1523"/>
      <c r="F42" s="1523"/>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3"/>
      <c r="AI42" s="1523"/>
      <c r="AJ42" s="1523"/>
      <c r="AK42" s="1523"/>
      <c r="AL42" s="1523"/>
      <c r="AM42" s="1523"/>
      <c r="AN42" s="1523"/>
      <c r="AO42" s="1523"/>
      <c r="AP42" s="1523"/>
      <c r="AS42" s="1505" t="s">
        <v>1037</v>
      </c>
      <c r="AT42" s="1506"/>
      <c r="AU42" s="1506"/>
      <c r="AV42" s="1506"/>
      <c r="AW42" s="1506"/>
      <c r="AX42" s="1506"/>
      <c r="AY42" s="1506"/>
      <c r="AZ42" s="1506"/>
      <c r="BA42" s="1506"/>
      <c r="BB42" s="1506"/>
      <c r="BC42" s="1506"/>
      <c r="BD42" s="1506"/>
      <c r="BE42" s="1506"/>
      <c r="BF42" s="1506"/>
      <c r="BG42" s="1506"/>
      <c r="BH42" s="1506"/>
      <c r="BI42" s="1506"/>
      <c r="BJ42" s="1506"/>
      <c r="BK42" s="1506"/>
      <c r="BL42" s="1506"/>
      <c r="BM42" s="1506"/>
      <c r="BN42" s="1506"/>
      <c r="BO42" s="1506"/>
      <c r="BP42" s="1506"/>
      <c r="BQ42" s="1506"/>
      <c r="BR42" s="1506"/>
      <c r="BS42" s="1507"/>
    </row>
    <row r="43" spans="2:76" ht="29.25" customHeight="1" x14ac:dyDescent="0.15">
      <c r="B43" s="124"/>
      <c r="C43" s="1524" t="s">
        <v>887</v>
      </c>
      <c r="D43" s="1525"/>
      <c r="E43" s="1525"/>
      <c r="F43" s="1525"/>
      <c r="G43" s="1525"/>
      <c r="H43" s="1525"/>
      <c r="I43" s="1525"/>
      <c r="J43" s="1525"/>
      <c r="K43" s="1525"/>
      <c r="L43" s="1525"/>
      <c r="M43" s="1525"/>
      <c r="N43" s="1525"/>
      <c r="O43" s="1525"/>
      <c r="P43" s="1525"/>
      <c r="Q43" s="1526"/>
      <c r="R43" s="1524" t="s">
        <v>1028</v>
      </c>
      <c r="S43" s="1525"/>
      <c r="T43" s="1525"/>
      <c r="U43" s="1525"/>
      <c r="V43" s="1525"/>
      <c r="W43" s="1525"/>
      <c r="X43" s="1525"/>
      <c r="Y43" s="1525"/>
      <c r="Z43" s="1526"/>
      <c r="AA43" s="1539" t="s">
        <v>1025</v>
      </c>
      <c r="AB43" s="1540"/>
      <c r="AC43" s="1540"/>
      <c r="AD43" s="1541"/>
      <c r="AE43" s="1539" t="s">
        <v>1026</v>
      </c>
      <c r="AF43" s="1540"/>
      <c r="AG43" s="1540"/>
      <c r="AH43" s="1541"/>
      <c r="AI43" s="1527" t="s">
        <v>888</v>
      </c>
      <c r="AJ43" s="1528"/>
      <c r="AK43" s="1528"/>
      <c r="AL43" s="1528"/>
      <c r="AM43" s="1528"/>
      <c r="AN43" s="1528"/>
      <c r="AO43" s="1528"/>
      <c r="AP43" s="1529"/>
      <c r="AS43" s="1508"/>
      <c r="AT43" s="1509"/>
      <c r="AU43" s="1509"/>
      <c r="AV43" s="1509"/>
      <c r="AW43" s="1509"/>
      <c r="AX43" s="1509"/>
      <c r="AY43" s="1509"/>
      <c r="AZ43" s="1509"/>
      <c r="BA43" s="1509"/>
      <c r="BB43" s="1509"/>
      <c r="BC43" s="1509"/>
      <c r="BD43" s="1509"/>
      <c r="BE43" s="1509"/>
      <c r="BF43" s="1509"/>
      <c r="BG43" s="1509"/>
      <c r="BH43" s="1509"/>
      <c r="BI43" s="1509"/>
      <c r="BJ43" s="1509"/>
      <c r="BK43" s="1509"/>
      <c r="BL43" s="1509"/>
      <c r="BM43" s="1509"/>
      <c r="BN43" s="1509"/>
      <c r="BO43" s="1509"/>
      <c r="BP43" s="1509"/>
      <c r="BQ43" s="1509"/>
      <c r="BR43" s="1509"/>
      <c r="BS43" s="1510"/>
    </row>
    <row r="44" spans="2:76" ht="13" x14ac:dyDescent="0.15">
      <c r="B44" s="124"/>
      <c r="C44" s="1527"/>
      <c r="D44" s="1528"/>
      <c r="E44" s="1528"/>
      <c r="F44" s="1528"/>
      <c r="G44" s="1528"/>
      <c r="H44" s="1528"/>
      <c r="I44" s="1528"/>
      <c r="J44" s="1528"/>
      <c r="K44" s="1528"/>
      <c r="L44" s="1528"/>
      <c r="M44" s="1528"/>
      <c r="N44" s="1528"/>
      <c r="O44" s="1528"/>
      <c r="P44" s="1528"/>
      <c r="Q44" s="1529"/>
      <c r="R44" s="1527"/>
      <c r="S44" s="1528"/>
      <c r="T44" s="1528"/>
      <c r="U44" s="1528"/>
      <c r="V44" s="1528"/>
      <c r="W44" s="1528"/>
      <c r="X44" s="1528"/>
      <c r="Y44" s="1528"/>
      <c r="Z44" s="1529"/>
      <c r="AA44" s="1542"/>
      <c r="AB44" s="1543"/>
      <c r="AC44" s="1543"/>
      <c r="AD44" s="1544"/>
      <c r="AE44" s="1542"/>
      <c r="AF44" s="1543"/>
      <c r="AG44" s="1543"/>
      <c r="AH44" s="1544"/>
      <c r="AI44" s="1575" t="s">
        <v>162</v>
      </c>
      <c r="AJ44" s="1576"/>
      <c r="AK44" s="1576"/>
      <c r="AL44" s="1577"/>
      <c r="AM44" s="1575" t="s">
        <v>0</v>
      </c>
      <c r="AN44" s="1576"/>
      <c r="AO44" s="1576"/>
      <c r="AP44" s="1577"/>
      <c r="AS44" s="1508"/>
      <c r="AT44" s="1509"/>
      <c r="AU44" s="1509"/>
      <c r="AV44" s="1509"/>
      <c r="AW44" s="1509"/>
      <c r="AX44" s="1509"/>
      <c r="AY44" s="1509"/>
      <c r="AZ44" s="1509"/>
      <c r="BA44" s="1509"/>
      <c r="BB44" s="1509"/>
      <c r="BC44" s="1509"/>
      <c r="BD44" s="1509"/>
      <c r="BE44" s="1509"/>
      <c r="BF44" s="1509"/>
      <c r="BG44" s="1509"/>
      <c r="BH44" s="1509"/>
      <c r="BI44" s="1509"/>
      <c r="BJ44" s="1509"/>
      <c r="BK44" s="1509"/>
      <c r="BL44" s="1509"/>
      <c r="BM44" s="1509"/>
      <c r="BN44" s="1509"/>
      <c r="BO44" s="1509"/>
      <c r="BP44" s="1509"/>
      <c r="BQ44" s="1509"/>
      <c r="BR44" s="1509"/>
      <c r="BS44" s="1510"/>
    </row>
    <row r="45" spans="2:76" ht="13" x14ac:dyDescent="0.15">
      <c r="B45" s="124"/>
      <c r="C45" s="1493"/>
      <c r="D45" s="1494"/>
      <c r="E45" s="1494"/>
      <c r="F45" s="1494"/>
      <c r="G45" s="1494"/>
      <c r="H45" s="1494"/>
      <c r="I45" s="1494"/>
      <c r="J45" s="1494"/>
      <c r="K45" s="1494"/>
      <c r="L45" s="1494"/>
      <c r="M45" s="1494"/>
      <c r="N45" s="1494"/>
      <c r="O45" s="1494"/>
      <c r="P45" s="1494"/>
      <c r="Q45" s="1495"/>
      <c r="R45" s="1496"/>
      <c r="S45" s="1497"/>
      <c r="T45" s="1497"/>
      <c r="U45" s="1497"/>
      <c r="V45" s="1497"/>
      <c r="W45" s="1497"/>
      <c r="X45" s="1497"/>
      <c r="Y45" s="1497"/>
      <c r="Z45" s="1498"/>
      <c r="AA45" s="1496"/>
      <c r="AB45" s="1497"/>
      <c r="AC45" s="1497"/>
      <c r="AD45" s="1497"/>
      <c r="AE45" s="1496"/>
      <c r="AF45" s="1497"/>
      <c r="AG45" s="1497"/>
      <c r="AH45" s="1497"/>
      <c r="AI45" s="1493"/>
      <c r="AJ45" s="1494"/>
      <c r="AK45" s="1494"/>
      <c r="AL45" s="1495"/>
      <c r="AM45" s="1493"/>
      <c r="AN45" s="1494"/>
      <c r="AO45" s="1494"/>
      <c r="AP45" s="1495"/>
      <c r="AS45" s="1508"/>
      <c r="AT45" s="1509"/>
      <c r="AU45" s="1509"/>
      <c r="AV45" s="1509"/>
      <c r="AW45" s="1509"/>
      <c r="AX45" s="1509"/>
      <c r="AY45" s="1509"/>
      <c r="AZ45" s="1509"/>
      <c r="BA45" s="1509"/>
      <c r="BB45" s="1509"/>
      <c r="BC45" s="1509"/>
      <c r="BD45" s="1509"/>
      <c r="BE45" s="1509"/>
      <c r="BF45" s="1509"/>
      <c r="BG45" s="1509"/>
      <c r="BH45" s="1509"/>
      <c r="BI45" s="1509"/>
      <c r="BJ45" s="1509"/>
      <c r="BK45" s="1509"/>
      <c r="BL45" s="1509"/>
      <c r="BM45" s="1509"/>
      <c r="BN45" s="1509"/>
      <c r="BO45" s="1509"/>
      <c r="BP45" s="1509"/>
      <c r="BQ45" s="1509"/>
      <c r="BR45" s="1509"/>
      <c r="BS45" s="1510"/>
    </row>
    <row r="46" spans="2:76" ht="13" x14ac:dyDescent="0.15">
      <c r="B46" s="124"/>
      <c r="C46" s="1493"/>
      <c r="D46" s="1494"/>
      <c r="E46" s="1494"/>
      <c r="F46" s="1494"/>
      <c r="G46" s="1494"/>
      <c r="H46" s="1494"/>
      <c r="I46" s="1494"/>
      <c r="J46" s="1494"/>
      <c r="K46" s="1494"/>
      <c r="L46" s="1494"/>
      <c r="M46" s="1494"/>
      <c r="N46" s="1494"/>
      <c r="O46" s="1494"/>
      <c r="P46" s="1494"/>
      <c r="Q46" s="1495"/>
      <c r="R46" s="1496"/>
      <c r="S46" s="1497"/>
      <c r="T46" s="1497"/>
      <c r="U46" s="1497"/>
      <c r="V46" s="1497"/>
      <c r="W46" s="1497"/>
      <c r="X46" s="1497"/>
      <c r="Y46" s="1497"/>
      <c r="Z46" s="1498"/>
      <c r="AA46" s="1496"/>
      <c r="AB46" s="1497"/>
      <c r="AC46" s="1497"/>
      <c r="AD46" s="1497"/>
      <c r="AE46" s="1496"/>
      <c r="AF46" s="1497"/>
      <c r="AG46" s="1497"/>
      <c r="AH46" s="1497"/>
      <c r="AI46" s="1493"/>
      <c r="AJ46" s="1494"/>
      <c r="AK46" s="1494"/>
      <c r="AL46" s="1495"/>
      <c r="AM46" s="1493"/>
      <c r="AN46" s="1494"/>
      <c r="AO46" s="1494"/>
      <c r="AP46" s="1495"/>
      <c r="AS46" s="1508"/>
      <c r="AT46" s="1509"/>
      <c r="AU46" s="1509"/>
      <c r="AV46" s="1509"/>
      <c r="AW46" s="1509"/>
      <c r="AX46" s="1509"/>
      <c r="AY46" s="1509"/>
      <c r="AZ46" s="1509"/>
      <c r="BA46" s="1509"/>
      <c r="BB46" s="1509"/>
      <c r="BC46" s="1509"/>
      <c r="BD46" s="1509"/>
      <c r="BE46" s="1509"/>
      <c r="BF46" s="1509"/>
      <c r="BG46" s="1509"/>
      <c r="BH46" s="1509"/>
      <c r="BI46" s="1509"/>
      <c r="BJ46" s="1509"/>
      <c r="BK46" s="1509"/>
      <c r="BL46" s="1509"/>
      <c r="BM46" s="1509"/>
      <c r="BN46" s="1509"/>
      <c r="BO46" s="1509"/>
      <c r="BP46" s="1509"/>
      <c r="BQ46" s="1509"/>
      <c r="BR46" s="1509"/>
      <c r="BS46" s="1510"/>
    </row>
    <row r="47" spans="2:76" ht="13" x14ac:dyDescent="0.15">
      <c r="B47" s="124"/>
      <c r="C47" s="1493"/>
      <c r="D47" s="1494"/>
      <c r="E47" s="1494"/>
      <c r="F47" s="1494"/>
      <c r="G47" s="1494"/>
      <c r="H47" s="1494"/>
      <c r="I47" s="1494"/>
      <c r="J47" s="1494"/>
      <c r="K47" s="1494"/>
      <c r="L47" s="1494"/>
      <c r="M47" s="1494"/>
      <c r="N47" s="1494"/>
      <c r="O47" s="1494"/>
      <c r="P47" s="1494"/>
      <c r="Q47" s="1495"/>
      <c r="R47" s="1496"/>
      <c r="S47" s="1497"/>
      <c r="T47" s="1497"/>
      <c r="U47" s="1497"/>
      <c r="V47" s="1497"/>
      <c r="W47" s="1497"/>
      <c r="X47" s="1497"/>
      <c r="Y47" s="1497"/>
      <c r="Z47" s="1498"/>
      <c r="AA47" s="1496"/>
      <c r="AB47" s="1497"/>
      <c r="AC47" s="1497"/>
      <c r="AD47" s="1497"/>
      <c r="AE47" s="1496"/>
      <c r="AF47" s="1497"/>
      <c r="AG47" s="1497"/>
      <c r="AH47" s="1497"/>
      <c r="AI47" s="1493"/>
      <c r="AJ47" s="1494"/>
      <c r="AK47" s="1494"/>
      <c r="AL47" s="1495"/>
      <c r="AM47" s="1493"/>
      <c r="AN47" s="1494"/>
      <c r="AO47" s="1494"/>
      <c r="AP47" s="1495"/>
      <c r="AS47" s="1508"/>
      <c r="AT47" s="1509"/>
      <c r="AU47" s="1509"/>
      <c r="AV47" s="1509"/>
      <c r="AW47" s="1509"/>
      <c r="AX47" s="1509"/>
      <c r="AY47" s="1509"/>
      <c r="AZ47" s="1509"/>
      <c r="BA47" s="1509"/>
      <c r="BB47" s="1509"/>
      <c r="BC47" s="1509"/>
      <c r="BD47" s="1509"/>
      <c r="BE47" s="1509"/>
      <c r="BF47" s="1509"/>
      <c r="BG47" s="1509"/>
      <c r="BH47" s="1509"/>
      <c r="BI47" s="1509"/>
      <c r="BJ47" s="1509"/>
      <c r="BK47" s="1509"/>
      <c r="BL47" s="1509"/>
      <c r="BM47" s="1509"/>
      <c r="BN47" s="1509"/>
      <c r="BO47" s="1509"/>
      <c r="BP47" s="1509"/>
      <c r="BQ47" s="1509"/>
      <c r="BR47" s="1509"/>
      <c r="BS47" s="1510"/>
    </row>
    <row r="48" spans="2:76" ht="13" x14ac:dyDescent="0.15">
      <c r="B48" s="124"/>
      <c r="C48" s="1493"/>
      <c r="D48" s="1494"/>
      <c r="E48" s="1494"/>
      <c r="F48" s="1494"/>
      <c r="G48" s="1494"/>
      <c r="H48" s="1494"/>
      <c r="I48" s="1494"/>
      <c r="J48" s="1494"/>
      <c r="K48" s="1494"/>
      <c r="L48" s="1494"/>
      <c r="M48" s="1494"/>
      <c r="N48" s="1494"/>
      <c r="O48" s="1494"/>
      <c r="P48" s="1494"/>
      <c r="Q48" s="1495"/>
      <c r="R48" s="1496"/>
      <c r="S48" s="1497"/>
      <c r="T48" s="1497"/>
      <c r="U48" s="1497"/>
      <c r="V48" s="1497"/>
      <c r="W48" s="1497"/>
      <c r="X48" s="1497"/>
      <c r="Y48" s="1497"/>
      <c r="Z48" s="1498"/>
      <c r="AA48" s="1496"/>
      <c r="AB48" s="1497"/>
      <c r="AC48" s="1497"/>
      <c r="AD48" s="1497"/>
      <c r="AE48" s="1496"/>
      <c r="AF48" s="1497"/>
      <c r="AG48" s="1497"/>
      <c r="AH48" s="1497"/>
      <c r="AI48" s="1493"/>
      <c r="AJ48" s="1494"/>
      <c r="AK48" s="1494"/>
      <c r="AL48" s="1495"/>
      <c r="AM48" s="1493"/>
      <c r="AN48" s="1494"/>
      <c r="AO48" s="1494"/>
      <c r="AP48" s="1495"/>
      <c r="AS48" s="1508"/>
      <c r="AT48" s="1509"/>
      <c r="AU48" s="1509"/>
      <c r="AV48" s="1509"/>
      <c r="AW48" s="1509"/>
      <c r="AX48" s="1509"/>
      <c r="AY48" s="1509"/>
      <c r="AZ48" s="1509"/>
      <c r="BA48" s="1509"/>
      <c r="BB48" s="1509"/>
      <c r="BC48" s="1509"/>
      <c r="BD48" s="1509"/>
      <c r="BE48" s="1509"/>
      <c r="BF48" s="1509"/>
      <c r="BG48" s="1509"/>
      <c r="BH48" s="1509"/>
      <c r="BI48" s="1509"/>
      <c r="BJ48" s="1509"/>
      <c r="BK48" s="1509"/>
      <c r="BL48" s="1509"/>
      <c r="BM48" s="1509"/>
      <c r="BN48" s="1509"/>
      <c r="BO48" s="1509"/>
      <c r="BP48" s="1509"/>
      <c r="BQ48" s="1509"/>
      <c r="BR48" s="1509"/>
      <c r="BS48" s="1510"/>
    </row>
    <row r="49" spans="2:71" ht="13" x14ac:dyDescent="0.15">
      <c r="B49" s="124"/>
      <c r="C49" s="1493"/>
      <c r="D49" s="1494"/>
      <c r="E49" s="1494"/>
      <c r="F49" s="1494"/>
      <c r="G49" s="1494"/>
      <c r="H49" s="1494"/>
      <c r="I49" s="1494"/>
      <c r="J49" s="1494"/>
      <c r="K49" s="1494"/>
      <c r="L49" s="1494"/>
      <c r="M49" s="1494"/>
      <c r="N49" s="1494"/>
      <c r="O49" s="1494"/>
      <c r="P49" s="1494"/>
      <c r="Q49" s="1495"/>
      <c r="R49" s="1496"/>
      <c r="S49" s="1497"/>
      <c r="T49" s="1497"/>
      <c r="U49" s="1497"/>
      <c r="V49" s="1497"/>
      <c r="W49" s="1497"/>
      <c r="X49" s="1497"/>
      <c r="Y49" s="1497"/>
      <c r="Z49" s="1498"/>
      <c r="AA49" s="1496"/>
      <c r="AB49" s="1497"/>
      <c r="AC49" s="1497"/>
      <c r="AD49" s="1497"/>
      <c r="AE49" s="1496"/>
      <c r="AF49" s="1497"/>
      <c r="AG49" s="1497"/>
      <c r="AH49" s="1497"/>
      <c r="AI49" s="1493"/>
      <c r="AJ49" s="1494"/>
      <c r="AK49" s="1494"/>
      <c r="AL49" s="1495"/>
      <c r="AM49" s="1493"/>
      <c r="AN49" s="1494"/>
      <c r="AO49" s="1494"/>
      <c r="AP49" s="1495"/>
      <c r="AS49" s="1508"/>
      <c r="AT49" s="1509"/>
      <c r="AU49" s="1509"/>
      <c r="AV49" s="1509"/>
      <c r="AW49" s="1509"/>
      <c r="AX49" s="1509"/>
      <c r="AY49" s="1509"/>
      <c r="AZ49" s="1509"/>
      <c r="BA49" s="1509"/>
      <c r="BB49" s="1509"/>
      <c r="BC49" s="1509"/>
      <c r="BD49" s="1509"/>
      <c r="BE49" s="1509"/>
      <c r="BF49" s="1509"/>
      <c r="BG49" s="1509"/>
      <c r="BH49" s="1509"/>
      <c r="BI49" s="1509"/>
      <c r="BJ49" s="1509"/>
      <c r="BK49" s="1509"/>
      <c r="BL49" s="1509"/>
      <c r="BM49" s="1509"/>
      <c r="BN49" s="1509"/>
      <c r="BO49" s="1509"/>
      <c r="BP49" s="1509"/>
      <c r="BQ49" s="1509"/>
      <c r="BR49" s="1509"/>
      <c r="BS49" s="1510"/>
    </row>
    <row r="50" spans="2:71" ht="13" x14ac:dyDescent="0.15">
      <c r="B50" s="124"/>
      <c r="C50" s="1493"/>
      <c r="D50" s="1494"/>
      <c r="E50" s="1494"/>
      <c r="F50" s="1494"/>
      <c r="G50" s="1494"/>
      <c r="H50" s="1494"/>
      <c r="I50" s="1494"/>
      <c r="J50" s="1494"/>
      <c r="K50" s="1494"/>
      <c r="L50" s="1494"/>
      <c r="M50" s="1494"/>
      <c r="N50" s="1494"/>
      <c r="O50" s="1494"/>
      <c r="P50" s="1494"/>
      <c r="Q50" s="1495"/>
      <c r="R50" s="1496"/>
      <c r="S50" s="1497"/>
      <c r="T50" s="1497"/>
      <c r="U50" s="1497"/>
      <c r="V50" s="1497"/>
      <c r="W50" s="1497"/>
      <c r="X50" s="1497"/>
      <c r="Y50" s="1497"/>
      <c r="Z50" s="1498"/>
      <c r="AA50" s="1496"/>
      <c r="AB50" s="1497"/>
      <c r="AC50" s="1497"/>
      <c r="AD50" s="1497"/>
      <c r="AE50" s="1496"/>
      <c r="AF50" s="1497"/>
      <c r="AG50" s="1497"/>
      <c r="AH50" s="1497"/>
      <c r="AI50" s="1493"/>
      <c r="AJ50" s="1494"/>
      <c r="AK50" s="1494"/>
      <c r="AL50" s="1495"/>
      <c r="AM50" s="1493"/>
      <c r="AN50" s="1494"/>
      <c r="AO50" s="1494"/>
      <c r="AP50" s="1495"/>
      <c r="AS50" s="1508"/>
      <c r="AT50" s="1509"/>
      <c r="AU50" s="1509"/>
      <c r="AV50" s="1509"/>
      <c r="AW50" s="1509"/>
      <c r="AX50" s="1509"/>
      <c r="AY50" s="1509"/>
      <c r="AZ50" s="1509"/>
      <c r="BA50" s="1509"/>
      <c r="BB50" s="1509"/>
      <c r="BC50" s="1509"/>
      <c r="BD50" s="1509"/>
      <c r="BE50" s="1509"/>
      <c r="BF50" s="1509"/>
      <c r="BG50" s="1509"/>
      <c r="BH50" s="1509"/>
      <c r="BI50" s="1509"/>
      <c r="BJ50" s="1509"/>
      <c r="BK50" s="1509"/>
      <c r="BL50" s="1509"/>
      <c r="BM50" s="1509"/>
      <c r="BN50" s="1509"/>
      <c r="BO50" s="1509"/>
      <c r="BP50" s="1509"/>
      <c r="BQ50" s="1509"/>
      <c r="BR50" s="1509"/>
      <c r="BS50" s="1510"/>
    </row>
    <row r="51" spans="2:71" ht="13" x14ac:dyDescent="0.15">
      <c r="B51" s="124"/>
      <c r="C51" s="1493"/>
      <c r="D51" s="1494"/>
      <c r="E51" s="1494"/>
      <c r="F51" s="1494"/>
      <c r="G51" s="1494"/>
      <c r="H51" s="1494"/>
      <c r="I51" s="1494"/>
      <c r="J51" s="1494"/>
      <c r="K51" s="1494"/>
      <c r="L51" s="1494"/>
      <c r="M51" s="1494"/>
      <c r="N51" s="1494"/>
      <c r="O51" s="1494"/>
      <c r="P51" s="1494"/>
      <c r="Q51" s="1495"/>
      <c r="R51" s="1496"/>
      <c r="S51" s="1497"/>
      <c r="T51" s="1497"/>
      <c r="U51" s="1497"/>
      <c r="V51" s="1497"/>
      <c r="W51" s="1497"/>
      <c r="X51" s="1497"/>
      <c r="Y51" s="1497"/>
      <c r="Z51" s="1498"/>
      <c r="AA51" s="1496"/>
      <c r="AB51" s="1497"/>
      <c r="AC51" s="1497"/>
      <c r="AD51" s="1497"/>
      <c r="AE51" s="1496"/>
      <c r="AF51" s="1497"/>
      <c r="AG51" s="1497"/>
      <c r="AH51" s="1497"/>
      <c r="AI51" s="1493"/>
      <c r="AJ51" s="1494"/>
      <c r="AK51" s="1494"/>
      <c r="AL51" s="1495"/>
      <c r="AM51" s="1493"/>
      <c r="AN51" s="1494"/>
      <c r="AO51" s="1494"/>
      <c r="AP51" s="1495"/>
      <c r="AS51" s="1508"/>
      <c r="AT51" s="1509"/>
      <c r="AU51" s="1509"/>
      <c r="AV51" s="1509"/>
      <c r="AW51" s="1509"/>
      <c r="AX51" s="1509"/>
      <c r="AY51" s="1509"/>
      <c r="AZ51" s="1509"/>
      <c r="BA51" s="1509"/>
      <c r="BB51" s="1509"/>
      <c r="BC51" s="1509"/>
      <c r="BD51" s="1509"/>
      <c r="BE51" s="1509"/>
      <c r="BF51" s="1509"/>
      <c r="BG51" s="1509"/>
      <c r="BH51" s="1509"/>
      <c r="BI51" s="1509"/>
      <c r="BJ51" s="1509"/>
      <c r="BK51" s="1509"/>
      <c r="BL51" s="1509"/>
      <c r="BM51" s="1509"/>
      <c r="BN51" s="1509"/>
      <c r="BO51" s="1509"/>
      <c r="BP51" s="1509"/>
      <c r="BQ51" s="1509"/>
      <c r="BR51" s="1509"/>
      <c r="BS51" s="1510"/>
    </row>
    <row r="52" spans="2:71" ht="13" x14ac:dyDescent="0.15">
      <c r="B52" s="124"/>
      <c r="C52" s="1493"/>
      <c r="D52" s="1494"/>
      <c r="E52" s="1494"/>
      <c r="F52" s="1494"/>
      <c r="G52" s="1494"/>
      <c r="H52" s="1494"/>
      <c r="I52" s="1494"/>
      <c r="J52" s="1494"/>
      <c r="K52" s="1494"/>
      <c r="L52" s="1494"/>
      <c r="M52" s="1494"/>
      <c r="N52" s="1494"/>
      <c r="O52" s="1494"/>
      <c r="P52" s="1494"/>
      <c r="Q52" s="1495"/>
      <c r="R52" s="1496"/>
      <c r="S52" s="1497"/>
      <c r="T52" s="1497"/>
      <c r="U52" s="1497"/>
      <c r="V52" s="1497"/>
      <c r="W52" s="1497"/>
      <c r="X52" s="1497"/>
      <c r="Y52" s="1497"/>
      <c r="Z52" s="1498"/>
      <c r="AA52" s="1496"/>
      <c r="AB52" s="1497"/>
      <c r="AC52" s="1497"/>
      <c r="AD52" s="1497"/>
      <c r="AE52" s="1496"/>
      <c r="AF52" s="1497"/>
      <c r="AG52" s="1497"/>
      <c r="AH52" s="1497"/>
      <c r="AI52" s="1493"/>
      <c r="AJ52" s="1494"/>
      <c r="AK52" s="1494"/>
      <c r="AL52" s="1495"/>
      <c r="AM52" s="1493"/>
      <c r="AN52" s="1494"/>
      <c r="AO52" s="1494"/>
      <c r="AP52" s="1495"/>
      <c r="AS52" s="1508"/>
      <c r="AT52" s="1509"/>
      <c r="AU52" s="1509"/>
      <c r="AV52" s="1509"/>
      <c r="AW52" s="1509"/>
      <c r="AX52" s="1509"/>
      <c r="AY52" s="1509"/>
      <c r="AZ52" s="1509"/>
      <c r="BA52" s="1509"/>
      <c r="BB52" s="1509"/>
      <c r="BC52" s="1509"/>
      <c r="BD52" s="1509"/>
      <c r="BE52" s="1509"/>
      <c r="BF52" s="1509"/>
      <c r="BG52" s="1509"/>
      <c r="BH52" s="1509"/>
      <c r="BI52" s="1509"/>
      <c r="BJ52" s="1509"/>
      <c r="BK52" s="1509"/>
      <c r="BL52" s="1509"/>
      <c r="BM52" s="1509"/>
      <c r="BN52" s="1509"/>
      <c r="BO52" s="1509"/>
      <c r="BP52" s="1509"/>
      <c r="BQ52" s="1509"/>
      <c r="BR52" s="1509"/>
      <c r="BS52" s="1510"/>
    </row>
    <row r="53" spans="2:71" ht="13" x14ac:dyDescent="0.15">
      <c r="B53" s="124"/>
      <c r="C53" s="1493"/>
      <c r="D53" s="1494"/>
      <c r="E53" s="1494"/>
      <c r="F53" s="1494"/>
      <c r="G53" s="1494"/>
      <c r="H53" s="1494"/>
      <c r="I53" s="1494"/>
      <c r="J53" s="1494"/>
      <c r="K53" s="1494"/>
      <c r="L53" s="1494"/>
      <c r="M53" s="1494"/>
      <c r="N53" s="1494"/>
      <c r="O53" s="1494"/>
      <c r="P53" s="1494"/>
      <c r="Q53" s="1495"/>
      <c r="R53" s="1496"/>
      <c r="S53" s="1497"/>
      <c r="T53" s="1497"/>
      <c r="U53" s="1497"/>
      <c r="V53" s="1497"/>
      <c r="W53" s="1497"/>
      <c r="X53" s="1497"/>
      <c r="Y53" s="1497"/>
      <c r="Z53" s="1498"/>
      <c r="AA53" s="1496"/>
      <c r="AB53" s="1497"/>
      <c r="AC53" s="1497"/>
      <c r="AD53" s="1497"/>
      <c r="AE53" s="1496"/>
      <c r="AF53" s="1497"/>
      <c r="AG53" s="1497"/>
      <c r="AH53" s="1497"/>
      <c r="AI53" s="1493"/>
      <c r="AJ53" s="1494"/>
      <c r="AK53" s="1494"/>
      <c r="AL53" s="1495"/>
      <c r="AM53" s="1493"/>
      <c r="AN53" s="1494"/>
      <c r="AO53" s="1494"/>
      <c r="AP53" s="1495"/>
      <c r="AS53" s="1508"/>
      <c r="AT53" s="1509"/>
      <c r="AU53" s="1509"/>
      <c r="AV53" s="1509"/>
      <c r="AW53" s="1509"/>
      <c r="AX53" s="1509"/>
      <c r="AY53" s="1509"/>
      <c r="AZ53" s="1509"/>
      <c r="BA53" s="1509"/>
      <c r="BB53" s="1509"/>
      <c r="BC53" s="1509"/>
      <c r="BD53" s="1509"/>
      <c r="BE53" s="1509"/>
      <c r="BF53" s="1509"/>
      <c r="BG53" s="1509"/>
      <c r="BH53" s="1509"/>
      <c r="BI53" s="1509"/>
      <c r="BJ53" s="1509"/>
      <c r="BK53" s="1509"/>
      <c r="BL53" s="1509"/>
      <c r="BM53" s="1509"/>
      <c r="BN53" s="1509"/>
      <c r="BO53" s="1509"/>
      <c r="BP53" s="1509"/>
      <c r="BQ53" s="1509"/>
      <c r="BR53" s="1509"/>
      <c r="BS53" s="1510"/>
    </row>
    <row r="54" spans="2:71" ht="13" x14ac:dyDescent="0.15">
      <c r="B54" s="124"/>
      <c r="C54" s="1493"/>
      <c r="D54" s="1494"/>
      <c r="E54" s="1494"/>
      <c r="F54" s="1494"/>
      <c r="G54" s="1494"/>
      <c r="H54" s="1494"/>
      <c r="I54" s="1494"/>
      <c r="J54" s="1494"/>
      <c r="K54" s="1494"/>
      <c r="L54" s="1494"/>
      <c r="M54" s="1494"/>
      <c r="N54" s="1494"/>
      <c r="O54" s="1494"/>
      <c r="P54" s="1494"/>
      <c r="Q54" s="1495"/>
      <c r="R54" s="1496"/>
      <c r="S54" s="1497"/>
      <c r="T54" s="1497"/>
      <c r="U54" s="1497"/>
      <c r="V54" s="1497"/>
      <c r="W54" s="1497"/>
      <c r="X54" s="1497"/>
      <c r="Y54" s="1497"/>
      <c r="Z54" s="1498"/>
      <c r="AA54" s="1496"/>
      <c r="AB54" s="1497"/>
      <c r="AC54" s="1497"/>
      <c r="AD54" s="1497"/>
      <c r="AE54" s="1496"/>
      <c r="AF54" s="1497"/>
      <c r="AG54" s="1497"/>
      <c r="AH54" s="1497"/>
      <c r="AI54" s="1493"/>
      <c r="AJ54" s="1494"/>
      <c r="AK54" s="1494"/>
      <c r="AL54" s="1495"/>
      <c r="AM54" s="1493"/>
      <c r="AN54" s="1494"/>
      <c r="AO54" s="1494"/>
      <c r="AP54" s="1495"/>
      <c r="AS54" s="1508"/>
      <c r="AT54" s="1509"/>
      <c r="AU54" s="1509"/>
      <c r="AV54" s="1509"/>
      <c r="AW54" s="1509"/>
      <c r="AX54" s="1509"/>
      <c r="AY54" s="1509"/>
      <c r="AZ54" s="1509"/>
      <c r="BA54" s="1509"/>
      <c r="BB54" s="1509"/>
      <c r="BC54" s="1509"/>
      <c r="BD54" s="1509"/>
      <c r="BE54" s="1509"/>
      <c r="BF54" s="1509"/>
      <c r="BG54" s="1509"/>
      <c r="BH54" s="1509"/>
      <c r="BI54" s="1509"/>
      <c r="BJ54" s="1509"/>
      <c r="BK54" s="1509"/>
      <c r="BL54" s="1509"/>
      <c r="BM54" s="1509"/>
      <c r="BN54" s="1509"/>
      <c r="BO54" s="1509"/>
      <c r="BP54" s="1509"/>
      <c r="BQ54" s="1509"/>
      <c r="BR54" s="1509"/>
      <c r="BS54" s="1510"/>
    </row>
    <row r="55" spans="2:71" ht="13" x14ac:dyDescent="0.15">
      <c r="B55" s="124"/>
      <c r="C55" s="1493"/>
      <c r="D55" s="1494"/>
      <c r="E55" s="1494"/>
      <c r="F55" s="1494"/>
      <c r="G55" s="1494"/>
      <c r="H55" s="1494"/>
      <c r="I55" s="1494"/>
      <c r="J55" s="1494"/>
      <c r="K55" s="1494"/>
      <c r="L55" s="1494"/>
      <c r="M55" s="1494"/>
      <c r="N55" s="1494"/>
      <c r="O55" s="1494"/>
      <c r="P55" s="1494"/>
      <c r="Q55" s="1495"/>
      <c r="R55" s="1496"/>
      <c r="S55" s="1497"/>
      <c r="T55" s="1497"/>
      <c r="U55" s="1497"/>
      <c r="V55" s="1497"/>
      <c r="W55" s="1497"/>
      <c r="X55" s="1497"/>
      <c r="Y55" s="1497"/>
      <c r="Z55" s="1498"/>
      <c r="AA55" s="1496"/>
      <c r="AB55" s="1497"/>
      <c r="AC55" s="1497"/>
      <c r="AD55" s="1497"/>
      <c r="AE55" s="1496"/>
      <c r="AF55" s="1497"/>
      <c r="AG55" s="1497"/>
      <c r="AH55" s="1497"/>
      <c r="AI55" s="1493"/>
      <c r="AJ55" s="1494"/>
      <c r="AK55" s="1494"/>
      <c r="AL55" s="1495"/>
      <c r="AM55" s="1493"/>
      <c r="AN55" s="1494"/>
      <c r="AO55" s="1494"/>
      <c r="AP55" s="1495"/>
      <c r="AS55" s="1511"/>
      <c r="AT55" s="1512"/>
      <c r="AU55" s="1512"/>
      <c r="AV55" s="1512"/>
      <c r="AW55" s="1512"/>
      <c r="AX55" s="1512"/>
      <c r="AY55" s="1512"/>
      <c r="AZ55" s="1512"/>
      <c r="BA55" s="1512"/>
      <c r="BB55" s="1512"/>
      <c r="BC55" s="1512"/>
      <c r="BD55" s="1512"/>
      <c r="BE55" s="1512"/>
      <c r="BF55" s="1512"/>
      <c r="BG55" s="1512"/>
      <c r="BH55" s="1512"/>
      <c r="BI55" s="1512"/>
      <c r="BJ55" s="1512"/>
      <c r="BK55" s="1512"/>
      <c r="BL55" s="1512"/>
      <c r="BM55" s="1512"/>
      <c r="BN55" s="1512"/>
      <c r="BO55" s="1512"/>
      <c r="BP55" s="1512"/>
      <c r="BQ55" s="1512"/>
      <c r="BR55" s="1512"/>
      <c r="BS55" s="1513"/>
    </row>
    <row r="56" spans="2:71" ht="13" x14ac:dyDescent="0.15">
      <c r="B56" s="124"/>
      <c r="C56" s="1493"/>
      <c r="D56" s="1494"/>
      <c r="E56" s="1494"/>
      <c r="F56" s="1494"/>
      <c r="G56" s="1494"/>
      <c r="H56" s="1494"/>
      <c r="I56" s="1494"/>
      <c r="J56" s="1494"/>
      <c r="K56" s="1494"/>
      <c r="L56" s="1494"/>
      <c r="M56" s="1494"/>
      <c r="N56" s="1494"/>
      <c r="O56" s="1494"/>
      <c r="P56" s="1494"/>
      <c r="Q56" s="1495"/>
      <c r="R56" s="1496"/>
      <c r="S56" s="1497"/>
      <c r="T56" s="1497"/>
      <c r="U56" s="1497"/>
      <c r="V56" s="1497"/>
      <c r="W56" s="1497"/>
      <c r="X56" s="1497"/>
      <c r="Y56" s="1497"/>
      <c r="Z56" s="1498"/>
      <c r="AA56" s="1496"/>
      <c r="AB56" s="1497"/>
      <c r="AC56" s="1497"/>
      <c r="AD56" s="1497"/>
      <c r="AE56" s="1496"/>
      <c r="AF56" s="1497"/>
      <c r="AG56" s="1497"/>
      <c r="AH56" s="1497"/>
      <c r="AI56" s="1493"/>
      <c r="AJ56" s="1494"/>
      <c r="AK56" s="1494"/>
      <c r="AL56" s="1495"/>
      <c r="AM56" s="1493"/>
      <c r="AN56" s="1494"/>
      <c r="AO56" s="1494"/>
      <c r="AP56" s="1495"/>
      <c r="AS56" s="998"/>
      <c r="AT56" s="998"/>
      <c r="AU56" s="998"/>
      <c r="AV56" s="998"/>
      <c r="AW56" s="998"/>
      <c r="AX56" s="998"/>
      <c r="AY56" s="998"/>
      <c r="AZ56" s="998"/>
      <c r="BA56" s="998"/>
      <c r="BB56" s="998"/>
      <c r="BC56" s="998"/>
      <c r="BD56" s="998"/>
      <c r="BE56" s="998"/>
      <c r="BF56" s="998"/>
      <c r="BG56" s="998"/>
      <c r="BH56" s="998"/>
      <c r="BI56" s="998"/>
      <c r="BJ56" s="998"/>
      <c r="BK56" s="998"/>
      <c r="BL56" s="998"/>
      <c r="BM56" s="998"/>
      <c r="BN56" s="998"/>
      <c r="BO56" s="998"/>
      <c r="BP56" s="998"/>
      <c r="BQ56" s="998"/>
      <c r="BR56" s="998"/>
      <c r="BS56" s="998"/>
    </row>
    <row r="57" spans="2:71" ht="13" x14ac:dyDescent="0.15">
      <c r="B57" s="124"/>
      <c r="C57" s="1493"/>
      <c r="D57" s="1494"/>
      <c r="E57" s="1494"/>
      <c r="F57" s="1494"/>
      <c r="G57" s="1494"/>
      <c r="H57" s="1494"/>
      <c r="I57" s="1494"/>
      <c r="J57" s="1494"/>
      <c r="K57" s="1494"/>
      <c r="L57" s="1494"/>
      <c r="M57" s="1494"/>
      <c r="N57" s="1494"/>
      <c r="O57" s="1494"/>
      <c r="P57" s="1494"/>
      <c r="Q57" s="1495"/>
      <c r="R57" s="1496"/>
      <c r="S57" s="1497"/>
      <c r="T57" s="1497"/>
      <c r="U57" s="1497"/>
      <c r="V57" s="1497"/>
      <c r="W57" s="1497"/>
      <c r="X57" s="1497"/>
      <c r="Y57" s="1497"/>
      <c r="Z57" s="1498"/>
      <c r="AA57" s="1496"/>
      <c r="AB57" s="1497"/>
      <c r="AC57" s="1497"/>
      <c r="AD57" s="1497"/>
      <c r="AE57" s="1496"/>
      <c r="AF57" s="1497"/>
      <c r="AG57" s="1497"/>
      <c r="AH57" s="1497"/>
      <c r="AI57" s="1493"/>
      <c r="AJ57" s="1494"/>
      <c r="AK57" s="1494"/>
      <c r="AL57" s="1495"/>
      <c r="AM57" s="1493"/>
      <c r="AN57" s="1494"/>
      <c r="AO57" s="1494"/>
      <c r="AP57" s="1495"/>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row>
    <row r="58" spans="2:71" ht="13" x14ac:dyDescent="0.15">
      <c r="B58" s="124"/>
      <c r="C58" s="1493"/>
      <c r="D58" s="1494"/>
      <c r="E58" s="1494"/>
      <c r="F58" s="1494"/>
      <c r="G58" s="1494"/>
      <c r="H58" s="1494"/>
      <c r="I58" s="1494"/>
      <c r="J58" s="1494"/>
      <c r="K58" s="1494"/>
      <c r="L58" s="1494"/>
      <c r="M58" s="1494"/>
      <c r="N58" s="1494"/>
      <c r="O58" s="1494"/>
      <c r="P58" s="1494"/>
      <c r="Q58" s="1495"/>
      <c r="R58" s="1496"/>
      <c r="S58" s="1497"/>
      <c r="T58" s="1497"/>
      <c r="U58" s="1497"/>
      <c r="V58" s="1497"/>
      <c r="W58" s="1497"/>
      <c r="X58" s="1497"/>
      <c r="Y58" s="1497"/>
      <c r="Z58" s="1498"/>
      <c r="AA58" s="1496"/>
      <c r="AB58" s="1497"/>
      <c r="AC58" s="1497"/>
      <c r="AD58" s="1497"/>
      <c r="AE58" s="1496"/>
      <c r="AF58" s="1497"/>
      <c r="AG58" s="1497"/>
      <c r="AH58" s="1497"/>
      <c r="AI58" s="1493"/>
      <c r="AJ58" s="1494"/>
      <c r="AK58" s="1494"/>
      <c r="AL58" s="1495"/>
      <c r="AM58" s="1493"/>
      <c r="AN58" s="1494"/>
      <c r="AO58" s="1494"/>
      <c r="AP58" s="1495"/>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row>
    <row r="59" spans="2:71" ht="13" x14ac:dyDescent="0.15">
      <c r="B59" s="124"/>
      <c r="C59" s="1493"/>
      <c r="D59" s="1494"/>
      <c r="E59" s="1494"/>
      <c r="F59" s="1494"/>
      <c r="G59" s="1494"/>
      <c r="H59" s="1494"/>
      <c r="I59" s="1494"/>
      <c r="J59" s="1494"/>
      <c r="K59" s="1494"/>
      <c r="L59" s="1494"/>
      <c r="M59" s="1494"/>
      <c r="N59" s="1494"/>
      <c r="O59" s="1494"/>
      <c r="P59" s="1494"/>
      <c r="Q59" s="1495"/>
      <c r="R59" s="1496"/>
      <c r="S59" s="1497"/>
      <c r="T59" s="1497"/>
      <c r="U59" s="1497"/>
      <c r="V59" s="1497"/>
      <c r="W59" s="1497"/>
      <c r="X59" s="1497"/>
      <c r="Y59" s="1497"/>
      <c r="Z59" s="1498"/>
      <c r="AA59" s="1496"/>
      <c r="AB59" s="1497"/>
      <c r="AC59" s="1497"/>
      <c r="AD59" s="1497"/>
      <c r="AE59" s="1496"/>
      <c r="AF59" s="1497"/>
      <c r="AG59" s="1497"/>
      <c r="AH59" s="1497"/>
      <c r="AI59" s="1493"/>
      <c r="AJ59" s="1494"/>
      <c r="AK59" s="1494"/>
      <c r="AL59" s="1495"/>
      <c r="AM59" s="1493"/>
      <c r="AN59" s="1494"/>
      <c r="AO59" s="1494"/>
      <c r="AP59" s="1495"/>
      <c r="AS59" s="999"/>
      <c r="AT59" s="999"/>
      <c r="AU59" s="999"/>
      <c r="AV59" s="999"/>
      <c r="AW59" s="999"/>
      <c r="AX59" s="999"/>
      <c r="AY59" s="999"/>
      <c r="AZ59" s="999"/>
      <c r="BA59" s="999"/>
      <c r="BB59" s="999"/>
      <c r="BC59" s="999"/>
      <c r="BD59" s="999"/>
      <c r="BE59" s="999"/>
      <c r="BF59" s="999"/>
      <c r="BG59" s="999"/>
      <c r="BH59" s="999"/>
      <c r="BI59" s="999"/>
      <c r="BJ59" s="999"/>
      <c r="BK59" s="999"/>
      <c r="BL59" s="999"/>
      <c r="BM59" s="999"/>
      <c r="BN59" s="999"/>
      <c r="BO59" s="999"/>
      <c r="BP59" s="999"/>
      <c r="BQ59" s="999"/>
      <c r="BR59" s="999"/>
      <c r="BS59" s="999"/>
    </row>
    <row r="60" spans="2:71" ht="13" x14ac:dyDescent="0.15">
      <c r="B60" s="124"/>
      <c r="C60" s="1493"/>
      <c r="D60" s="1494"/>
      <c r="E60" s="1494"/>
      <c r="F60" s="1494"/>
      <c r="G60" s="1494"/>
      <c r="H60" s="1494"/>
      <c r="I60" s="1494"/>
      <c r="J60" s="1494"/>
      <c r="K60" s="1494"/>
      <c r="L60" s="1494"/>
      <c r="M60" s="1494"/>
      <c r="N60" s="1494"/>
      <c r="O60" s="1494"/>
      <c r="P60" s="1494"/>
      <c r="Q60" s="1495"/>
      <c r="R60" s="1496"/>
      <c r="S60" s="1497"/>
      <c r="T60" s="1497"/>
      <c r="U60" s="1497"/>
      <c r="V60" s="1497"/>
      <c r="W60" s="1497"/>
      <c r="X60" s="1497"/>
      <c r="Y60" s="1497"/>
      <c r="Z60" s="1498"/>
      <c r="AA60" s="1496"/>
      <c r="AB60" s="1497"/>
      <c r="AC60" s="1497"/>
      <c r="AD60" s="1497"/>
      <c r="AE60" s="1496"/>
      <c r="AF60" s="1497"/>
      <c r="AG60" s="1497"/>
      <c r="AH60" s="1497"/>
      <c r="AI60" s="1493"/>
      <c r="AJ60" s="1494"/>
      <c r="AK60" s="1494"/>
      <c r="AL60" s="1495"/>
      <c r="AM60" s="1493"/>
      <c r="AN60" s="1494"/>
      <c r="AO60" s="1494"/>
      <c r="AP60" s="1495"/>
      <c r="AS60" s="999"/>
      <c r="AT60" s="999"/>
      <c r="AU60" s="999"/>
      <c r="AV60" s="999"/>
      <c r="AW60" s="999"/>
      <c r="AX60" s="999"/>
      <c r="AY60" s="999"/>
      <c r="AZ60" s="999"/>
      <c r="BA60" s="999"/>
      <c r="BB60" s="999"/>
      <c r="BC60" s="999"/>
      <c r="BD60" s="999"/>
      <c r="BE60" s="999"/>
      <c r="BF60" s="999"/>
      <c r="BG60" s="999"/>
      <c r="BH60" s="999"/>
      <c r="BI60" s="999"/>
      <c r="BJ60" s="999"/>
      <c r="BK60" s="999"/>
      <c r="BL60" s="999"/>
      <c r="BM60" s="999"/>
      <c r="BN60" s="999"/>
      <c r="BO60" s="999"/>
      <c r="BP60" s="999"/>
      <c r="BQ60" s="999"/>
      <c r="BR60" s="999"/>
      <c r="BS60" s="999"/>
    </row>
    <row r="61" spans="2:71" ht="13" x14ac:dyDescent="0.15">
      <c r="B61" s="124"/>
      <c r="C61" s="1493"/>
      <c r="D61" s="1494"/>
      <c r="E61" s="1494"/>
      <c r="F61" s="1494"/>
      <c r="G61" s="1494"/>
      <c r="H61" s="1494"/>
      <c r="I61" s="1494"/>
      <c r="J61" s="1494"/>
      <c r="K61" s="1494"/>
      <c r="L61" s="1494"/>
      <c r="M61" s="1494"/>
      <c r="N61" s="1494"/>
      <c r="O61" s="1494"/>
      <c r="P61" s="1494"/>
      <c r="Q61" s="1495"/>
      <c r="R61" s="1496"/>
      <c r="S61" s="1497"/>
      <c r="T61" s="1497"/>
      <c r="U61" s="1497"/>
      <c r="V61" s="1497"/>
      <c r="W61" s="1497"/>
      <c r="X61" s="1497"/>
      <c r="Y61" s="1497"/>
      <c r="Z61" s="1498"/>
      <c r="AA61" s="1496"/>
      <c r="AB61" s="1497"/>
      <c r="AC61" s="1497"/>
      <c r="AD61" s="1497"/>
      <c r="AE61" s="1496"/>
      <c r="AF61" s="1497"/>
      <c r="AG61" s="1497"/>
      <c r="AH61" s="1497"/>
      <c r="AI61" s="1493"/>
      <c r="AJ61" s="1494"/>
      <c r="AK61" s="1494"/>
      <c r="AL61" s="1495"/>
      <c r="AM61" s="1493"/>
      <c r="AN61" s="1494"/>
      <c r="AO61" s="1494"/>
      <c r="AP61" s="1495"/>
      <c r="AS61" s="999"/>
      <c r="AT61" s="999"/>
      <c r="AU61" s="999"/>
      <c r="AV61" s="999"/>
      <c r="AW61" s="999"/>
      <c r="AX61" s="999"/>
      <c r="AY61" s="999"/>
      <c r="AZ61" s="999"/>
      <c r="BA61" s="999"/>
      <c r="BB61" s="999"/>
      <c r="BC61" s="999"/>
      <c r="BD61" s="999"/>
      <c r="BE61" s="999"/>
      <c r="BF61" s="999"/>
      <c r="BG61" s="999"/>
      <c r="BH61" s="999"/>
      <c r="BI61" s="999"/>
      <c r="BJ61" s="999"/>
      <c r="BK61" s="999"/>
      <c r="BL61" s="999"/>
      <c r="BM61" s="999"/>
      <c r="BN61" s="999"/>
      <c r="BO61" s="999"/>
      <c r="BP61" s="999"/>
      <c r="BQ61" s="999"/>
      <c r="BR61" s="999"/>
      <c r="BS61" s="999"/>
    </row>
    <row r="62" spans="2:71" ht="13" x14ac:dyDescent="0.15">
      <c r="B62" s="124"/>
      <c r="C62" s="1493"/>
      <c r="D62" s="1494"/>
      <c r="E62" s="1494"/>
      <c r="F62" s="1494"/>
      <c r="G62" s="1494"/>
      <c r="H62" s="1494"/>
      <c r="I62" s="1494"/>
      <c r="J62" s="1494"/>
      <c r="K62" s="1494"/>
      <c r="L62" s="1494"/>
      <c r="M62" s="1494"/>
      <c r="N62" s="1494"/>
      <c r="O62" s="1494"/>
      <c r="P62" s="1494"/>
      <c r="Q62" s="1495"/>
      <c r="R62" s="1496"/>
      <c r="S62" s="1497"/>
      <c r="T62" s="1497"/>
      <c r="U62" s="1497"/>
      <c r="V62" s="1497"/>
      <c r="W62" s="1497"/>
      <c r="X62" s="1497"/>
      <c r="Y62" s="1497"/>
      <c r="Z62" s="1498"/>
      <c r="AA62" s="1581"/>
      <c r="AB62" s="1582"/>
      <c r="AC62" s="1582"/>
      <c r="AD62" s="1582"/>
      <c r="AE62" s="1581"/>
      <c r="AF62" s="1582"/>
      <c r="AG62" s="1582"/>
      <c r="AH62" s="1582"/>
      <c r="AI62" s="1493"/>
      <c r="AJ62" s="1494"/>
      <c r="AK62" s="1494"/>
      <c r="AL62" s="1495"/>
      <c r="AM62" s="1493"/>
      <c r="AN62" s="1494"/>
      <c r="AO62" s="1494"/>
      <c r="AP62" s="1495"/>
      <c r="AS62" s="999"/>
      <c r="AT62" s="999"/>
      <c r="AU62" s="999"/>
      <c r="AV62" s="999"/>
      <c r="AW62" s="999"/>
      <c r="AX62" s="999"/>
      <c r="AY62" s="999"/>
      <c r="AZ62" s="999"/>
      <c r="BA62" s="999"/>
      <c r="BB62" s="999"/>
      <c r="BC62" s="999"/>
      <c r="BD62" s="999"/>
      <c r="BE62" s="999"/>
      <c r="BF62" s="999"/>
      <c r="BG62" s="999"/>
      <c r="BH62" s="999"/>
      <c r="BI62" s="999"/>
      <c r="BJ62" s="999"/>
      <c r="BK62" s="999"/>
      <c r="BL62" s="999"/>
      <c r="BM62" s="999"/>
      <c r="BN62" s="999"/>
      <c r="BO62" s="999"/>
      <c r="BP62" s="999"/>
      <c r="BQ62" s="999"/>
      <c r="BR62" s="999"/>
      <c r="BS62" s="999"/>
    </row>
    <row r="63" spans="2:71" ht="13" x14ac:dyDescent="0.15">
      <c r="B63" s="124"/>
      <c r="C63" s="1583" t="s">
        <v>1027</v>
      </c>
      <c r="D63" s="1584"/>
      <c r="E63" s="1584"/>
      <c r="F63" s="1584"/>
      <c r="G63" s="1584"/>
      <c r="H63" s="1584"/>
      <c r="I63" s="1584"/>
      <c r="J63" s="1584"/>
      <c r="K63" s="1584"/>
      <c r="L63" s="1584"/>
      <c r="M63" s="1584"/>
      <c r="N63" s="1584"/>
      <c r="O63" s="1584"/>
      <c r="P63" s="1584"/>
      <c r="Q63" s="1585"/>
      <c r="R63" s="1578">
        <f>SUM(R45:Z62)</f>
        <v>0</v>
      </c>
      <c r="S63" s="1579"/>
      <c r="T63" s="1579"/>
      <c r="U63" s="1579"/>
      <c r="V63" s="1579"/>
      <c r="W63" s="1579"/>
      <c r="X63" s="1579"/>
      <c r="Y63" s="1579"/>
      <c r="Z63" s="1579"/>
      <c r="AA63" s="1578"/>
      <c r="AB63" s="1579"/>
      <c r="AC63" s="1579"/>
      <c r="AD63" s="1579"/>
      <c r="AE63" s="1579"/>
      <c r="AF63" s="1579"/>
      <c r="AG63" s="1579"/>
      <c r="AH63" s="1580"/>
      <c r="AI63" s="1578">
        <f>SUM(AI45:AL62)</f>
        <v>0</v>
      </c>
      <c r="AJ63" s="1579"/>
      <c r="AK63" s="1579"/>
      <c r="AL63" s="1580"/>
      <c r="AM63" s="1578">
        <f>SUM(AM45:AP62)</f>
        <v>0</v>
      </c>
      <c r="AN63" s="1579"/>
      <c r="AO63" s="1579"/>
      <c r="AP63" s="1580"/>
      <c r="AS63" s="999"/>
      <c r="AT63" s="999"/>
      <c r="AU63" s="999"/>
      <c r="AV63" s="999"/>
      <c r="AW63" s="999"/>
      <c r="AX63" s="999"/>
      <c r="AY63" s="999"/>
      <c r="AZ63" s="999"/>
      <c r="BA63" s="999"/>
      <c r="BB63" s="999"/>
      <c r="BC63" s="999"/>
      <c r="BD63" s="999"/>
      <c r="BE63" s="999"/>
      <c r="BF63" s="999"/>
      <c r="BG63" s="999"/>
      <c r="BH63" s="999"/>
      <c r="BI63" s="999"/>
      <c r="BJ63" s="999"/>
      <c r="BK63" s="999"/>
      <c r="BL63" s="999"/>
      <c r="BM63" s="999"/>
      <c r="BN63" s="999"/>
      <c r="BO63" s="999"/>
      <c r="BP63" s="999"/>
      <c r="BQ63" s="999"/>
      <c r="BR63" s="999"/>
      <c r="BS63" s="999"/>
    </row>
    <row r="64" spans="2:71" ht="13" x14ac:dyDescent="0.15">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row>
    <row r="65" spans="2:77" ht="13" x14ac:dyDescent="0.15">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row>
    <row r="66" spans="2:77" ht="12" customHeight="1" x14ac:dyDescent="0.15">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row>
    <row r="67" spans="2:77" ht="12" customHeight="1" x14ac:dyDescent="0.15">
      <c r="C67" s="39"/>
      <c r="D67" s="125" t="s">
        <v>178</v>
      </c>
      <c r="E67" s="126"/>
      <c r="F67" s="1557" t="str">
        <f>+'Refinanszírozási kérelem'!BO323</f>
        <v/>
      </c>
      <c r="G67" s="1557"/>
      <c r="H67" s="1557"/>
      <c r="I67" s="1557"/>
      <c r="J67" s="1557"/>
      <c r="K67" s="1557"/>
      <c r="L67" s="1557"/>
      <c r="M67" s="1557"/>
      <c r="N67" s="1557"/>
      <c r="O67" s="1557"/>
      <c r="P67" s="1557"/>
      <c r="Q67" s="39"/>
      <c r="R67" s="39"/>
      <c r="S67" s="39"/>
      <c r="T67" s="39"/>
      <c r="U67" s="39"/>
      <c r="V67" s="39"/>
      <c r="W67" s="39"/>
      <c r="X67" s="39"/>
      <c r="Y67" s="39"/>
      <c r="Z67" s="39"/>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row>
    <row r="68" spans="2:77" ht="12" customHeight="1" x14ac:dyDescent="0.15">
      <c r="C68" s="39"/>
      <c r="D68" s="39"/>
      <c r="E68" s="39"/>
      <c r="F68" s="39"/>
      <c r="G68" s="39"/>
      <c r="H68" s="39"/>
      <c r="I68" s="39"/>
      <c r="J68" s="39"/>
      <c r="K68" s="39"/>
      <c r="L68" s="39"/>
      <c r="M68" s="39"/>
      <c r="N68" s="39"/>
      <c r="O68" s="39"/>
      <c r="P68" s="39"/>
      <c r="Q68" s="39"/>
      <c r="R68" s="39"/>
      <c r="S68" s="39"/>
      <c r="T68" s="39"/>
      <c r="U68" s="39"/>
      <c r="V68" s="39"/>
      <c r="W68" s="39"/>
      <c r="X68" s="39"/>
      <c r="Y68" s="39"/>
      <c r="Z68" s="39"/>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row>
    <row r="69" spans="2:77" ht="12" customHeight="1" x14ac:dyDescent="0.15">
      <c r="C69" s="39"/>
      <c r="D69" s="39"/>
      <c r="E69" s="39"/>
      <c r="F69" s="39"/>
      <c r="G69" s="39"/>
      <c r="H69" s="39"/>
      <c r="I69" s="39"/>
      <c r="J69" s="39"/>
      <c r="K69" s="39"/>
      <c r="L69" s="39"/>
      <c r="M69" s="39"/>
      <c r="N69" s="39"/>
      <c r="O69" s="39"/>
      <c r="P69" s="39"/>
      <c r="Q69" s="39"/>
      <c r="R69" s="39"/>
      <c r="S69" s="39"/>
      <c r="T69" s="39"/>
      <c r="U69" s="39"/>
      <c r="V69" s="39"/>
      <c r="W69" s="39"/>
      <c r="X69" s="39"/>
      <c r="Y69" s="39"/>
      <c r="Z69" s="39"/>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row>
    <row r="70" spans="2:77" ht="12" customHeight="1" x14ac:dyDescent="0.15">
      <c r="C70" s="39"/>
      <c r="D70" s="39"/>
      <c r="E70" s="39"/>
      <c r="F70" s="39"/>
      <c r="G70" s="39"/>
      <c r="H70" s="39"/>
      <c r="I70" s="39"/>
      <c r="J70" s="39"/>
      <c r="K70" s="39"/>
      <c r="L70" s="39"/>
      <c r="M70" s="39"/>
      <c r="N70" s="39"/>
      <c r="O70" s="1485"/>
      <c r="P70" s="1485"/>
      <c r="Q70" s="1485"/>
      <c r="R70" s="1485"/>
      <c r="S70" s="1485"/>
      <c r="T70" s="1485"/>
      <c r="U70" s="1485"/>
      <c r="V70" s="1485"/>
      <c r="W70" s="1485"/>
      <c r="X70" s="1485"/>
      <c r="Y70" s="1485"/>
      <c r="Z70" s="1485"/>
      <c r="AA70" s="1485"/>
      <c r="AB70" s="1485"/>
      <c r="AC70" s="1485"/>
      <c r="AD70" s="1485"/>
      <c r="AE70" s="1485"/>
      <c r="AF70" s="1485"/>
      <c r="AG70" s="1485"/>
      <c r="AH70" s="40"/>
      <c r="AI70" s="40"/>
      <c r="AJ70" s="125" t="str">
        <f>IF(ISBLANK(pvnév),"",pvnév)</f>
        <v/>
      </c>
      <c r="AK70" s="125"/>
      <c r="AL70" s="125"/>
      <c r="AM70" s="125"/>
      <c r="AN70" s="125"/>
      <c r="AO70" s="125"/>
      <c r="AP70" s="125"/>
      <c r="AQ70" s="125"/>
      <c r="AR70" s="125"/>
      <c r="AS70" s="125"/>
      <c r="AT70" s="125"/>
      <c r="AU70" s="125"/>
      <c r="AV70" s="125"/>
      <c r="AW70" s="125"/>
      <c r="AX70" s="125"/>
      <c r="AY70" s="125"/>
      <c r="AZ70" s="125"/>
      <c r="BA70" s="125"/>
      <c r="BB70" s="125"/>
      <c r="BC70" s="125"/>
      <c r="BD70" s="125"/>
      <c r="BE70" s="124"/>
      <c r="BF70" s="124"/>
      <c r="BG70" s="124"/>
      <c r="BH70" s="124"/>
      <c r="BI70" s="124"/>
      <c r="BJ70" s="124"/>
      <c r="BK70" s="124"/>
      <c r="BL70" s="124"/>
      <c r="BM70" s="124"/>
      <c r="BN70" s="124"/>
      <c r="BO70" s="124"/>
      <c r="BP70" s="124"/>
      <c r="BQ70" s="124"/>
      <c r="BR70" s="124"/>
      <c r="BS70" s="124"/>
      <c r="BT70" s="124"/>
      <c r="BU70" s="124"/>
      <c r="BV70" s="124"/>
      <c r="BW70" s="124"/>
      <c r="BX70" s="124"/>
      <c r="BY70" s="124"/>
    </row>
    <row r="71" spans="2:77" ht="12" customHeight="1" x14ac:dyDescent="0.15">
      <c r="C71" s="39"/>
      <c r="D71" s="39"/>
      <c r="E71" s="39"/>
      <c r="F71" s="39"/>
      <c r="G71" s="39"/>
      <c r="H71" s="39"/>
      <c r="I71" s="39"/>
      <c r="J71" s="39"/>
      <c r="K71" s="39"/>
      <c r="L71" s="39"/>
      <c r="M71" s="39"/>
      <c r="N71" s="39"/>
      <c r="O71" s="1486"/>
      <c r="P71" s="1486"/>
      <c r="Q71" s="1486"/>
      <c r="R71" s="1486"/>
      <c r="S71" s="1486"/>
      <c r="T71" s="1486"/>
      <c r="U71" s="1486"/>
      <c r="V71" s="1486"/>
      <c r="W71" s="1486"/>
      <c r="X71" s="1486"/>
      <c r="Y71" s="1486"/>
      <c r="Z71" s="1486"/>
      <c r="AA71" s="1486"/>
      <c r="AB71" s="1486"/>
      <c r="AC71" s="1486"/>
      <c r="AD71" s="1486"/>
      <c r="AE71" s="1486"/>
      <c r="AF71" s="1486"/>
      <c r="AG71" s="1486"/>
      <c r="AH71" s="40"/>
      <c r="AI71" s="40"/>
      <c r="AJ71" s="125"/>
      <c r="AK71" s="125"/>
      <c r="AL71" s="125"/>
      <c r="AM71" s="125"/>
      <c r="AN71" s="125"/>
      <c r="AO71" s="1488"/>
      <c r="AP71" s="1488"/>
      <c r="AQ71" s="1488"/>
      <c r="AR71" s="1488"/>
      <c r="AS71" s="1488"/>
      <c r="AT71" s="1488"/>
      <c r="AU71" s="1488"/>
      <c r="AV71" s="1488"/>
      <c r="AW71" s="1488"/>
      <c r="AX71" s="1488"/>
      <c r="AY71" s="1488"/>
      <c r="AZ71" s="1488"/>
      <c r="BA71" s="1488"/>
      <c r="BB71" s="1488"/>
      <c r="BC71" s="1488"/>
      <c r="BD71" s="1488"/>
      <c r="BE71" s="1488"/>
      <c r="BF71" s="1488"/>
      <c r="BG71" s="1488"/>
      <c r="BH71" s="124"/>
      <c r="BI71" s="124"/>
      <c r="BJ71" s="124"/>
      <c r="BK71" s="124"/>
      <c r="BL71" s="124"/>
      <c r="BM71" s="124"/>
      <c r="BN71" s="124"/>
      <c r="BO71" s="124"/>
      <c r="BP71" s="124"/>
      <c r="BQ71" s="124"/>
      <c r="BR71" s="124"/>
      <c r="BS71" s="124"/>
      <c r="BT71" s="124"/>
      <c r="BU71" s="124"/>
      <c r="BV71" s="124"/>
      <c r="BW71" s="124"/>
      <c r="BX71" s="124"/>
      <c r="BY71" s="124"/>
    </row>
    <row r="72" spans="2:77" ht="12" customHeight="1" x14ac:dyDescent="0.15">
      <c r="C72" s="39"/>
      <c r="D72" s="39"/>
      <c r="E72" s="39"/>
      <c r="F72" s="39"/>
      <c r="G72" s="39"/>
      <c r="H72" s="39"/>
      <c r="I72" s="39"/>
      <c r="J72" s="39"/>
      <c r="K72" s="39"/>
      <c r="L72" s="39"/>
      <c r="M72" s="39"/>
      <c r="N72" s="39"/>
      <c r="O72" s="1487" t="str">
        <f>+IF(Ugyfel="","",Ugyfel)</f>
        <v/>
      </c>
      <c r="P72" s="1487"/>
      <c r="Q72" s="1487"/>
      <c r="R72" s="1487"/>
      <c r="S72" s="1487"/>
      <c r="T72" s="1487"/>
      <c r="U72" s="1487"/>
      <c r="V72" s="1487"/>
      <c r="W72" s="1487"/>
      <c r="X72" s="1487"/>
      <c r="Y72" s="1487"/>
      <c r="Z72" s="1487"/>
      <c r="AA72" s="1487"/>
      <c r="AB72" s="1487"/>
      <c r="AC72" s="1487"/>
      <c r="AD72" s="1487"/>
      <c r="AE72" s="1487"/>
      <c r="AF72" s="1487"/>
      <c r="AG72" s="1487"/>
      <c r="AH72" s="40"/>
      <c r="AI72" s="40"/>
      <c r="AJ72" s="40"/>
      <c r="AK72" s="43"/>
      <c r="AL72" s="43"/>
      <c r="AM72" s="43"/>
      <c r="AN72" s="43"/>
      <c r="AO72" s="1487" t="str">
        <f>+'Refinanszírozási kérelem'!BO325</f>
        <v/>
      </c>
      <c r="AP72" s="1487"/>
      <c r="AQ72" s="1487"/>
      <c r="AR72" s="1487"/>
      <c r="AS72" s="1487"/>
      <c r="AT72" s="1487"/>
      <c r="AU72" s="1487"/>
      <c r="AV72" s="1487"/>
      <c r="AW72" s="1487"/>
      <c r="AX72" s="1487"/>
      <c r="AY72" s="1487"/>
      <c r="AZ72" s="1487"/>
      <c r="BA72" s="1487"/>
      <c r="BB72" s="1487"/>
      <c r="BC72" s="1487"/>
      <c r="BD72" s="1487"/>
      <c r="BE72" s="1487"/>
      <c r="BF72" s="1487"/>
      <c r="BG72" s="1487"/>
      <c r="BH72" s="124"/>
      <c r="BI72" s="124"/>
      <c r="BJ72" s="124"/>
      <c r="BK72" s="124"/>
      <c r="BL72" s="124"/>
      <c r="BM72" s="124"/>
      <c r="BN72" s="124"/>
      <c r="BO72" s="124"/>
      <c r="BP72" s="124"/>
      <c r="BQ72" s="124"/>
      <c r="BR72" s="124"/>
      <c r="BS72" s="124"/>
      <c r="BT72" s="124"/>
      <c r="BU72" s="124"/>
      <c r="BV72" s="124"/>
      <c r="BW72" s="124"/>
      <c r="BX72" s="124"/>
      <c r="BY72" s="124"/>
    </row>
    <row r="73" spans="2:77" ht="12" customHeight="1" x14ac:dyDescent="0.15">
      <c r="C73" s="39"/>
      <c r="D73" s="39"/>
      <c r="E73" s="39"/>
      <c r="F73" s="39"/>
      <c r="G73" s="39"/>
      <c r="H73" s="39"/>
      <c r="I73" s="39"/>
      <c r="J73" s="39"/>
      <c r="K73" s="39"/>
      <c r="L73" s="39"/>
      <c r="M73" s="39"/>
      <c r="N73" s="39"/>
      <c r="O73" s="39"/>
      <c r="P73" s="39"/>
      <c r="Q73" s="39"/>
      <c r="R73" s="39"/>
      <c r="S73" s="39"/>
      <c r="T73" s="39"/>
      <c r="U73" s="39"/>
      <c r="V73" s="39"/>
      <c r="W73" s="39"/>
      <c r="X73" s="39"/>
      <c r="Y73" s="39"/>
      <c r="Z73" s="39"/>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row>
    <row r="74" spans="2:77" ht="12" customHeight="1" x14ac:dyDescent="0.15">
      <c r="C74" s="39"/>
      <c r="D74" s="39"/>
      <c r="E74" s="39"/>
      <c r="F74" s="39"/>
      <c r="G74" s="39"/>
      <c r="H74" s="39"/>
      <c r="I74" s="39"/>
      <c r="J74" s="39"/>
      <c r="K74" s="39"/>
      <c r="L74" s="39"/>
      <c r="M74" s="39"/>
      <c r="N74" s="39"/>
      <c r="O74" s="39"/>
      <c r="P74" s="39"/>
      <c r="Q74" s="39"/>
      <c r="R74" s="39"/>
      <c r="S74" s="39"/>
      <c r="T74" s="39"/>
      <c r="U74" s="39"/>
      <c r="V74" s="39"/>
      <c r="W74" s="39"/>
      <c r="X74" s="39"/>
      <c r="Y74" s="39"/>
      <c r="Z74" s="39"/>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row>
    <row r="75" spans="2:77" ht="12" customHeight="1" x14ac:dyDescent="0.15">
      <c r="C75" s="39"/>
      <c r="D75" s="129"/>
      <c r="E75" s="39"/>
      <c r="F75" s="39"/>
      <c r="G75" s="39"/>
      <c r="H75" s="39"/>
      <c r="I75" s="39"/>
      <c r="J75" s="39"/>
      <c r="K75" s="39"/>
      <c r="L75" s="39"/>
      <c r="M75" s="128"/>
      <c r="N75" s="44"/>
      <c r="O75" s="44"/>
      <c r="P75" s="44"/>
      <c r="Q75" s="44"/>
      <c r="R75" s="44"/>
      <c r="S75" s="39"/>
      <c r="T75" s="39"/>
      <c r="U75" s="39"/>
      <c r="V75" s="39"/>
      <c r="W75" s="39"/>
      <c r="X75" s="39"/>
      <c r="Y75" s="39"/>
      <c r="Z75" s="39"/>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row>
    <row r="76" spans="2:77" ht="12" customHeight="1" x14ac:dyDescent="0.15">
      <c r="C76" s="39"/>
      <c r="D76" s="129"/>
      <c r="E76" s="39"/>
      <c r="F76" s="39"/>
      <c r="G76" s="39"/>
      <c r="H76" s="39"/>
      <c r="I76" s="39"/>
      <c r="J76" s="39"/>
      <c r="K76" s="39"/>
      <c r="L76" s="39"/>
      <c r="M76" s="128"/>
      <c r="N76" s="44"/>
      <c r="O76" s="44"/>
      <c r="P76" s="44"/>
      <c r="Q76" s="44"/>
      <c r="R76" s="44"/>
      <c r="S76" s="39"/>
      <c r="T76" s="39"/>
      <c r="U76" s="39"/>
      <c r="V76" s="39"/>
      <c r="W76" s="39"/>
      <c r="X76" s="39"/>
      <c r="Y76" s="39"/>
      <c r="Z76" s="39"/>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c r="BY76" s="124"/>
    </row>
    <row r="77" spans="2:77" ht="12" customHeight="1" x14ac:dyDescent="0.15">
      <c r="C77" s="39"/>
      <c r="D77" s="39"/>
      <c r="E77" s="39"/>
      <c r="F77" s="39"/>
      <c r="G77" s="39"/>
      <c r="H77" s="39"/>
      <c r="I77" s="39"/>
      <c r="J77" s="39"/>
      <c r="K77" s="39"/>
      <c r="L77" s="39"/>
      <c r="M77" s="39"/>
      <c r="N77" s="39"/>
      <c r="O77" s="39"/>
      <c r="P77" s="39"/>
      <c r="Q77" s="39"/>
      <c r="R77" s="39"/>
      <c r="S77" s="39"/>
      <c r="T77" s="39"/>
      <c r="U77" s="39"/>
      <c r="V77" s="39"/>
      <c r="W77" s="39"/>
      <c r="X77" s="39"/>
      <c r="Y77" s="39"/>
      <c r="Z77" s="39"/>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row>
    <row r="78" spans="2:77" ht="12" customHeight="1" x14ac:dyDescent="0.15">
      <c r="C78" s="39"/>
      <c r="D78" s="39"/>
      <c r="E78" s="39"/>
      <c r="F78" s="41"/>
      <c r="G78" s="39"/>
      <c r="H78" s="39"/>
      <c r="I78" s="251" t="s">
        <v>797</v>
      </c>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124"/>
      <c r="BH78" s="124"/>
      <c r="BI78" s="124"/>
      <c r="BJ78" s="124"/>
      <c r="BK78" s="124"/>
      <c r="BL78" s="124"/>
      <c r="BM78" s="124"/>
      <c r="BN78" s="124"/>
      <c r="BO78" s="124"/>
      <c r="BP78" s="124"/>
      <c r="BQ78" s="124"/>
      <c r="BR78" s="124"/>
      <c r="BS78" s="124"/>
      <c r="BT78" s="124"/>
      <c r="BU78" s="124"/>
      <c r="BV78" s="124"/>
      <c r="BW78" s="124"/>
      <c r="BX78" s="124"/>
      <c r="BY78" s="124"/>
    </row>
    <row r="79" spans="2:77" ht="12" customHeight="1" x14ac:dyDescent="0.15">
      <c r="C79" s="39"/>
      <c r="D79" s="39"/>
      <c r="E79" s="39"/>
      <c r="F79" s="39"/>
      <c r="G79" s="39"/>
      <c r="H79" s="39"/>
      <c r="I79" s="251" t="s">
        <v>798</v>
      </c>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124"/>
      <c r="BH79" s="124"/>
      <c r="BI79" s="124"/>
      <c r="BJ79" s="124"/>
      <c r="BK79" s="124"/>
      <c r="BL79" s="124"/>
      <c r="BM79" s="124"/>
      <c r="BN79" s="124"/>
      <c r="BO79" s="124"/>
      <c r="BP79" s="124"/>
      <c r="BQ79" s="124"/>
      <c r="BR79" s="124"/>
      <c r="BS79" s="124"/>
      <c r="BT79" s="124"/>
      <c r="BU79" s="124"/>
      <c r="BV79" s="124"/>
      <c r="BW79" s="124"/>
      <c r="BX79" s="124"/>
      <c r="BY79" s="124"/>
    </row>
    <row r="80" spans="2:77" ht="12" customHeight="1" x14ac:dyDescent="0.15">
      <c r="C80" s="39"/>
      <c r="D80" s="39"/>
      <c r="E80" s="39"/>
      <c r="F80" s="39"/>
      <c r="G80" s="39"/>
      <c r="H80" s="39"/>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124"/>
      <c r="BH80" s="124"/>
      <c r="BI80" s="124"/>
      <c r="BJ80" s="124"/>
      <c r="BK80" s="124"/>
      <c r="BL80" s="124"/>
      <c r="BM80" s="124"/>
      <c r="BN80" s="124"/>
      <c r="BO80" s="124"/>
      <c r="BP80" s="124"/>
      <c r="BQ80" s="124"/>
      <c r="BR80" s="124"/>
      <c r="BS80" s="124"/>
      <c r="BT80" s="124"/>
      <c r="BU80" s="124"/>
      <c r="BV80" s="124"/>
      <c r="BW80" s="124"/>
      <c r="BX80" s="124"/>
      <c r="BY80" s="124"/>
    </row>
    <row r="81" spans="3:77" ht="12" customHeight="1" x14ac:dyDescent="0.15">
      <c r="C81" s="39"/>
      <c r="D81" s="39"/>
      <c r="E81" s="39"/>
      <c r="F81" s="41"/>
      <c r="G81" s="39"/>
      <c r="H81" s="39"/>
      <c r="I81" s="252" t="s">
        <v>799</v>
      </c>
      <c r="J81" s="252"/>
      <c r="K81" s="252"/>
      <c r="L81" s="252"/>
      <c r="M81" s="252"/>
      <c r="N81" s="1185"/>
      <c r="O81" s="1185"/>
      <c r="P81" s="1185"/>
      <c r="Q81" s="1185"/>
      <c r="R81" s="1185"/>
      <c r="S81" s="1185"/>
      <c r="T81" s="1185"/>
      <c r="U81" s="1185"/>
      <c r="V81" s="1185"/>
      <c r="W81" s="1185"/>
      <c r="X81" s="1185"/>
      <c r="Y81" s="1185"/>
      <c r="Z81" s="1185"/>
      <c r="AA81" s="1185"/>
      <c r="AB81" s="1185"/>
      <c r="AC81" s="1185"/>
      <c r="AD81" s="1185"/>
      <c r="AE81" s="1185"/>
      <c r="AF81" s="1185"/>
      <c r="AG81" s="252"/>
      <c r="AH81" s="252"/>
      <c r="AI81" s="252"/>
      <c r="AJ81" s="252" t="s">
        <v>800</v>
      </c>
      <c r="AK81" s="252"/>
      <c r="AL81" s="252"/>
      <c r="AM81" s="252"/>
      <c r="AN81" s="1185"/>
      <c r="AO81" s="1185"/>
      <c r="AP81" s="1185"/>
      <c r="AQ81" s="1185"/>
      <c r="AR81" s="1185"/>
      <c r="AS81" s="1185"/>
      <c r="AT81" s="1185"/>
      <c r="AU81" s="1185"/>
      <c r="AV81" s="1185"/>
      <c r="AW81" s="1185"/>
      <c r="AX81" s="1185"/>
      <c r="AY81" s="1185"/>
      <c r="AZ81" s="1185"/>
      <c r="BA81" s="1185"/>
      <c r="BB81" s="1185"/>
      <c r="BC81" s="1185"/>
      <c r="BD81" s="1185"/>
      <c r="BE81" s="1185"/>
      <c r="BF81" s="1185"/>
      <c r="BG81" s="124"/>
      <c r="BH81" s="124"/>
      <c r="BI81" s="124"/>
      <c r="BJ81" s="124"/>
      <c r="BK81" s="124"/>
      <c r="BL81" s="124"/>
      <c r="BM81" s="124"/>
      <c r="BN81" s="124"/>
      <c r="BO81" s="124"/>
      <c r="BP81" s="124"/>
      <c r="BQ81" s="124"/>
      <c r="BR81" s="124"/>
      <c r="BS81" s="124"/>
      <c r="BT81" s="124"/>
      <c r="BU81" s="124"/>
      <c r="BV81" s="124"/>
      <c r="BW81" s="124"/>
      <c r="BX81" s="124"/>
      <c r="BY81" s="124"/>
    </row>
    <row r="82" spans="3:77" ht="12" customHeight="1" x14ac:dyDescent="0.15">
      <c r="C82" s="39"/>
      <c r="D82" s="39"/>
      <c r="E82" s="39"/>
      <c r="F82" s="39"/>
      <c r="G82" s="39"/>
      <c r="H82" s="39"/>
      <c r="I82" s="252"/>
      <c r="J82" s="252"/>
      <c r="K82" s="252"/>
      <c r="L82" s="252"/>
      <c r="M82" s="252"/>
      <c r="N82" s="252"/>
      <c r="O82" s="252"/>
      <c r="P82" s="252"/>
      <c r="Q82" s="252"/>
      <c r="R82" s="1181" t="s">
        <v>315</v>
      </c>
      <c r="S82" s="1181"/>
      <c r="T82" s="1181"/>
      <c r="U82" s="1181"/>
      <c r="V82" s="1181"/>
      <c r="W82" s="1181"/>
      <c r="X82" s="1181"/>
      <c r="Y82" s="1181"/>
      <c r="Z82" s="1181"/>
      <c r="AA82" s="1181"/>
      <c r="AB82" s="1181"/>
      <c r="AC82" s="252"/>
      <c r="AD82" s="252"/>
      <c r="AE82" s="252"/>
      <c r="AF82" s="252"/>
      <c r="AG82" s="252"/>
      <c r="AH82" s="252"/>
      <c r="AI82" s="252"/>
      <c r="AJ82" s="252"/>
      <c r="AK82" s="252"/>
      <c r="AL82" s="252"/>
      <c r="AM82" s="252"/>
      <c r="AN82" s="252"/>
      <c r="AO82" s="252"/>
      <c r="AP82" s="252"/>
      <c r="AQ82" s="252"/>
      <c r="AR82" s="1181" t="s">
        <v>315</v>
      </c>
      <c r="AS82" s="1181"/>
      <c r="AT82" s="1181"/>
      <c r="AU82" s="1181"/>
      <c r="AV82" s="1181"/>
      <c r="AW82" s="1181"/>
      <c r="AX82" s="1181"/>
      <c r="AY82" s="1181"/>
      <c r="AZ82" s="1181"/>
      <c r="BA82" s="1181"/>
      <c r="BB82" s="1181"/>
      <c r="BC82" s="252"/>
      <c r="BD82" s="252"/>
      <c r="BE82" s="252"/>
      <c r="BF82" s="252"/>
      <c r="BG82" s="124"/>
      <c r="BH82" s="124"/>
      <c r="BI82" s="124"/>
      <c r="BJ82" s="124"/>
      <c r="BK82" s="124"/>
      <c r="BL82" s="124"/>
      <c r="BM82" s="124"/>
      <c r="BN82" s="124"/>
      <c r="BO82" s="124"/>
      <c r="BP82" s="124"/>
      <c r="BQ82" s="124"/>
      <c r="BR82" s="124"/>
      <c r="BS82" s="124"/>
      <c r="BT82" s="124"/>
      <c r="BU82" s="124"/>
      <c r="BV82" s="124"/>
      <c r="BW82" s="124"/>
      <c r="BX82" s="124"/>
      <c r="BY82" s="124"/>
    </row>
    <row r="83" spans="3:77" ht="12" customHeight="1" x14ac:dyDescent="0.15">
      <c r="C83" s="39"/>
      <c r="D83" s="39"/>
      <c r="E83" s="39"/>
      <c r="F83" s="39"/>
      <c r="G83" s="39"/>
      <c r="H83" s="39"/>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124"/>
      <c r="BH83" s="124"/>
      <c r="BI83" s="124"/>
      <c r="BJ83" s="124"/>
      <c r="BK83" s="124"/>
      <c r="BL83" s="124"/>
      <c r="BM83" s="124"/>
      <c r="BN83" s="124"/>
      <c r="BO83" s="124"/>
      <c r="BP83" s="124"/>
      <c r="BQ83" s="124"/>
      <c r="BR83" s="124"/>
      <c r="BS83" s="124"/>
      <c r="BT83" s="124"/>
      <c r="BU83" s="124"/>
      <c r="BV83" s="124"/>
      <c r="BW83" s="124"/>
      <c r="BX83" s="124"/>
      <c r="BY83" s="124"/>
    </row>
    <row r="84" spans="3:77" ht="12" customHeight="1" x14ac:dyDescent="0.15">
      <c r="C84" s="39"/>
      <c r="D84" s="39"/>
      <c r="E84" s="39"/>
      <c r="F84" s="39"/>
      <c r="G84" s="39"/>
      <c r="H84" s="39"/>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124"/>
      <c r="BH84" s="124"/>
      <c r="BI84" s="124"/>
      <c r="BJ84" s="124"/>
      <c r="BK84" s="124"/>
      <c r="BL84" s="124"/>
      <c r="BM84" s="124"/>
      <c r="BN84" s="124"/>
      <c r="BO84" s="124"/>
      <c r="BP84" s="124"/>
      <c r="BQ84" s="124"/>
      <c r="BR84" s="124"/>
      <c r="BS84" s="124"/>
      <c r="BT84" s="124"/>
      <c r="BU84" s="124"/>
      <c r="BV84" s="124"/>
      <c r="BW84" s="124"/>
      <c r="BX84" s="124"/>
      <c r="BY84" s="124"/>
    </row>
    <row r="85" spans="3:77" ht="12" customHeight="1" x14ac:dyDescent="0.15">
      <c r="C85" s="39"/>
      <c r="D85" s="39"/>
      <c r="E85" s="39"/>
      <c r="F85" s="39"/>
      <c r="G85" s="39"/>
      <c r="H85" s="39"/>
      <c r="I85" s="252"/>
      <c r="J85" s="252"/>
      <c r="K85" s="252"/>
      <c r="L85" s="252"/>
      <c r="M85" s="252"/>
      <c r="N85" s="1185"/>
      <c r="O85" s="1185"/>
      <c r="P85" s="1185"/>
      <c r="Q85" s="1185"/>
      <c r="R85" s="1185"/>
      <c r="S85" s="1185"/>
      <c r="T85" s="1185"/>
      <c r="U85" s="1185"/>
      <c r="V85" s="1185"/>
      <c r="W85" s="1185"/>
      <c r="X85" s="1185"/>
      <c r="Y85" s="1185"/>
      <c r="Z85" s="1185"/>
      <c r="AA85" s="1185"/>
      <c r="AB85" s="1185"/>
      <c r="AC85" s="1185"/>
      <c r="AD85" s="1185"/>
      <c r="AE85" s="1185"/>
      <c r="AF85" s="1185"/>
      <c r="AG85" s="252"/>
      <c r="AH85" s="252"/>
      <c r="AI85" s="252"/>
      <c r="AJ85" s="252"/>
      <c r="AK85" s="252"/>
      <c r="AL85" s="252"/>
      <c r="AM85" s="252"/>
      <c r="AN85" s="1185"/>
      <c r="AO85" s="1185"/>
      <c r="AP85" s="1185"/>
      <c r="AQ85" s="1185"/>
      <c r="AR85" s="1185"/>
      <c r="AS85" s="1185"/>
      <c r="AT85" s="1185"/>
      <c r="AU85" s="1185"/>
      <c r="AV85" s="1185"/>
      <c r="AW85" s="1185"/>
      <c r="AX85" s="1185"/>
      <c r="AY85" s="1185"/>
      <c r="AZ85" s="1185"/>
      <c r="BA85" s="1185"/>
      <c r="BB85" s="1185"/>
      <c r="BC85" s="1185"/>
      <c r="BD85" s="1185"/>
      <c r="BE85" s="1185"/>
      <c r="BF85" s="1185"/>
      <c r="BG85" s="124"/>
      <c r="BH85" s="124"/>
      <c r="BI85" s="124"/>
      <c r="BJ85" s="124"/>
      <c r="BK85" s="124"/>
      <c r="BL85" s="124"/>
      <c r="BM85" s="124"/>
      <c r="BN85" s="124"/>
      <c r="BO85" s="124"/>
      <c r="BP85" s="124"/>
      <c r="BQ85" s="124"/>
      <c r="BR85" s="124"/>
      <c r="BS85" s="124"/>
      <c r="BT85" s="124"/>
      <c r="BU85" s="124"/>
      <c r="BV85" s="124"/>
      <c r="BW85" s="124"/>
      <c r="BX85" s="124"/>
      <c r="BY85" s="124"/>
    </row>
    <row r="86" spans="3:77" ht="12" customHeight="1" x14ac:dyDescent="0.15">
      <c r="C86" s="39"/>
      <c r="D86" s="39"/>
      <c r="E86" s="39"/>
      <c r="F86" s="39"/>
      <c r="G86" s="39"/>
      <c r="H86" s="39"/>
      <c r="I86" s="252"/>
      <c r="J86" s="252"/>
      <c r="K86" s="252"/>
      <c r="L86" s="252"/>
      <c r="M86" s="252"/>
      <c r="N86" s="252"/>
      <c r="O86" s="252"/>
      <c r="P86" s="252"/>
      <c r="Q86" s="252"/>
      <c r="R86" s="1181" t="s">
        <v>316</v>
      </c>
      <c r="S86" s="1181"/>
      <c r="T86" s="1181"/>
      <c r="U86" s="1181"/>
      <c r="V86" s="1181"/>
      <c r="W86" s="1181"/>
      <c r="X86" s="1181"/>
      <c r="Y86" s="1181"/>
      <c r="Z86" s="1181"/>
      <c r="AA86" s="1181"/>
      <c r="AB86" s="1181"/>
      <c r="AC86" s="252"/>
      <c r="AD86" s="252"/>
      <c r="AE86" s="252"/>
      <c r="AF86" s="252"/>
      <c r="AG86" s="252"/>
      <c r="AH86" s="252"/>
      <c r="AI86" s="252"/>
      <c r="AJ86" s="252"/>
      <c r="AK86" s="252"/>
      <c r="AL86" s="252"/>
      <c r="AM86" s="252"/>
      <c r="AN86" s="252"/>
      <c r="AO86" s="252"/>
      <c r="AP86" s="252"/>
      <c r="AQ86" s="252"/>
      <c r="AR86" s="1181" t="s">
        <v>316</v>
      </c>
      <c r="AS86" s="1181"/>
      <c r="AT86" s="1181"/>
      <c r="AU86" s="1181"/>
      <c r="AV86" s="1181"/>
      <c r="AW86" s="1181"/>
      <c r="AX86" s="1181"/>
      <c r="AY86" s="1181"/>
      <c r="AZ86" s="1181"/>
      <c r="BA86" s="1181"/>
      <c r="BB86" s="1181"/>
      <c r="BC86" s="252"/>
      <c r="BD86" s="252"/>
      <c r="BE86" s="252"/>
      <c r="BF86" s="252"/>
      <c r="BG86" s="124"/>
      <c r="BH86" s="124"/>
      <c r="BI86" s="124"/>
      <c r="BJ86" s="124"/>
      <c r="BK86" s="124"/>
      <c r="BL86" s="124"/>
      <c r="BM86" s="124"/>
      <c r="BN86" s="124"/>
      <c r="BO86" s="124"/>
      <c r="BP86" s="124"/>
      <c r="BQ86" s="124"/>
      <c r="BR86" s="124"/>
      <c r="BS86" s="124"/>
      <c r="BT86" s="124"/>
      <c r="BU86" s="124"/>
      <c r="BV86" s="124"/>
      <c r="BW86" s="124"/>
      <c r="BX86" s="124"/>
      <c r="BY86" s="124"/>
    </row>
    <row r="87" spans="3:77" ht="12" customHeight="1" x14ac:dyDescent="0.15">
      <c r="C87" s="124"/>
      <c r="D87" s="124"/>
      <c r="E87" s="124"/>
      <c r="F87" s="124"/>
      <c r="G87" s="124"/>
      <c r="H87" s="124"/>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c r="BC87" s="252"/>
      <c r="BD87" s="252"/>
      <c r="BE87" s="252"/>
      <c r="BF87" s="252"/>
      <c r="BG87" s="124"/>
      <c r="BH87" s="124"/>
      <c r="BI87" s="124"/>
      <c r="BJ87" s="124"/>
      <c r="BK87" s="124"/>
      <c r="BL87" s="124"/>
      <c r="BM87" s="124"/>
      <c r="BN87" s="124"/>
      <c r="BO87" s="124"/>
      <c r="BP87" s="124"/>
      <c r="BQ87" s="124"/>
      <c r="BR87" s="124"/>
      <c r="BS87" s="124"/>
      <c r="BT87" s="124"/>
      <c r="BU87" s="124"/>
      <c r="BV87" s="124"/>
      <c r="BW87" s="124"/>
      <c r="BX87" s="124"/>
      <c r="BY87" s="124"/>
    </row>
    <row r="88" spans="3:77" ht="12" customHeight="1" x14ac:dyDescent="0.15">
      <c r="C88" s="124"/>
      <c r="D88" s="124"/>
      <c r="E88" s="124"/>
      <c r="F88" s="124"/>
      <c r="G88" s="124"/>
      <c r="H88" s="124"/>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c r="BC88" s="252"/>
      <c r="BD88" s="252"/>
      <c r="BE88" s="252"/>
      <c r="BF88" s="252"/>
      <c r="BG88" s="124"/>
      <c r="BH88" s="124"/>
      <c r="BI88" s="124"/>
      <c r="BJ88" s="124"/>
      <c r="BK88" s="124"/>
      <c r="BL88" s="124"/>
      <c r="BM88" s="124"/>
      <c r="BN88" s="124"/>
      <c r="BO88" s="124"/>
      <c r="BP88" s="124"/>
      <c r="BQ88" s="124"/>
      <c r="BR88" s="124"/>
      <c r="BS88" s="124"/>
      <c r="BT88" s="124"/>
      <c r="BU88" s="124"/>
      <c r="BV88" s="124"/>
      <c r="BW88" s="124"/>
      <c r="BX88" s="124"/>
      <c r="BY88" s="124"/>
    </row>
    <row r="89" spans="3:77" ht="12" customHeight="1" x14ac:dyDescent="0.15">
      <c r="C89" s="124"/>
      <c r="D89" s="124"/>
      <c r="E89" s="124"/>
      <c r="F89" s="124"/>
      <c r="G89" s="124"/>
      <c r="H89" s="124"/>
      <c r="I89" s="252"/>
      <c r="J89" s="252"/>
      <c r="K89" s="252"/>
      <c r="L89" s="252"/>
      <c r="M89" s="252"/>
      <c r="N89" s="1185"/>
      <c r="O89" s="1185"/>
      <c r="P89" s="1185"/>
      <c r="Q89" s="1185"/>
      <c r="R89" s="1185"/>
      <c r="S89" s="1185"/>
      <c r="T89" s="1185"/>
      <c r="U89" s="1185"/>
      <c r="V89" s="1185"/>
      <c r="W89" s="1185"/>
      <c r="X89" s="1185"/>
      <c r="Y89" s="1185"/>
      <c r="Z89" s="1185"/>
      <c r="AA89" s="1185"/>
      <c r="AB89" s="1185"/>
      <c r="AC89" s="1185"/>
      <c r="AD89" s="1185"/>
      <c r="AE89" s="1185"/>
      <c r="AF89" s="1185"/>
      <c r="AG89" s="252"/>
      <c r="AH89" s="252"/>
      <c r="AI89" s="252"/>
      <c r="AJ89" s="252"/>
      <c r="AK89" s="252"/>
      <c r="AL89" s="252"/>
      <c r="AM89" s="252"/>
      <c r="AN89" s="1185"/>
      <c r="AO89" s="1185"/>
      <c r="AP89" s="1185"/>
      <c r="AQ89" s="1185"/>
      <c r="AR89" s="1185"/>
      <c r="AS89" s="1185"/>
      <c r="AT89" s="1185"/>
      <c r="AU89" s="1185"/>
      <c r="AV89" s="1185"/>
      <c r="AW89" s="1185"/>
      <c r="AX89" s="1185"/>
      <c r="AY89" s="1185"/>
      <c r="AZ89" s="1185"/>
      <c r="BA89" s="1185"/>
      <c r="BB89" s="1185"/>
      <c r="BC89" s="1185"/>
      <c r="BD89" s="1185"/>
      <c r="BE89" s="1185"/>
      <c r="BF89" s="1185"/>
      <c r="BG89" s="124"/>
      <c r="BH89" s="124"/>
      <c r="BI89" s="124"/>
      <c r="BJ89" s="124"/>
      <c r="BK89" s="124"/>
      <c r="BL89" s="124"/>
      <c r="BM89" s="124"/>
      <c r="BN89" s="124"/>
      <c r="BO89" s="124"/>
      <c r="BP89" s="124"/>
      <c r="BQ89" s="124"/>
      <c r="BR89" s="124"/>
      <c r="BS89" s="124"/>
      <c r="BT89" s="124"/>
      <c r="BU89" s="124"/>
      <c r="BV89" s="124"/>
      <c r="BW89" s="124"/>
      <c r="BX89" s="124"/>
      <c r="BY89" s="124"/>
    </row>
    <row r="90" spans="3:77" ht="12" customHeight="1" x14ac:dyDescent="0.15">
      <c r="C90" s="124"/>
      <c r="D90" s="124"/>
      <c r="E90" s="124"/>
      <c r="F90" s="124"/>
      <c r="G90" s="124"/>
      <c r="H90" s="124"/>
      <c r="I90" s="252"/>
      <c r="J90" s="252"/>
      <c r="K90" s="252"/>
      <c r="L90" s="252"/>
      <c r="M90" s="252"/>
      <c r="N90" s="252"/>
      <c r="O90" s="252"/>
      <c r="P90" s="252"/>
      <c r="Q90" s="252"/>
      <c r="R90" s="1181" t="s">
        <v>801</v>
      </c>
      <c r="S90" s="1181"/>
      <c r="T90" s="1181"/>
      <c r="U90" s="1181"/>
      <c r="V90" s="1181"/>
      <c r="W90" s="1181"/>
      <c r="X90" s="1181"/>
      <c r="Y90" s="1181"/>
      <c r="Z90" s="1181"/>
      <c r="AA90" s="1181"/>
      <c r="AB90" s="1181"/>
      <c r="AC90" s="252"/>
      <c r="AD90" s="252"/>
      <c r="AE90" s="252"/>
      <c r="AF90" s="252"/>
      <c r="AG90" s="252"/>
      <c r="AH90" s="252"/>
      <c r="AI90" s="252"/>
      <c r="AJ90" s="252"/>
      <c r="AK90" s="252"/>
      <c r="AL90" s="252"/>
      <c r="AM90" s="252"/>
      <c r="AN90" s="252"/>
      <c r="AO90" s="252"/>
      <c r="AP90" s="252"/>
      <c r="AQ90" s="252"/>
      <c r="AR90" s="1181" t="s">
        <v>801</v>
      </c>
      <c r="AS90" s="1181"/>
      <c r="AT90" s="1181"/>
      <c r="AU90" s="1181"/>
      <c r="AV90" s="1181"/>
      <c r="AW90" s="1181"/>
      <c r="AX90" s="1181"/>
      <c r="AY90" s="1181"/>
      <c r="AZ90" s="1181"/>
      <c r="BA90" s="1181"/>
      <c r="BB90" s="1181"/>
      <c r="BC90" s="252"/>
      <c r="BD90" s="252"/>
      <c r="BE90" s="252"/>
      <c r="BF90" s="252"/>
      <c r="BG90" s="124"/>
      <c r="BH90" s="124"/>
      <c r="BI90" s="124"/>
      <c r="BJ90" s="124"/>
      <c r="BK90" s="124"/>
      <c r="BL90" s="124"/>
      <c r="BM90" s="124"/>
      <c r="BN90" s="124"/>
      <c r="BO90" s="124"/>
      <c r="BP90" s="124"/>
      <c r="BQ90" s="124"/>
      <c r="BR90" s="124"/>
      <c r="BS90" s="124"/>
      <c r="BT90" s="124"/>
      <c r="BU90" s="124"/>
      <c r="BV90" s="124"/>
      <c r="BW90" s="124"/>
      <c r="BX90" s="124"/>
      <c r="BY90" s="124"/>
    </row>
    <row r="91" spans="3:77" ht="12" customHeight="1" x14ac:dyDescent="0.15">
      <c r="C91" s="124"/>
      <c r="D91" s="124"/>
      <c r="E91" s="124"/>
      <c r="F91" s="124"/>
      <c r="G91" s="124"/>
      <c r="H91" s="124"/>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c r="BC91" s="252"/>
      <c r="BD91" s="252"/>
      <c r="BE91" s="252"/>
      <c r="BF91" s="252"/>
      <c r="BG91" s="124"/>
      <c r="BH91" s="124"/>
      <c r="BI91" s="124"/>
      <c r="BJ91" s="124"/>
      <c r="BK91" s="124"/>
      <c r="BL91" s="124"/>
      <c r="BM91" s="124"/>
      <c r="BN91" s="124"/>
      <c r="BO91" s="124"/>
      <c r="BP91" s="124"/>
      <c r="BQ91" s="124"/>
      <c r="BR91" s="124"/>
      <c r="BS91" s="124"/>
      <c r="BT91" s="124"/>
      <c r="BU91" s="124"/>
      <c r="BV91" s="124"/>
      <c r="BW91" s="124"/>
      <c r="BX91" s="124"/>
      <c r="BY91" s="124"/>
    </row>
    <row r="92" spans="3:77" ht="12" customHeight="1" x14ac:dyDescent="0.15">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c r="BC92" s="252"/>
      <c r="BD92" s="252"/>
      <c r="BE92" s="252"/>
      <c r="BF92" s="252"/>
    </row>
    <row r="93" spans="3:77" ht="12" customHeight="1" x14ac:dyDescent="0.15">
      <c r="I93" s="252"/>
      <c r="J93" s="252"/>
      <c r="K93" s="252"/>
      <c r="L93" s="252"/>
      <c r="M93" s="252"/>
      <c r="N93" s="1185"/>
      <c r="O93" s="1185"/>
      <c r="P93" s="1185"/>
      <c r="Q93" s="1185"/>
      <c r="R93" s="1185"/>
      <c r="S93" s="1185"/>
      <c r="T93" s="1185"/>
      <c r="U93" s="1185"/>
      <c r="V93" s="1185"/>
      <c r="W93" s="1185"/>
      <c r="X93" s="1185"/>
      <c r="Y93" s="1185"/>
      <c r="Z93" s="1185"/>
      <c r="AA93" s="1185"/>
      <c r="AB93" s="1185"/>
      <c r="AC93" s="1185"/>
      <c r="AD93" s="1185"/>
      <c r="AE93" s="1185"/>
      <c r="AF93" s="1185"/>
      <c r="AG93" s="252"/>
      <c r="AH93" s="252"/>
      <c r="AI93" s="252"/>
      <c r="AJ93" s="252"/>
      <c r="AK93" s="252"/>
      <c r="AL93" s="252"/>
      <c r="AM93" s="252"/>
      <c r="AN93" s="1185"/>
      <c r="AO93" s="1185"/>
      <c r="AP93" s="1185"/>
      <c r="AQ93" s="1185"/>
      <c r="AR93" s="1185"/>
      <c r="AS93" s="1185"/>
      <c r="AT93" s="1185"/>
      <c r="AU93" s="1185"/>
      <c r="AV93" s="1185"/>
      <c r="AW93" s="1185"/>
      <c r="AX93" s="1185"/>
      <c r="AY93" s="1185"/>
      <c r="AZ93" s="1185"/>
      <c r="BA93" s="1185"/>
      <c r="BB93" s="1185"/>
      <c r="BC93" s="1185"/>
      <c r="BD93" s="1185"/>
      <c r="BE93" s="1185"/>
      <c r="BF93" s="1185"/>
    </row>
    <row r="94" spans="3:77" ht="12" customHeight="1" x14ac:dyDescent="0.15">
      <c r="I94" s="252"/>
      <c r="J94" s="252"/>
      <c r="K94" s="252"/>
      <c r="L94" s="252"/>
      <c r="M94" s="252"/>
      <c r="N94" s="252"/>
      <c r="O94" s="252"/>
      <c r="P94" s="252"/>
      <c r="Q94" s="252"/>
      <c r="R94" s="1181" t="s">
        <v>802</v>
      </c>
      <c r="S94" s="1181"/>
      <c r="T94" s="1181"/>
      <c r="U94" s="1181"/>
      <c r="V94" s="1181"/>
      <c r="W94" s="1181"/>
      <c r="X94" s="1181"/>
      <c r="Y94" s="1181"/>
      <c r="Z94" s="1181"/>
      <c r="AA94" s="1181"/>
      <c r="AB94" s="1181"/>
      <c r="AC94" s="252"/>
      <c r="AD94" s="252"/>
      <c r="AE94" s="252"/>
      <c r="AF94" s="252"/>
      <c r="AG94" s="252"/>
      <c r="AH94" s="252"/>
      <c r="AI94" s="252"/>
      <c r="AJ94" s="252"/>
      <c r="AK94" s="252"/>
      <c r="AL94" s="252"/>
      <c r="AM94" s="252"/>
      <c r="AN94" s="252"/>
      <c r="AO94" s="252"/>
      <c r="AP94" s="252"/>
      <c r="AQ94" s="252"/>
      <c r="AR94" s="1181" t="s">
        <v>802</v>
      </c>
      <c r="AS94" s="1181"/>
      <c r="AT94" s="1181"/>
      <c r="AU94" s="1181"/>
      <c r="AV94" s="1181"/>
      <c r="AW94" s="1181"/>
      <c r="AX94" s="1181"/>
      <c r="AY94" s="1181"/>
      <c r="AZ94" s="1181"/>
      <c r="BA94" s="1181"/>
      <c r="BB94" s="1181"/>
      <c r="BC94" s="252"/>
      <c r="BD94" s="252"/>
      <c r="BE94" s="252"/>
      <c r="BF94" s="252"/>
    </row>
  </sheetData>
  <sheetProtection password="C613" sheet="1" objects="1" scenarios="1"/>
  <mergeCells count="554">
    <mergeCell ref="C63:Q63"/>
    <mergeCell ref="R63:Z63"/>
    <mergeCell ref="AA63:AD63"/>
    <mergeCell ref="AE63:AH63"/>
    <mergeCell ref="AA58:AD58"/>
    <mergeCell ref="AA59:AD59"/>
    <mergeCell ref="AA60:AD60"/>
    <mergeCell ref="AA61:AD61"/>
    <mergeCell ref="AA62:AD62"/>
    <mergeCell ref="AM44:AP44"/>
    <mergeCell ref="AI43:AP43"/>
    <mergeCell ref="AE43:AH44"/>
    <mergeCell ref="AA50:AD50"/>
    <mergeCell ref="AA51:AD51"/>
    <mergeCell ref="AA52:AD52"/>
    <mergeCell ref="AA53:AD53"/>
    <mergeCell ref="AI63:AL63"/>
    <mergeCell ref="AM63:AP63"/>
    <mergeCell ref="AE58:AH58"/>
    <mergeCell ref="AE59:AH59"/>
    <mergeCell ref="AE60:AH60"/>
    <mergeCell ref="AE61:AH61"/>
    <mergeCell ref="AE62:AH62"/>
    <mergeCell ref="AE50:AH50"/>
    <mergeCell ref="AE52:AH52"/>
    <mergeCell ref="AE53:AH53"/>
    <mergeCell ref="AE54:AH54"/>
    <mergeCell ref="AA54:AD54"/>
    <mergeCell ref="AM57:AP57"/>
    <mergeCell ref="AE55:AH55"/>
    <mergeCell ref="AE56:AH56"/>
    <mergeCell ref="AE57:AH57"/>
    <mergeCell ref="AM45:AP45"/>
    <mergeCell ref="C54:Q54"/>
    <mergeCell ref="R54:Z54"/>
    <mergeCell ref="R48:Z48"/>
    <mergeCell ref="AI48:AL48"/>
    <mergeCell ref="AM48:AP48"/>
    <mergeCell ref="C49:Q49"/>
    <mergeCell ref="R49:Z49"/>
    <mergeCell ref="AI49:AL49"/>
    <mergeCell ref="AM49:AP49"/>
    <mergeCell ref="AE48:AH48"/>
    <mergeCell ref="AE49:AH49"/>
    <mergeCell ref="AA48:AD48"/>
    <mergeCell ref="AA49:AD49"/>
    <mergeCell ref="C51:Q51"/>
    <mergeCell ref="R51:Z51"/>
    <mergeCell ref="AE51:AH51"/>
    <mergeCell ref="C52:Q52"/>
    <mergeCell ref="R52:Z52"/>
    <mergeCell ref="C50:Q50"/>
    <mergeCell ref="R50:Z50"/>
    <mergeCell ref="C53:Q53"/>
    <mergeCell ref="R53:Z53"/>
    <mergeCell ref="AI50:AL50"/>
    <mergeCell ref="AM50:AP50"/>
    <mergeCell ref="C43:Q44"/>
    <mergeCell ref="C48:Q48"/>
    <mergeCell ref="B40:O40"/>
    <mergeCell ref="P40:S40"/>
    <mergeCell ref="T40:W40"/>
    <mergeCell ref="X40:AA40"/>
    <mergeCell ref="AB40:AE40"/>
    <mergeCell ref="AF40:AI40"/>
    <mergeCell ref="C45:Q45"/>
    <mergeCell ref="R45:Z45"/>
    <mergeCell ref="C46:Q46"/>
    <mergeCell ref="R46:Z46"/>
    <mergeCell ref="AA43:AD44"/>
    <mergeCell ref="AE45:AH45"/>
    <mergeCell ref="AE46:AH46"/>
    <mergeCell ref="AE47:AH47"/>
    <mergeCell ref="AA45:AD45"/>
    <mergeCell ref="AA46:AD46"/>
    <mergeCell ref="AA47:AD47"/>
    <mergeCell ref="AI44:AL44"/>
    <mergeCell ref="AI45:AL45"/>
    <mergeCell ref="AI51:AL51"/>
    <mergeCell ref="AM51:AP51"/>
    <mergeCell ref="AI52:AL52"/>
    <mergeCell ref="AM52:AP52"/>
    <mergeCell ref="AI55:AL55"/>
    <mergeCell ref="AM55:AP55"/>
    <mergeCell ref="AI53:AL53"/>
    <mergeCell ref="AM53:AP53"/>
    <mergeCell ref="AI54:AL54"/>
    <mergeCell ref="AM54:AP54"/>
    <mergeCell ref="BT40:BW40"/>
    <mergeCell ref="AZ39:BC39"/>
    <mergeCell ref="BD39:BG39"/>
    <mergeCell ref="AJ40:AM40"/>
    <mergeCell ref="AN40:AQ40"/>
    <mergeCell ref="AR40:AU40"/>
    <mergeCell ref="AV40:AY40"/>
    <mergeCell ref="AZ40:BC40"/>
    <mergeCell ref="BD40:BG40"/>
    <mergeCell ref="BT39:BW39"/>
    <mergeCell ref="BT38:BW38"/>
    <mergeCell ref="P39:S39"/>
    <mergeCell ref="T39:W39"/>
    <mergeCell ref="X39:AA39"/>
    <mergeCell ref="AB39:AE39"/>
    <mergeCell ref="AF39:AI39"/>
    <mergeCell ref="AJ39:AM39"/>
    <mergeCell ref="AN39:AQ39"/>
    <mergeCell ref="AR39:AU39"/>
    <mergeCell ref="AV39:AY39"/>
    <mergeCell ref="AV38:AY38"/>
    <mergeCell ref="AZ38:BC38"/>
    <mergeCell ref="BD38:BG38"/>
    <mergeCell ref="BH38:BK38"/>
    <mergeCell ref="BL38:BO38"/>
    <mergeCell ref="BP38:BS38"/>
    <mergeCell ref="BT37:BW37"/>
    <mergeCell ref="B38:O38"/>
    <mergeCell ref="P38:S38"/>
    <mergeCell ref="T38:W38"/>
    <mergeCell ref="X38:AA38"/>
    <mergeCell ref="AB38:AE38"/>
    <mergeCell ref="AF38:AI38"/>
    <mergeCell ref="AJ38:AM38"/>
    <mergeCell ref="AN38:AQ38"/>
    <mergeCell ref="AR38:AU38"/>
    <mergeCell ref="AV37:AY37"/>
    <mergeCell ref="AZ37:BC37"/>
    <mergeCell ref="BD37:BG37"/>
    <mergeCell ref="BH37:BK37"/>
    <mergeCell ref="BL37:BO37"/>
    <mergeCell ref="BP37:BS37"/>
    <mergeCell ref="P37:S37"/>
    <mergeCell ref="T37:W37"/>
    <mergeCell ref="X37:AA37"/>
    <mergeCell ref="AB37:AE37"/>
    <mergeCell ref="AF37:AI37"/>
    <mergeCell ref="AJ37:AM37"/>
    <mergeCell ref="AN37:AQ37"/>
    <mergeCell ref="AR37:AU37"/>
    <mergeCell ref="AN33:AQ33"/>
    <mergeCell ref="AR33:AU33"/>
    <mergeCell ref="BP36:BS36"/>
    <mergeCell ref="BT36:BW36"/>
    <mergeCell ref="AV36:AY36"/>
    <mergeCell ref="D35:O35"/>
    <mergeCell ref="P35:S35"/>
    <mergeCell ref="T35:W35"/>
    <mergeCell ref="X35:AA35"/>
    <mergeCell ref="BL36:BO36"/>
    <mergeCell ref="AB35:AE35"/>
    <mergeCell ref="AR36:AU36"/>
    <mergeCell ref="AZ36:BC36"/>
    <mergeCell ref="BD36:BG36"/>
    <mergeCell ref="BH36:BK36"/>
    <mergeCell ref="BP35:BS35"/>
    <mergeCell ref="B36:O36"/>
    <mergeCell ref="P36:S36"/>
    <mergeCell ref="T36:W36"/>
    <mergeCell ref="X36:AA36"/>
    <mergeCell ref="AB36:AE36"/>
    <mergeCell ref="AF36:AI36"/>
    <mergeCell ref="AJ36:AM36"/>
    <mergeCell ref="BT35:BW35"/>
    <mergeCell ref="AR32:AU32"/>
    <mergeCell ref="BT34:BW34"/>
    <mergeCell ref="AZ32:BC32"/>
    <mergeCell ref="BD32:BG32"/>
    <mergeCell ref="BH32:BK32"/>
    <mergeCell ref="BL32:BO32"/>
    <mergeCell ref="BP32:BS32"/>
    <mergeCell ref="BT32:BW32"/>
    <mergeCell ref="BL34:BO34"/>
    <mergeCell ref="AV34:AY34"/>
    <mergeCell ref="AZ34:BC34"/>
    <mergeCell ref="BD34:BG34"/>
    <mergeCell ref="BH34:BK34"/>
    <mergeCell ref="BP34:BS34"/>
    <mergeCell ref="BT33:BW33"/>
    <mergeCell ref="AV33:AY33"/>
    <mergeCell ref="AZ33:BC33"/>
    <mergeCell ref="BD33:BG33"/>
    <mergeCell ref="BH33:BK33"/>
    <mergeCell ref="BL33:BO33"/>
    <mergeCell ref="BP33:BS33"/>
    <mergeCell ref="AV32:AY32"/>
    <mergeCell ref="AR34:AU34"/>
    <mergeCell ref="BH31:BK31"/>
    <mergeCell ref="X31:AA31"/>
    <mergeCell ref="AB31:AE31"/>
    <mergeCell ref="AF31:AI31"/>
    <mergeCell ref="AJ31:AM31"/>
    <mergeCell ref="AN31:AQ31"/>
    <mergeCell ref="AR31:AU31"/>
    <mergeCell ref="BP31:BS31"/>
    <mergeCell ref="BL31:BO31"/>
    <mergeCell ref="BQ20:BT20"/>
    <mergeCell ref="BU20:BX20"/>
    <mergeCell ref="Q22:T22"/>
    <mergeCell ref="U22:X22"/>
    <mergeCell ref="Y22:AB22"/>
    <mergeCell ref="AC22:AF22"/>
    <mergeCell ref="AG22:AJ22"/>
    <mergeCell ref="AK22:AN22"/>
    <mergeCell ref="AO22:AR22"/>
    <mergeCell ref="AS22:AV22"/>
    <mergeCell ref="AS20:AV20"/>
    <mergeCell ref="AW20:AZ20"/>
    <mergeCell ref="BA20:BD20"/>
    <mergeCell ref="BE20:BH20"/>
    <mergeCell ref="BI20:BL20"/>
    <mergeCell ref="BM20:BP20"/>
    <mergeCell ref="Q20:T20"/>
    <mergeCell ref="U20:X20"/>
    <mergeCell ref="Y20:AB20"/>
    <mergeCell ref="AC20:AF20"/>
    <mergeCell ref="AG20:AJ20"/>
    <mergeCell ref="AK20:AN20"/>
    <mergeCell ref="AO20:AR20"/>
    <mergeCell ref="BA21:BD21"/>
    <mergeCell ref="BM18:BP18"/>
    <mergeCell ref="BQ18:BT18"/>
    <mergeCell ref="BU18:BX18"/>
    <mergeCell ref="C19:P19"/>
    <mergeCell ref="Q19:T19"/>
    <mergeCell ref="U19:X19"/>
    <mergeCell ref="Y19:AB19"/>
    <mergeCell ref="AC19:AF19"/>
    <mergeCell ref="AG19:AJ19"/>
    <mergeCell ref="AK19:AN19"/>
    <mergeCell ref="AO18:AR18"/>
    <mergeCell ref="AS18:AV18"/>
    <mergeCell ref="AW18:AZ18"/>
    <mergeCell ref="BA18:BD18"/>
    <mergeCell ref="BE18:BH18"/>
    <mergeCell ref="BI18:BL18"/>
    <mergeCell ref="BM19:BP19"/>
    <mergeCell ref="BQ19:BT19"/>
    <mergeCell ref="BU19:BX19"/>
    <mergeCell ref="AW19:AZ19"/>
    <mergeCell ref="BA19:BD19"/>
    <mergeCell ref="BE19:BH19"/>
    <mergeCell ref="BI19:BL19"/>
    <mergeCell ref="C18:P18"/>
    <mergeCell ref="Q18:T18"/>
    <mergeCell ref="U18:X18"/>
    <mergeCell ref="Y18:AB18"/>
    <mergeCell ref="AC18:AF18"/>
    <mergeCell ref="AG18:AJ18"/>
    <mergeCell ref="AK18:AN18"/>
    <mergeCell ref="AO17:AR17"/>
    <mergeCell ref="AS17:AV17"/>
    <mergeCell ref="AO19:AR19"/>
    <mergeCell ref="AS19:AV19"/>
    <mergeCell ref="BI16:BL16"/>
    <mergeCell ref="BM16:BP16"/>
    <mergeCell ref="BQ16:BT16"/>
    <mergeCell ref="BU16:BX16"/>
    <mergeCell ref="Q17:T17"/>
    <mergeCell ref="U17:X17"/>
    <mergeCell ref="Y17:AB17"/>
    <mergeCell ref="AC17:AF17"/>
    <mergeCell ref="AG17:AJ17"/>
    <mergeCell ref="AK17:AN17"/>
    <mergeCell ref="AK16:AN16"/>
    <mergeCell ref="AO16:AR16"/>
    <mergeCell ref="AS16:AV16"/>
    <mergeCell ref="AW16:AZ16"/>
    <mergeCell ref="BA16:BD16"/>
    <mergeCell ref="BE16:BH16"/>
    <mergeCell ref="BM17:BP17"/>
    <mergeCell ref="BQ17:BT17"/>
    <mergeCell ref="BU17:BX17"/>
    <mergeCell ref="AW17:AZ17"/>
    <mergeCell ref="BA17:BD17"/>
    <mergeCell ref="BE17:BH17"/>
    <mergeCell ref="BI17:BL17"/>
    <mergeCell ref="Q14:T14"/>
    <mergeCell ref="U14:X14"/>
    <mergeCell ref="Y14:AB14"/>
    <mergeCell ref="AC14:AF14"/>
    <mergeCell ref="AG14:AJ14"/>
    <mergeCell ref="C16:P16"/>
    <mergeCell ref="Q16:T16"/>
    <mergeCell ref="U16:X16"/>
    <mergeCell ref="Y16:AB16"/>
    <mergeCell ref="AC16:AF16"/>
    <mergeCell ref="AG16:AJ16"/>
    <mergeCell ref="U15:X15"/>
    <mergeCell ref="Y15:AB15"/>
    <mergeCell ref="AC15:AF15"/>
    <mergeCell ref="AG15:AJ15"/>
    <mergeCell ref="Q15:T15"/>
    <mergeCell ref="BQ12:BT12"/>
    <mergeCell ref="BU12:BX12"/>
    <mergeCell ref="AW12:AZ12"/>
    <mergeCell ref="BI12:BL12"/>
    <mergeCell ref="BU15:BX15"/>
    <mergeCell ref="BU14:BX14"/>
    <mergeCell ref="BA14:BD14"/>
    <mergeCell ref="BE14:BH14"/>
    <mergeCell ref="BI14:BL14"/>
    <mergeCell ref="BM14:BP14"/>
    <mergeCell ref="BQ14:BT14"/>
    <mergeCell ref="BA15:BD15"/>
    <mergeCell ref="BE15:BH15"/>
    <mergeCell ref="BI15:BL15"/>
    <mergeCell ref="BU13:BX13"/>
    <mergeCell ref="BM12:BP12"/>
    <mergeCell ref="AW13:AZ13"/>
    <mergeCell ref="AW15:AZ15"/>
    <mergeCell ref="AW14:AZ14"/>
    <mergeCell ref="BM15:BP15"/>
    <mergeCell ref="BQ15:BT15"/>
    <mergeCell ref="BQ13:BT13"/>
    <mergeCell ref="BA13:BD13"/>
    <mergeCell ref="BE13:BH13"/>
    <mergeCell ref="U12:X12"/>
    <mergeCell ref="Y12:AB12"/>
    <mergeCell ref="AC12:AF12"/>
    <mergeCell ref="AG12:AJ12"/>
    <mergeCell ref="AK12:AN12"/>
    <mergeCell ref="AO12:AR12"/>
    <mergeCell ref="AO11:AR11"/>
    <mergeCell ref="AS11:AV11"/>
    <mergeCell ref="AW11:AZ11"/>
    <mergeCell ref="AS12:AV12"/>
    <mergeCell ref="Q11:T11"/>
    <mergeCell ref="C6:BX6"/>
    <mergeCell ref="C8:P10"/>
    <mergeCell ref="Q8:T9"/>
    <mergeCell ref="U8:BX9"/>
    <mergeCell ref="Q10:T10"/>
    <mergeCell ref="U10:X10"/>
    <mergeCell ref="Y10:AB10"/>
    <mergeCell ref="AC10:AF10"/>
    <mergeCell ref="AG10:AJ10"/>
    <mergeCell ref="BI10:BL10"/>
    <mergeCell ref="BM10:BP10"/>
    <mergeCell ref="BQ10:BT10"/>
    <mergeCell ref="BU10:BX10"/>
    <mergeCell ref="AW10:AZ10"/>
    <mergeCell ref="BA10:BD10"/>
    <mergeCell ref="BM11:BP11"/>
    <mergeCell ref="BQ11:BT11"/>
    <mergeCell ref="BU11:BX11"/>
    <mergeCell ref="BA11:BD11"/>
    <mergeCell ref="BE11:BH11"/>
    <mergeCell ref="BI11:BL11"/>
    <mergeCell ref="Q12:T12"/>
    <mergeCell ref="BT31:BW31"/>
    <mergeCell ref="AV31:AY31"/>
    <mergeCell ref="AZ31:BC31"/>
    <mergeCell ref="BD31:BG31"/>
    <mergeCell ref="BE10:BH10"/>
    <mergeCell ref="F67:P67"/>
    <mergeCell ref="U11:X11"/>
    <mergeCell ref="Y11:AB11"/>
    <mergeCell ref="AC11:AF11"/>
    <mergeCell ref="AG11:AJ11"/>
    <mergeCell ref="AK11:AN11"/>
    <mergeCell ref="AK10:AN10"/>
    <mergeCell ref="AO10:AR10"/>
    <mergeCell ref="AS10:AV10"/>
    <mergeCell ref="C13:P13"/>
    <mergeCell ref="BA12:BD12"/>
    <mergeCell ref="BE12:BH12"/>
    <mergeCell ref="AK14:AN14"/>
    <mergeCell ref="AO14:AR14"/>
    <mergeCell ref="Q13:T13"/>
    <mergeCell ref="U13:X13"/>
    <mergeCell ref="Y13:AB13"/>
    <mergeCell ref="AC13:AF13"/>
    <mergeCell ref="AG13:AJ13"/>
    <mergeCell ref="AS25:AV25"/>
    <mergeCell ref="AW25:AZ25"/>
    <mergeCell ref="C25:P25"/>
    <mergeCell ref="Q25:T25"/>
    <mergeCell ref="U25:X25"/>
    <mergeCell ref="BI25:BL25"/>
    <mergeCell ref="BM25:BP25"/>
    <mergeCell ref="BQ25:BT25"/>
    <mergeCell ref="Q21:T21"/>
    <mergeCell ref="AW21:AZ21"/>
    <mergeCell ref="BE21:BH21"/>
    <mergeCell ref="BI21:BL21"/>
    <mergeCell ref="BM21:BP21"/>
    <mergeCell ref="BQ21:BT21"/>
    <mergeCell ref="AK15:AN15"/>
    <mergeCell ref="AO15:AR15"/>
    <mergeCell ref="AS15:AV15"/>
    <mergeCell ref="AS14:AV14"/>
    <mergeCell ref="AS13:AV13"/>
    <mergeCell ref="BI13:BL13"/>
    <mergeCell ref="BM13:BP13"/>
    <mergeCell ref="AK13:AN13"/>
    <mergeCell ref="AO13:AR13"/>
    <mergeCell ref="BU25:BX25"/>
    <mergeCell ref="BA25:BD25"/>
    <mergeCell ref="BE25:BH25"/>
    <mergeCell ref="BA24:BD24"/>
    <mergeCell ref="BE24:BH24"/>
    <mergeCell ref="BI24:BL24"/>
    <mergeCell ref="BM24:BP24"/>
    <mergeCell ref="BQ24:BT24"/>
    <mergeCell ref="BU24:BX24"/>
    <mergeCell ref="BM22:BP22"/>
    <mergeCell ref="BQ22:BT22"/>
    <mergeCell ref="Q23:T23"/>
    <mergeCell ref="U23:X23"/>
    <mergeCell ref="Y23:AB23"/>
    <mergeCell ref="AC23:AF23"/>
    <mergeCell ref="AG23:AJ23"/>
    <mergeCell ref="AK23:AN23"/>
    <mergeCell ref="AO23:AR23"/>
    <mergeCell ref="AS23:AV23"/>
    <mergeCell ref="BU21:BX21"/>
    <mergeCell ref="AW23:AZ23"/>
    <mergeCell ref="BA23:BD23"/>
    <mergeCell ref="BE23:BH23"/>
    <mergeCell ref="BI23:BL23"/>
    <mergeCell ref="BM23:BP23"/>
    <mergeCell ref="BQ23:BT23"/>
    <mergeCell ref="AS24:AV24"/>
    <mergeCell ref="U21:X21"/>
    <mergeCell ref="Y21:AB21"/>
    <mergeCell ref="AC21:AF21"/>
    <mergeCell ref="AG21:AJ21"/>
    <mergeCell ref="AK21:AN21"/>
    <mergeCell ref="AO21:AR21"/>
    <mergeCell ref="AS21:AV21"/>
    <mergeCell ref="AW24:AZ24"/>
    <mergeCell ref="AK24:AN24"/>
    <mergeCell ref="AO24:AR24"/>
    <mergeCell ref="BU23:BX23"/>
    <mergeCell ref="BU22:BX22"/>
    <mergeCell ref="AW22:AZ22"/>
    <mergeCell ref="BA22:BD22"/>
    <mergeCell ref="BE22:BH22"/>
    <mergeCell ref="BI22:BL22"/>
    <mergeCell ref="C56:Q56"/>
    <mergeCell ref="R56:Z56"/>
    <mergeCell ref="AI56:AL56"/>
    <mergeCell ref="AM56:AP56"/>
    <mergeCell ref="C57:Q57"/>
    <mergeCell ref="R57:Z57"/>
    <mergeCell ref="AI57:AL57"/>
    <mergeCell ref="C24:P24"/>
    <mergeCell ref="Q24:T24"/>
    <mergeCell ref="U24:X24"/>
    <mergeCell ref="Y24:AB24"/>
    <mergeCell ref="AC24:AF24"/>
    <mergeCell ref="AG24:AJ24"/>
    <mergeCell ref="Y25:AB25"/>
    <mergeCell ref="AC25:AF25"/>
    <mergeCell ref="AG25:AJ25"/>
    <mergeCell ref="B27:BW27"/>
    <mergeCell ref="B29:O31"/>
    <mergeCell ref="P29:S30"/>
    <mergeCell ref="T29:BW30"/>
    <mergeCell ref="P31:S31"/>
    <mergeCell ref="T31:W31"/>
    <mergeCell ref="AK25:AN25"/>
    <mergeCell ref="AO25:AR25"/>
    <mergeCell ref="AA55:AD55"/>
    <mergeCell ref="AA56:AD56"/>
    <mergeCell ref="AA57:AD57"/>
    <mergeCell ref="AS42:BS55"/>
    <mergeCell ref="AN34:AQ34"/>
    <mergeCell ref="AZ35:BC35"/>
    <mergeCell ref="AR35:AU35"/>
    <mergeCell ref="AJ35:AM35"/>
    <mergeCell ref="AN35:AQ35"/>
    <mergeCell ref="BD35:BG35"/>
    <mergeCell ref="BH35:BK35"/>
    <mergeCell ref="BL35:BO35"/>
    <mergeCell ref="AV35:AY35"/>
    <mergeCell ref="AF34:AI34"/>
    <mergeCell ref="AJ34:AM34"/>
    <mergeCell ref="AN36:AQ36"/>
    <mergeCell ref="BH39:BK39"/>
    <mergeCell ref="BH40:BK40"/>
    <mergeCell ref="BL39:BO39"/>
    <mergeCell ref="BP39:BS39"/>
    <mergeCell ref="BL40:BO40"/>
    <mergeCell ref="BP40:BS40"/>
    <mergeCell ref="C42:AP42"/>
    <mergeCell ref="R43:Z44"/>
    <mergeCell ref="P32:S32"/>
    <mergeCell ref="T32:W32"/>
    <mergeCell ref="X32:AA32"/>
    <mergeCell ref="AB32:AE32"/>
    <mergeCell ref="AF32:AI32"/>
    <mergeCell ref="AJ32:AM32"/>
    <mergeCell ref="AF35:AI35"/>
    <mergeCell ref="AM46:AP46"/>
    <mergeCell ref="C47:Q47"/>
    <mergeCell ref="R47:Z47"/>
    <mergeCell ref="AI47:AL47"/>
    <mergeCell ref="AM47:AP47"/>
    <mergeCell ref="AI46:AL46"/>
    <mergeCell ref="P34:S34"/>
    <mergeCell ref="T34:W34"/>
    <mergeCell ref="X34:AA34"/>
    <mergeCell ref="AB34:AE34"/>
    <mergeCell ref="P33:S33"/>
    <mergeCell ref="T33:W33"/>
    <mergeCell ref="X33:AA33"/>
    <mergeCell ref="AB33:AE33"/>
    <mergeCell ref="AN32:AQ32"/>
    <mergeCell ref="AF33:AI33"/>
    <mergeCell ref="AJ33:AM33"/>
    <mergeCell ref="C2:BX2"/>
    <mergeCell ref="AD4:AZ4"/>
    <mergeCell ref="C61:Q61"/>
    <mergeCell ref="R61:Z61"/>
    <mergeCell ref="AI61:AL61"/>
    <mergeCell ref="AM61:AP61"/>
    <mergeCell ref="C62:Q62"/>
    <mergeCell ref="R62:Z62"/>
    <mergeCell ref="AI62:AL62"/>
    <mergeCell ref="AM62:AP62"/>
    <mergeCell ref="C58:Q58"/>
    <mergeCell ref="R58:Z58"/>
    <mergeCell ref="AI58:AL58"/>
    <mergeCell ref="AM58:AP58"/>
    <mergeCell ref="C59:Q59"/>
    <mergeCell ref="R59:Z59"/>
    <mergeCell ref="AI59:AL59"/>
    <mergeCell ref="AM59:AP59"/>
    <mergeCell ref="C60:Q60"/>
    <mergeCell ref="R60:Z60"/>
    <mergeCell ref="AI60:AL60"/>
    <mergeCell ref="AM60:AP60"/>
    <mergeCell ref="C55:Q55"/>
    <mergeCell ref="R55:Z55"/>
    <mergeCell ref="O70:AG71"/>
    <mergeCell ref="O72:AG72"/>
    <mergeCell ref="AO71:BG71"/>
    <mergeCell ref="AO72:BG72"/>
    <mergeCell ref="R90:AB90"/>
    <mergeCell ref="AR90:BB90"/>
    <mergeCell ref="N93:AF93"/>
    <mergeCell ref="AN93:BF93"/>
    <mergeCell ref="R94:AB94"/>
    <mergeCell ref="AR94:BB94"/>
    <mergeCell ref="N81:AF81"/>
    <mergeCell ref="AN81:BF81"/>
    <mergeCell ref="R82:AB82"/>
    <mergeCell ref="AR82:BB82"/>
    <mergeCell ref="N85:AF85"/>
    <mergeCell ref="AN85:BF85"/>
    <mergeCell ref="R86:AB86"/>
    <mergeCell ref="AR86:BB86"/>
    <mergeCell ref="N89:AF89"/>
    <mergeCell ref="AN89:BF89"/>
  </mergeCells>
  <conditionalFormatting sqref="A1:XFD41 A64:XFD69 A43:Z62 AI43:AR62 A42:C42 AQ42:AS42 A63:B63 AQ63:AR63 A95:XFD1048576 A78:H94 BG78:XFD94 BT42:XFD63 A73:XFD77 A70:O70 A71:N72 AH70:XFD70 O72 BH71:XFD72 AH71:AO72">
    <cfRule type="expression" dxfId="95" priority="47">
      <formula>" ='Refinanszírozási kérelem'!$AR$102:$BF$102=""Nem kell kitölteni az Eredményterv fület"""</formula>
    </cfRule>
    <cfRule type="expression" dxfId="94" priority="48">
      <formula>" ='Refinanszírozási kérelem'!$AR$102:$BF$102=""Nem kell kitölteni az Eredményterv fület"""</formula>
    </cfRule>
  </conditionalFormatting>
  <conditionalFormatting sqref="AA45:AD62">
    <cfRule type="expression" dxfId="93" priority="42">
      <formula>" ='Refinanszírozási kérelem'!$AR$102:$BF$102=""Nem kell kitölteni az Eredményterv fület"""</formula>
    </cfRule>
    <cfRule type="expression" dxfId="92" priority="43">
      <formula>" ='Refinanszírozási kérelem'!$AR$102:$BF$102=""Nem kell kitölteni az Eredményterv fület"""</formula>
    </cfRule>
  </conditionalFormatting>
  <conditionalFormatting sqref="AE45:AH62">
    <cfRule type="expression" dxfId="91" priority="36">
      <formula>" ='Refinanszírozási kérelem'!$AR$102:$BF$102=""Nem kell kitölteni az Eredményterv fület"""</formula>
    </cfRule>
    <cfRule type="expression" dxfId="90" priority="37">
      <formula>" ='Refinanszírozási kérelem'!$AR$102:$BF$102=""Nem kell kitölteni az Eredményterv fület"""</formula>
    </cfRule>
  </conditionalFormatting>
  <conditionalFormatting sqref="C63:Z63 AI63:AP63">
    <cfRule type="expression" dxfId="89" priority="28">
      <formula>" ='Refinanszírozási kérelem'!$AR$102:$BF$102=""Nem kell kitölteni az Eredményterv fület"""</formula>
    </cfRule>
    <cfRule type="expression" dxfId="88" priority="29">
      <formula>" ='Refinanszírozási kérelem'!$AR$102:$BF$102=""Nem kell kitölteni az Eredményterv fület"""</formula>
    </cfRule>
  </conditionalFormatting>
  <conditionalFormatting sqref="AA63:AD63">
    <cfRule type="expression" dxfId="87" priority="22">
      <formula>" ='Refinanszírozási kérelem'!$AR$102:$BF$102=""Nem kell kitölteni az Eredményterv fület"""</formula>
    </cfRule>
    <cfRule type="expression" dxfId="86" priority="23">
      <formula>" ='Refinanszírozási kérelem'!$AR$102:$BF$102=""Nem kell kitölteni az Eredményterv fület"""</formula>
    </cfRule>
  </conditionalFormatting>
  <conditionalFormatting sqref="AE63:AH63">
    <cfRule type="expression" dxfId="85" priority="16">
      <formula>" ='Refinanszírozási kérelem'!$AR$102:$BF$102=""Nem kell kitölteni az Eredményterv fület"""</formula>
    </cfRule>
    <cfRule type="expression" dxfId="84" priority="17">
      <formula>" ='Refinanszírozási kérelem'!$AR$102:$BF$102=""Nem kell kitölteni az Eredményterv fület"""</formula>
    </cfRule>
  </conditionalFormatting>
  <conditionalFormatting sqref="I78:BF94">
    <cfRule type="expression" dxfId="83" priority="7">
      <formula>+gazform="zártkörűen működő részvénytársaság"</formula>
    </cfRule>
    <cfRule type="expression" dxfId="82" priority="8">
      <formula>+gazform="nyílvánosan működő részvénytársaság"</formula>
    </cfRule>
    <cfRule type="expression" dxfId="81" priority="9">
      <formula>+gazform="közkereseti társaság"</formula>
    </cfRule>
    <cfRule type="expression" dxfId="80" priority="10">
      <formula>+gazform="korlátolt felelősségű társaság"</formula>
    </cfRule>
    <cfRule type="expression" dxfId="79" priority="11">
      <formula>+gazform="betéti társaság"</formula>
    </cfRule>
  </conditionalFormatting>
  <pageMargins left="0" right="0" top="0" bottom="0" header="0" footer="0"/>
  <pageSetup paperSize="9" scale="46" orientation="landscape" r:id="rId1"/>
  <extLst>
    <ext xmlns:x14="http://schemas.microsoft.com/office/spreadsheetml/2009/9/main" uri="{78C0D931-6437-407d-A8EE-F0AAD7539E65}">
      <x14:conditionalFormattings>
        <x14:conditionalFormatting xmlns:xm="http://schemas.microsoft.com/office/excel/2006/main">
          <x14:cfRule type="expression" priority="58" id="{A6949A40-F3D9-443D-964E-50F5B26F13EC}">
            <xm:f>'Refinanszírozási kérelem'!$AR$110:$BF$110="Nem kell kitölteni az Eredményterv fület"</xm:f>
            <x14:dxf>
              <fill>
                <patternFill patternType="gray0625">
                  <fgColor auto="1"/>
                </patternFill>
              </fill>
            </x14:dxf>
          </x14:cfRule>
          <xm:sqref>A1:XFD41 A64:XFD69 A43:Z62 A42:C42 AQ42:AS42 A63:B63 A95:XFD1048576 A78:H94 BG78:XFD94 AI43:AR63 BT42:XFD63 A73:XFD77 A70:O70 A71:N72 AH70:XFD70 O72 BH71:XFD72 AH71:AO72</xm:sqref>
        </x14:conditionalFormatting>
        <x14:conditionalFormatting xmlns:xm="http://schemas.microsoft.com/office/excel/2006/main">
          <x14:cfRule type="expression" priority="59" id="{4E48D373-329A-4DB4-A770-A2E0A59A0A1B}">
            <xm:f>+'Refinanszírozási kérelem'!$R$20:$BC$20="MFB NHP Fix Lízing Refinanszírozási Program"</xm:f>
            <x14:dxf>
              <font>
                <color theme="0"/>
              </font>
              <fill>
                <patternFill patternType="solid">
                  <fgColor theme="0"/>
                  <bgColor theme="0"/>
                </patternFill>
              </fill>
              <border>
                <left/>
                <right/>
                <top/>
                <bottom/>
                <vertical/>
                <horizontal/>
              </border>
            </x14:dxf>
          </x14:cfRule>
          <x14:cfRule type="expression" priority="60" id="{9876CB78-4208-46DA-8DFB-9EDA4E0032B7}">
            <xm:f>+'Refinanszírozási kérelem'!$R$20:$BC$20="MFB Lízing Refinanszírozási Program"</xm:f>
            <x14:dxf>
              <font>
                <color theme="0"/>
              </font>
              <fill>
                <patternFill patternType="solid">
                  <fgColor theme="0"/>
                  <bgColor theme="0"/>
                </patternFill>
              </fill>
              <border>
                <left/>
                <right/>
                <top/>
                <bottom/>
                <vertical/>
                <horizontal/>
              </border>
            </x14:dxf>
          </x14:cfRule>
          <xm:sqref>O72</xm:sqref>
        </x14:conditionalFormatting>
        <x14:conditionalFormatting xmlns:xm="http://schemas.microsoft.com/office/excel/2006/main">
          <x14:cfRule type="expression" priority="54" id="{62E84772-7023-45F2-8ED6-0E0100C8BB12}">
            <xm:f>'Refinanszírozási kérelem'!$AR$110:$BF$110="Nem kell kitölteni az Eredményterv fület"</xm:f>
            <x14:dxf>
              <font>
                <color theme="0"/>
              </font>
              <fill>
                <patternFill patternType="gray0625"/>
              </fill>
            </x14:dxf>
          </x14:cfRule>
          <xm:sqref>A6:XFD41 B42:C42 A64:XFD69 B43:B62 R45:R62 AI43 R43 A63:B63 AQ43:AR63 A95:XFD1048576 A78:H94 BG78:XFD94 AI45:AI63 AQ42:AS42 BT42:XFD63 A73:XFD77 A70:O70 A71:N72 AH70:XFD70 O72 BH71:XFD72 AH71:AO72</xm:sqref>
        </x14:conditionalFormatting>
        <x14:conditionalFormatting xmlns:xm="http://schemas.microsoft.com/office/excel/2006/main">
          <x14:cfRule type="expression" priority="56" id="{40956DC6-033E-4887-B722-BE7313E74BBC}">
            <xm:f>'Refinanszírozási kérelem'!$AR$110:$BF$110="Nem kell kitölteni az Eredményterv fület"</xm:f>
            <x14:dxf>
              <fill>
                <patternFill patternType="gray0625"/>
              </fill>
            </x14:dxf>
          </x14:cfRule>
          <xm:sqref>C45:C62</xm:sqref>
        </x14:conditionalFormatting>
        <x14:conditionalFormatting xmlns:xm="http://schemas.microsoft.com/office/excel/2006/main">
          <x14:cfRule type="expression" priority="52" id="{0267D0C5-3D49-4152-8828-4CD6B3271193}">
            <xm:f>'Refinanszírozási kérelem'!$AR$110:$BF$110="Nem kell kitölteni az Eredményterv fület"</xm:f>
            <x14:dxf>
              <fill>
                <patternFill patternType="gray0625"/>
              </fill>
            </x14:dxf>
          </x14:cfRule>
          <xm:sqref>C43</xm:sqref>
        </x14:conditionalFormatting>
        <x14:conditionalFormatting xmlns:xm="http://schemas.microsoft.com/office/excel/2006/main">
          <x14:cfRule type="expression" priority="55" id="{874F9EAA-6636-48BD-A126-D02C5537F59A}">
            <xm:f>'Refinanszírozási kérelem'!$AR$110:$BF$110="Nem kell kitölteni az Eredményterv fület"</xm:f>
            <x14:dxf>
              <fill>
                <patternFill patternType="gray0625"/>
              </fill>
            </x14:dxf>
          </x14:cfRule>
          <xm:sqref>AM45:AM62</xm:sqref>
        </x14:conditionalFormatting>
        <x14:conditionalFormatting xmlns:xm="http://schemas.microsoft.com/office/excel/2006/main">
          <x14:cfRule type="expression" priority="53" id="{686D4544-3032-4C23-868A-3A1253D3626C}">
            <xm:f>'Refinanszírozási kérelem'!$AR$110:$BF$110="Nem kell kitölteni az Eredményterv fület"</xm:f>
            <x14:dxf>
              <fill>
                <patternFill patternType="gray0625"/>
              </fill>
            </x14:dxf>
          </x14:cfRule>
          <xm:sqref>AI44</xm:sqref>
        </x14:conditionalFormatting>
        <x14:conditionalFormatting xmlns:xm="http://schemas.microsoft.com/office/excel/2006/main">
          <x14:cfRule type="expression" priority="51" id="{B49B7633-313E-46EA-A3B8-4725D4D478E8}">
            <xm:f>'Refinanszírozási kérelem'!$AR$110:$BF$110="Nem kell kitölteni az Eredményterv fület"</xm:f>
            <x14:dxf>
              <fill>
                <patternFill patternType="gray0625"/>
              </fill>
            </x14:dxf>
          </x14:cfRule>
          <xm:sqref>AM44</xm:sqref>
        </x14:conditionalFormatting>
        <x14:conditionalFormatting xmlns:xm="http://schemas.microsoft.com/office/excel/2006/main">
          <x14:cfRule type="expression" priority="15" id="{4609DC88-9126-4BB5-983E-F44C0E9EC3F5}">
            <xm:f>'Refinanszírozási kérelem'!$AR$110:$BF$110="Nem kell kitölteni az Eredményterv fület"</xm:f>
            <x14:dxf>
              <fill>
                <patternFill patternType="gray0625">
                  <fgColor auto="1"/>
                </patternFill>
              </fill>
            </x14:dxf>
          </x14:cfRule>
          <xm:sqref>AE63:AH63</xm:sqref>
        </x14:conditionalFormatting>
        <x14:conditionalFormatting xmlns:xm="http://schemas.microsoft.com/office/excel/2006/main">
          <x14:cfRule type="expression" priority="41" id="{6536EFAF-1B69-49B6-BF25-A1F86252F022}">
            <xm:f>'Refinanszírozási kérelem'!$AR$110:$BF$110="Nem kell kitölteni az Eredményterv fület"</xm:f>
            <x14:dxf>
              <fill>
                <patternFill patternType="gray0625">
                  <fgColor auto="1"/>
                </patternFill>
              </fill>
            </x14:dxf>
          </x14:cfRule>
          <xm:sqref>AA45:AD62</xm:sqref>
        </x14:conditionalFormatting>
        <x14:conditionalFormatting xmlns:xm="http://schemas.microsoft.com/office/excel/2006/main">
          <x14:cfRule type="expression" priority="46" id="{6AD6B6F7-C1AC-4227-97A6-6835C900549C}">
            <xm:f>'Refinanszírozási kérelem'!$AR$110:$BF$110="Nem kell kitölteni az Eredményterv fület"</xm:f>
            <x14:dxf>
              <fill>
                <patternFill patternType="gray0625"/>
              </fill>
            </x14:dxf>
          </x14:cfRule>
          <xm:sqref>AA45:AA62</xm:sqref>
        </x14:conditionalFormatting>
        <x14:conditionalFormatting xmlns:xm="http://schemas.microsoft.com/office/excel/2006/main">
          <x14:cfRule type="expression" priority="35" id="{CF8A143D-7431-473F-8118-7EF6BB48E501}">
            <xm:f>'Refinanszírozási kérelem'!$AR$110:$BF$110="Nem kell kitölteni az Eredményterv fület"</xm:f>
            <x14:dxf>
              <fill>
                <patternFill patternType="gray0625">
                  <fgColor auto="1"/>
                </patternFill>
              </fill>
            </x14:dxf>
          </x14:cfRule>
          <xm:sqref>AE45:AH62</xm:sqref>
        </x14:conditionalFormatting>
        <x14:conditionalFormatting xmlns:xm="http://schemas.microsoft.com/office/excel/2006/main">
          <x14:cfRule type="expression" priority="40" id="{ECA0486A-384E-4FB1-B60A-AB2BB3C84E30}">
            <xm:f>'Refinanszírozási kérelem'!$AR$110:$BF$110="Nem kell kitölteni az Eredményterv fület"</xm:f>
            <x14:dxf>
              <fill>
                <patternFill patternType="gray0625"/>
              </fill>
            </x14:dxf>
          </x14:cfRule>
          <xm:sqref>AE45:AE62</xm:sqref>
        </x14:conditionalFormatting>
        <x14:conditionalFormatting xmlns:xm="http://schemas.microsoft.com/office/excel/2006/main">
          <x14:cfRule type="expression" priority="27" id="{76EFE784-8C81-4A57-9A5D-9549E4E817EB}">
            <xm:f>'Refinanszírozási kérelem'!$AR$110:$BF$110="Nem kell kitölteni az Eredményterv fület"</xm:f>
            <x14:dxf>
              <fill>
                <patternFill patternType="gray0625">
                  <fgColor auto="1"/>
                </patternFill>
              </fill>
            </x14:dxf>
          </x14:cfRule>
          <xm:sqref>C63:Z63</xm:sqref>
        </x14:conditionalFormatting>
        <x14:conditionalFormatting xmlns:xm="http://schemas.microsoft.com/office/excel/2006/main">
          <x14:cfRule type="expression" priority="34" id="{4309591B-CD98-4460-AF43-73472E86DBD0}">
            <xm:f>'Refinanszírozási kérelem'!$AR$110:$BF$110="Nem kell kitölteni az Eredményterv fület"</xm:f>
            <x14:dxf>
              <fill>
                <patternFill patternType="gray0625"/>
              </fill>
            </x14:dxf>
          </x14:cfRule>
          <xm:sqref>R63</xm:sqref>
        </x14:conditionalFormatting>
        <x14:conditionalFormatting xmlns:xm="http://schemas.microsoft.com/office/excel/2006/main">
          <x14:cfRule type="expression" priority="33" id="{8CA38E23-D7A9-49DC-8764-E4E9B3D53276}">
            <xm:f>'Refinanszírozási kérelem'!$AR$110:$BF$110="Nem kell kitölteni az Eredményterv fület"</xm:f>
            <x14:dxf>
              <fill>
                <patternFill patternType="gray0625"/>
              </fill>
            </x14:dxf>
          </x14:cfRule>
          <xm:sqref>C63</xm:sqref>
        </x14:conditionalFormatting>
        <x14:conditionalFormatting xmlns:xm="http://schemas.microsoft.com/office/excel/2006/main">
          <x14:cfRule type="expression" priority="32" id="{EC5AA938-48FA-4F60-A0BE-8D5712714126}">
            <xm:f>'Refinanszírozási kérelem'!$AR$110:$BF$110="Nem kell kitölteni az Eredményterv fület"</xm:f>
            <x14:dxf>
              <fill>
                <patternFill patternType="gray0625"/>
              </fill>
            </x14:dxf>
          </x14:cfRule>
          <xm:sqref>AM63</xm:sqref>
        </x14:conditionalFormatting>
        <x14:conditionalFormatting xmlns:xm="http://schemas.microsoft.com/office/excel/2006/main">
          <x14:cfRule type="expression" priority="21" id="{7BA54D8D-B862-43E0-8BD4-BA6B3EF2899C}">
            <xm:f>'Refinanszírozási kérelem'!$AR$110:$BF$110="Nem kell kitölteni az Eredményterv fület"</xm:f>
            <x14:dxf>
              <fill>
                <patternFill patternType="gray0625">
                  <fgColor auto="1"/>
                </patternFill>
              </fill>
            </x14:dxf>
          </x14:cfRule>
          <xm:sqref>AA63:AD63</xm:sqref>
        </x14:conditionalFormatting>
        <x14:conditionalFormatting xmlns:xm="http://schemas.microsoft.com/office/excel/2006/main">
          <x14:cfRule type="expression" priority="26" id="{4B27221E-C61E-4D04-9173-3BB6A4CB1557}">
            <xm:f>'Refinanszírozási kérelem'!$AR$110:$BF$110="Nem kell kitölteni az Eredményterv fület"</xm:f>
            <x14:dxf>
              <fill>
                <patternFill patternType="gray0625"/>
              </fill>
            </x14:dxf>
          </x14:cfRule>
          <xm:sqref>AA63</xm:sqref>
        </x14:conditionalFormatting>
        <x14:conditionalFormatting xmlns:xm="http://schemas.microsoft.com/office/excel/2006/main">
          <x14:cfRule type="expression" priority="20" id="{2125FA04-5AE9-4558-ABB5-FEECF51C85E1}">
            <xm:f>'Refinanszírozási kérelem'!$AR$110:$BF$110="Nem kell kitölteni az Eredményterv fület"</xm:f>
            <x14:dxf>
              <fill>
                <patternFill patternType="gray0625"/>
              </fill>
            </x14:dxf>
          </x14:cfRule>
          <xm:sqref>AE63</xm:sqref>
        </x14:conditionalFormatting>
        <x14:conditionalFormatting xmlns:xm="http://schemas.microsoft.com/office/excel/2006/main">
          <x14:cfRule type="expression" priority="6" id="{245F91B1-362F-43BE-B6C5-93B2076DE913}">
            <xm:f>'Refinanszírozási kérelem'!$AR$110:$BF$110="Nem kell kitölteni az Eredményterv fület"</xm:f>
            <x14:dxf>
              <font>
                <color auto="1"/>
              </font>
              <fill>
                <patternFill patternType="gray0625">
                  <fgColor auto="1"/>
                  <bgColor theme="0"/>
                </patternFill>
              </fill>
              <border>
                <left/>
                <right/>
                <top/>
                <bottom/>
                <vertical/>
                <horizontal/>
              </border>
            </x14:dxf>
          </x14:cfRule>
          <xm:sqref>D67:BF69 D73:BF94 D70:O70 D71:N72 AH70:BF70 O72 AH71:AO72</xm:sqref>
        </x14:conditionalFormatting>
        <x14:conditionalFormatting xmlns:xm="http://schemas.microsoft.com/office/excel/2006/main">
          <x14:cfRule type="expression" priority="3" id="{9F4E6931-BD8B-4F52-A6A4-EBC5C90E147B}">
            <xm:f>'Refinanszírozási kérelem'!$AR$110:$BF$110="Nem kell kitölteni az Eredményterv fület"</xm:f>
            <x14:dxf>
              <font>
                <u val="none"/>
                <color theme="0"/>
              </font>
              <fill>
                <patternFill patternType="gray0625">
                  <bgColor theme="0"/>
                </patternFill>
              </fill>
              <border>
                <left/>
                <right/>
                <top/>
                <bottom/>
                <vertical/>
                <horizontal/>
              </border>
            </x14:dxf>
          </x14:cfRule>
          <xm:sqref>C42:AP42 AA43:AH44 AS56:BS63</xm:sqref>
        </x14:conditionalFormatting>
        <x14:conditionalFormatting xmlns:xm="http://schemas.microsoft.com/office/excel/2006/main">
          <x14:cfRule type="expression" priority="2" id="{791F5F1F-DA67-4C8F-AD0B-137C7048FB5D}">
            <xm:f>'Refinanszírozási kérelem'!$AR$110:$BF$110="Nem kell kitölteni az Eredményterv fület"</xm:f>
            <x14:dxf>
              <font>
                <u val="none"/>
                <color theme="0"/>
              </font>
              <fill>
                <patternFill patternType="gray0625">
                  <fgColor auto="1"/>
                  <bgColor theme="0"/>
                </patternFill>
              </fill>
              <border>
                <left/>
                <right/>
                <top/>
                <bottom/>
                <vertical/>
                <horizontal/>
              </border>
            </x14:dxf>
          </x14:cfRule>
          <xm:sqref>AS42:BS55</xm:sqref>
        </x14:conditionalFormatting>
        <x14:conditionalFormatting xmlns:xm="http://schemas.microsoft.com/office/excel/2006/main">
          <x14:cfRule type="expression" priority="390" id="{8D1F932A-45EB-4C04-89A2-C2CD14A5F002}">
            <xm:f>'Refinanszírozási kérelem'!$AR$110:$BF$110="Nem kell kitölteni az Eredményterv fület"</xm:f>
            <x14:dxf>
              <font>
                <color theme="0"/>
              </font>
              <fill>
                <patternFill patternType="gray0625">
                  <fgColor auto="1"/>
                </patternFill>
              </fill>
            </x14:dxf>
          </x14:cfRule>
          <x14:cfRule type="expression" priority="391" id="{36D2CBF1-C006-4278-BAE8-9B324788C433}">
            <xm:f>OR('Refinanszírozási kérelem'!$BU$10&lt;&gt;4,'Refinanszírozási kérelem'!$BU$11&lt;&gt;5)</xm:f>
            <x14:dxf>
              <font>
                <color auto="1"/>
              </font>
              <fill>
                <patternFill>
                  <fgColor theme="0"/>
                  <bgColor theme="0"/>
                </patternFill>
              </fill>
              <border>
                <left/>
                <right/>
                <top/>
                <bottom/>
                <vertical/>
                <horizontal/>
              </border>
            </x14:dxf>
          </x14:cfRule>
          <xm:sqref>C42 C43:Z62 AI43:AP63 AA45:AH62 C63:AH63</xm:sqref>
        </x14:conditionalFormatting>
        <x14:conditionalFormatting xmlns:xm="http://schemas.microsoft.com/office/excel/2006/main">
          <x14:cfRule type="expression" priority="400" id="{6E445D0A-588F-4730-948B-BBCDD850A360}">
            <xm:f>OR(+'Refinanszírozási kérelem'!$BU$10&lt;&gt;4,+'Refinanszírozási kérelem'!$BU$11&lt;&gt;5)</xm:f>
            <x14:dxf>
              <font>
                <color auto="1"/>
              </font>
              <fill>
                <patternFill>
                  <fgColor theme="0"/>
                  <bgColor theme="0"/>
                </patternFill>
              </fill>
              <border>
                <left/>
                <right/>
                <top/>
                <bottom/>
                <vertical/>
                <horizontal/>
              </border>
            </x14:dxf>
          </x14:cfRule>
          <x14:cfRule type="expression" priority="401" id="{E6A868B7-FB94-4FBE-A6A3-7AB581EA33FA}">
            <xm:f>'Refinanszírozási kérelem'!$AR$110:$BF$110="Nem kell kitölteni az Eredményterv fület"</xm:f>
            <x14:dxf>
              <font>
                <u val="none"/>
                <color theme="0"/>
              </font>
              <fill>
                <patternFill patternType="gray0625">
                  <bgColor theme="0"/>
                </patternFill>
              </fill>
              <border>
                <left/>
                <right/>
                <top/>
                <bottom/>
              </border>
            </x14:dxf>
          </x14:cfRule>
          <xm:sqref>AA43:AH44</xm:sqref>
        </x14:conditionalFormatting>
        <x14:conditionalFormatting xmlns:xm="http://schemas.microsoft.com/office/excel/2006/main">
          <x14:cfRule type="expression" priority="402" id="{DC649E07-76BA-4EAB-84A5-BC82301089E1}">
            <xm:f>'Refinanszírozási kérelem'!$BU$10&lt;&gt;4</xm:f>
            <x14:dxf>
              <font>
                <u val="none"/>
                <color theme="0"/>
              </font>
              <fill>
                <patternFill>
                  <fgColor theme="0"/>
                  <bgColor theme="0"/>
                </patternFill>
              </fill>
              <border>
                <left/>
                <right/>
                <top/>
                <bottom/>
                <vertical/>
                <horizontal/>
              </border>
            </x14:dxf>
          </x14:cfRule>
          <x14:cfRule type="expression" priority="403" id="{B007EC96-9783-4B93-889A-3CC0CDABB2F6}">
            <xm:f>+'Refinanszírozási kérelem'!$AR$110:$BF$110="Nem kell kitölteni az Eredményterv fület"</xm:f>
            <x14:dxf>
              <font>
                <color theme="0"/>
              </font>
              <fill>
                <patternFill patternType="gray0625">
                  <fgColor auto="1"/>
                </patternFill>
              </fill>
              <border>
                <left/>
                <right/>
                <top/>
                <bottom/>
                <vertical/>
                <horizontal/>
              </border>
            </x14:dxf>
          </x14:cfRule>
          <xm:sqref>C42:AP42</xm:sqref>
        </x14:conditionalFormatting>
        <x14:conditionalFormatting xmlns:xm="http://schemas.microsoft.com/office/excel/2006/main">
          <x14:cfRule type="expression" priority="1" id="{BAFBE965-0CE4-4606-9D79-68F43A3AAD9F}">
            <xm:f>'Refinanszírozási kérelem'!$BU$7=1</xm:f>
            <x14:dxf>
              <font>
                <color theme="0"/>
              </font>
              <fill>
                <patternFill>
                  <fgColor theme="0"/>
                </patternFill>
              </fill>
              <border>
                <left/>
                <right/>
                <top/>
                <bottom/>
                <vertical/>
                <horizontal/>
              </border>
            </x14:dxf>
          </x14:cfRule>
          <xm:sqref>C42:BS64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11">
    <tabColor theme="3" tint="0.79998168889431442"/>
    <pageSetUpPr fitToPage="1"/>
  </sheetPr>
  <dimension ref="B1:U96"/>
  <sheetViews>
    <sheetView showGridLines="0" view="pageBreakPreview" topLeftCell="A4" zoomScale="80" zoomScaleNormal="70" zoomScaleSheetLayoutView="80" workbookViewId="0">
      <selection activeCell="D36" sqref="D36"/>
    </sheetView>
  </sheetViews>
  <sheetFormatPr baseColWidth="10" defaultColWidth="9.1640625" defaultRowHeight="13" x14ac:dyDescent="0.15"/>
  <cols>
    <col min="1" max="1" width="11.1640625" style="42" customWidth="1"/>
    <col min="2" max="2" width="87" style="42" customWidth="1"/>
    <col min="3" max="3" width="12.83203125" style="42" bestFit="1" customWidth="1"/>
    <col min="4" max="4" width="65.1640625" style="42" customWidth="1"/>
    <col min="5" max="5" width="15.5" style="42" customWidth="1"/>
    <col min="6" max="6" width="13.5" style="167" hidden="1" customWidth="1"/>
    <col min="7" max="7" width="33" style="130" hidden="1" customWidth="1"/>
    <col min="8" max="8" width="14.5" style="42" hidden="1" customWidth="1"/>
    <col min="9" max="9" width="20.6640625" style="42" hidden="1" customWidth="1"/>
    <col min="10" max="10" width="14.5" style="42" hidden="1" customWidth="1"/>
    <col min="11" max="11" width="19.5" style="42" hidden="1" customWidth="1"/>
    <col min="12" max="12" width="14.83203125" style="42" hidden="1" customWidth="1"/>
    <col min="13" max="13" width="16.5" style="42" hidden="1" customWidth="1"/>
    <col min="14" max="14" width="14.5" style="42" hidden="1" customWidth="1"/>
    <col min="15" max="15" width="18.5" style="42" hidden="1" customWidth="1"/>
    <col min="16" max="16" width="16.5" style="42" hidden="1" customWidth="1"/>
    <col min="17" max="21" width="9.1640625" style="42" hidden="1" customWidth="1"/>
    <col min="22" max="45" width="9.1640625" style="42" customWidth="1"/>
    <col min="46" max="16384" width="9.1640625" style="42"/>
  </cols>
  <sheetData>
    <row r="1" spans="2:16" ht="11.25" customHeight="1" x14ac:dyDescent="0.15"/>
    <row r="3" spans="2:16" ht="25.5" customHeight="1" x14ac:dyDescent="0.15">
      <c r="B3" s="1602" t="str">
        <f>+IF(Hitelprog_Rovid="","",Hitelprog_Rovid)</f>
        <v/>
      </c>
      <c r="C3" s="1602"/>
      <c r="D3" s="1602"/>
      <c r="E3" s="1602"/>
    </row>
    <row r="4" spans="2:16" ht="20" x14ac:dyDescent="0.2">
      <c r="G4" s="1586" t="s">
        <v>530</v>
      </c>
      <c r="H4" s="1587"/>
      <c r="I4" s="1587"/>
      <c r="J4" s="1587"/>
      <c r="K4" s="1587"/>
      <c r="L4" s="1587"/>
      <c r="M4" s="1587"/>
      <c r="N4" s="1587"/>
      <c r="O4" s="1587"/>
      <c r="P4" s="1588"/>
    </row>
    <row r="5" spans="2:16" x14ac:dyDescent="0.15">
      <c r="G5" s="942"/>
      <c r="H5" s="54"/>
      <c r="I5" s="54"/>
      <c r="J5" s="54"/>
      <c r="K5" s="54"/>
      <c r="L5" s="54"/>
      <c r="M5" s="54"/>
      <c r="N5" s="54"/>
      <c r="O5" s="54"/>
      <c r="P5" s="406"/>
    </row>
    <row r="6" spans="2:16" ht="14" thickBot="1" x14ac:dyDescent="0.2">
      <c r="B6" s="1589"/>
      <c r="C6" s="1589"/>
      <c r="D6" s="1589"/>
      <c r="E6" s="1589"/>
      <c r="F6" s="417"/>
      <c r="G6" s="942"/>
      <c r="H6" s="54"/>
      <c r="I6" s="54"/>
      <c r="J6" s="54"/>
      <c r="K6" s="54"/>
      <c r="L6" s="54"/>
      <c r="M6" s="54"/>
      <c r="N6" s="54"/>
      <c r="O6" s="54"/>
      <c r="P6" s="406"/>
    </row>
    <row r="7" spans="2:16" ht="19" thickBot="1" x14ac:dyDescent="0.2">
      <c r="B7" s="1490" t="s">
        <v>994</v>
      </c>
      <c r="C7" s="1491"/>
      <c r="D7" s="1491"/>
      <c r="E7" s="1492"/>
      <c r="F7" s="418"/>
      <c r="G7" s="942"/>
      <c r="H7" s="54"/>
      <c r="I7" s="54"/>
      <c r="J7" s="54"/>
      <c r="K7" s="54"/>
      <c r="L7" s="54"/>
      <c r="M7" s="54"/>
      <c r="N7" s="54"/>
      <c r="O7" s="54"/>
      <c r="P7" s="406"/>
    </row>
    <row r="8" spans="2:16" ht="43.5" customHeight="1" thickBot="1" x14ac:dyDescent="0.2">
      <c r="B8" s="1595" t="e">
        <f>IF(bejelentesihatarell="",intesdeminell,IF(intesdeminell="megfelelt",bejelentesihatarell,bejelentesihatarell &amp; intesdeminell))</f>
        <v>#N/A</v>
      </c>
      <c r="C8" s="1596"/>
      <c r="D8" s="1596"/>
      <c r="E8" s="1597"/>
      <c r="F8" s="419"/>
      <c r="G8" s="942" t="e">
        <f>TRIM(IF( G9&gt;"",G9,u_1&amp;" " &amp;U_2 &amp; " " &amp;u_3 &amp; " " &amp;u_4 &amp; " " &amp;u_5 &amp; " " &amp;u_6 &amp; " " &amp;u_7 &amp; " " &amp;U_8 &amp; " " &amp;U_9&amp; " " &amp; I8))</f>
        <v>#N/A</v>
      </c>
      <c r="H8" s="54" t="s">
        <v>240</v>
      </c>
      <c r="I8" s="54" t="str">
        <f>LEFT(C11&amp;C13&amp;C15&amp;C20&amp;C21&amp;C24&amp;C25&amp;C28&amp;C29&amp;C40&amp;C41&amp;C42&amp;C44&amp;C45&amp;C46&amp;C47&amp;C48&amp;C49&amp;C50&amp;C51&amp;C52&amp;C53&amp;C43&amp;C54&amp;C55&amp;C56&amp;C57,15)</f>
        <v>Ki kell tölteni</v>
      </c>
      <c r="J8" s="1590" t="s">
        <v>447</v>
      </c>
      <c r="K8" s="1591"/>
      <c r="L8" s="1591"/>
      <c r="M8" s="1591"/>
      <c r="N8" s="1591"/>
      <c r="O8" s="1591"/>
      <c r="P8" s="1592"/>
    </row>
    <row r="9" spans="2:16" ht="17.25" customHeight="1" x14ac:dyDescent="0.15">
      <c r="B9" s="360"/>
      <c r="C9" s="361"/>
      <c r="D9" s="361"/>
      <c r="E9" s="362"/>
      <c r="F9" s="238"/>
      <c r="G9" s="943" t="e">
        <f>HLOOKUP(Tamogatasi_kategoria,G31:O33,3,FALSE)</f>
        <v>#N/A</v>
      </c>
      <c r="H9" s="54" t="s">
        <v>239</v>
      </c>
      <c r="I9" s="54"/>
      <c r="J9" s="131"/>
      <c r="K9" s="132"/>
      <c r="L9" s="132"/>
      <c r="M9" s="133" t="s">
        <v>448</v>
      </c>
      <c r="N9" s="134" t="s">
        <v>449</v>
      </c>
      <c r="O9" s="133" t="s">
        <v>450</v>
      </c>
      <c r="P9" s="133" t="s">
        <v>451</v>
      </c>
    </row>
    <row r="10" spans="2:16" ht="53.25" customHeight="1" x14ac:dyDescent="0.15">
      <c r="B10" s="1598" t="s">
        <v>277</v>
      </c>
      <c r="C10" s="1599"/>
      <c r="D10" s="363"/>
      <c r="E10" s="364"/>
      <c r="F10" s="238"/>
      <c r="G10" s="944" t="e">
        <f>+LEFT(IF(G8="","Megfelelt",G8),200)</f>
        <v>#N/A</v>
      </c>
      <c r="H10" s="54"/>
      <c r="I10" s="54"/>
      <c r="J10" s="135" t="s">
        <v>452</v>
      </c>
      <c r="K10" s="136" t="str">
        <f>IF(K13="","",IF(M16&lt;50000000,K13*K15,K13*(K15+0.5*K16)))</f>
        <v/>
      </c>
      <c r="L10" s="74"/>
      <c r="M10" s="67" t="str">
        <f>IF(TT_kategoria="regionális beruházási támogatás",rebtamint-REBössz,"")</f>
        <v/>
      </c>
      <c r="N10" s="137" t="str">
        <f>IF(TT_kategoria="KKV-knak nyújtott beruházási támogatás",7500000-KBTössz,"")</f>
        <v/>
      </c>
      <c r="O10" s="138" t="str">
        <f>IF(TT_kategoria="elsődleges mezőgazdasági termeléshez kapcsolódó támogatás",500000-MGEössz,"")</f>
        <v/>
      </c>
      <c r="P10" s="138" t="str">
        <f>IF(TT_kategoria="mezőgazdasági termékek feldolgozásának, forgalmazásának támogatása",7500000-MGFössz,"")</f>
        <v/>
      </c>
    </row>
    <row r="11" spans="2:16" ht="14" x14ac:dyDescent="0.15">
      <c r="B11" s="372" t="s">
        <v>112</v>
      </c>
      <c r="C11" s="51" t="str">
        <f>IF(ISBLANK(cs_k),"Ki kell tölteni","")</f>
        <v>Ki kell tölteni</v>
      </c>
      <c r="D11" s="980"/>
      <c r="E11" s="975" t="s">
        <v>0</v>
      </c>
      <c r="F11" s="413"/>
      <c r="G11" s="945" t="str">
        <f>+IF(OR(felhaszntamkeretregber&lt;0,felhaszntamkeretkbt&lt;0,felhaszntamkeretmge&lt;0,felhaszntamkeretmgf&lt;0),"A támogatás összegét csökkenteni kell, vagy az egyedi támogatást az EU felé be kell jelenteni!","")</f>
        <v/>
      </c>
      <c r="H11" s="54"/>
      <c r="I11" s="54"/>
      <c r="J11" s="139"/>
      <c r="K11" s="74"/>
      <c r="L11" s="74"/>
      <c r="M11" s="71"/>
      <c r="N11" s="140"/>
      <c r="O11" s="71"/>
      <c r="P11" s="71"/>
    </row>
    <row r="12" spans="2:16" x14ac:dyDescent="0.15">
      <c r="B12" s="365"/>
      <c r="C12" s="50"/>
      <c r="D12" s="970"/>
      <c r="E12" s="366"/>
      <c r="F12" s="413"/>
      <c r="G12" s="945"/>
      <c r="H12" s="54"/>
      <c r="I12" s="54"/>
      <c r="J12" s="139"/>
      <c r="K12" s="74"/>
      <c r="L12" s="74"/>
      <c r="M12" s="71"/>
      <c r="N12" s="140"/>
      <c r="O12" s="71"/>
      <c r="P12" s="71"/>
    </row>
    <row r="13" spans="2:16" ht="14" x14ac:dyDescent="0.15">
      <c r="B13" s="365" t="s">
        <v>113</v>
      </c>
      <c r="C13" s="50" t="str">
        <f>IF(ISBLANK(mcs_k),"Ki kell tölteni","")</f>
        <v>Ki kell tölteni</v>
      </c>
      <c r="D13" s="980"/>
      <c r="E13" s="366" t="s">
        <v>0</v>
      </c>
      <c r="F13" s="413"/>
      <c r="G13" s="942"/>
      <c r="H13" s="54"/>
      <c r="I13" s="54"/>
      <c r="J13" s="139" t="s">
        <v>453</v>
      </c>
      <c r="K13" s="141" t="str">
        <f>IF(I13="","",VLOOKUP(I13,[3]Segédtáblákk!C:D,2,FALSE))</f>
        <v/>
      </c>
      <c r="L13" s="74"/>
      <c r="M13" s="71"/>
      <c r="N13" s="140"/>
      <c r="O13" s="71"/>
      <c r="P13" s="71"/>
    </row>
    <row r="14" spans="2:16" x14ac:dyDescent="0.15">
      <c r="B14" s="365"/>
      <c r="C14" s="50"/>
      <c r="D14" s="970"/>
      <c r="E14" s="366"/>
      <c r="F14" s="413"/>
      <c r="G14" s="942"/>
      <c r="H14" s="54"/>
      <c r="I14" s="54"/>
      <c r="J14" s="139"/>
      <c r="K14" s="141"/>
      <c r="L14" s="74"/>
      <c r="M14" s="71"/>
      <c r="N14" s="140"/>
      <c r="O14" s="71"/>
      <c r="P14" s="71"/>
    </row>
    <row r="15" spans="2:16" ht="14" x14ac:dyDescent="0.15">
      <c r="B15" s="365" t="s">
        <v>254</v>
      </c>
      <c r="C15" s="50" t="str">
        <f>IF(ISBLANK(hcs_k),"Ki kell tölteni","")</f>
        <v>Ki kell tölteni</v>
      </c>
      <c r="D15" s="980"/>
      <c r="E15" s="366" t="s">
        <v>0</v>
      </c>
      <c r="F15" s="413"/>
      <c r="G15" s="942"/>
      <c r="H15" s="54"/>
      <c r="I15" s="54"/>
      <c r="J15" s="139" t="s">
        <v>454</v>
      </c>
      <c r="K15" s="136">
        <f>IF(Elszamolhato_kg/MNBarf&gt;=50000000,50000000,Elszamolhato_kg/MNBarf)</f>
        <v>0</v>
      </c>
      <c r="L15" s="136"/>
      <c r="M15" s="71"/>
      <c r="N15" s="140"/>
      <c r="O15" s="71"/>
      <c r="P15" s="71"/>
    </row>
    <row r="16" spans="2:16" x14ac:dyDescent="0.15">
      <c r="B16" s="367"/>
      <c r="C16" s="52"/>
      <c r="D16" s="976"/>
      <c r="E16" s="368"/>
      <c r="F16" s="414"/>
      <c r="G16" s="942"/>
      <c r="H16" s="54"/>
      <c r="I16" s="54"/>
      <c r="J16" s="139" t="s">
        <v>455</v>
      </c>
      <c r="K16" s="136" t="str">
        <f>IF(Elszamolhato_kg/MNBarf&lt;50000000,"",IF(Elszamolhato_kg/MNBarf&gt;100000000,50000000,(Elszamolhato_kg/MNBarf)-50000000))</f>
        <v/>
      </c>
      <c r="L16" s="142"/>
      <c r="M16" s="143">
        <f>Elszamolhato_kg/MNBarf</f>
        <v>0</v>
      </c>
      <c r="N16" s="140"/>
      <c r="O16" s="71"/>
      <c r="P16" s="71"/>
    </row>
    <row r="17" spans="2:21" ht="29" thickBot="1" x14ac:dyDescent="0.2">
      <c r="B17" s="974" t="s">
        <v>279</v>
      </c>
      <c r="C17" s="971"/>
      <c r="D17" s="972"/>
      <c r="E17" s="973"/>
      <c r="F17" s="414"/>
      <c r="G17" s="942"/>
      <c r="H17" s="54"/>
      <c r="I17" s="54"/>
      <c r="J17" s="144" t="s">
        <v>456</v>
      </c>
      <c r="K17" s="145" t="str">
        <f>IF(Elszamolhato_kg/MNBarf&gt;=100000000,Elszamolhato_kg/MNBarf-100000000,"")</f>
        <v/>
      </c>
      <c r="L17" s="146"/>
      <c r="M17" s="147"/>
      <c r="N17" s="148"/>
      <c r="O17" s="149"/>
      <c r="P17" s="149"/>
    </row>
    <row r="18" spans="2:21" ht="14" x14ac:dyDescent="0.15">
      <c r="B18" s="372" t="s">
        <v>255</v>
      </c>
      <c r="C18" s="51"/>
      <c r="D18" s="980"/>
      <c r="E18" s="373" t="s">
        <v>0</v>
      </c>
      <c r="F18" s="414"/>
      <c r="G18" s="942"/>
      <c r="H18" s="54"/>
      <c r="I18" s="54"/>
      <c r="J18" s="54"/>
      <c r="K18" s="54"/>
      <c r="L18" s="54"/>
      <c r="M18" s="54"/>
      <c r="N18" s="54"/>
      <c r="O18" s="54"/>
      <c r="P18" s="406"/>
    </row>
    <row r="19" spans="2:21" ht="14" x14ac:dyDescent="0.15">
      <c r="B19" s="365" t="s">
        <v>255</v>
      </c>
      <c r="C19" s="50"/>
      <c r="D19" s="980"/>
      <c r="E19" s="375" t="s">
        <v>162</v>
      </c>
      <c r="F19" s="414"/>
      <c r="G19" s="942"/>
      <c r="H19" s="54"/>
      <c r="I19" s="54"/>
      <c r="J19" s="54"/>
      <c r="K19" s="54"/>
      <c r="L19" s="54"/>
      <c r="M19" s="54"/>
      <c r="N19" s="54"/>
      <c r="O19" s="54"/>
      <c r="P19" s="406"/>
    </row>
    <row r="20" spans="2:21" x14ac:dyDescent="0.15">
      <c r="B20" s="374" t="s">
        <v>256</v>
      </c>
      <c r="C20" s="50" t="str">
        <f>IF(ISBLANK(D18),"",IF(ISBLANK(D20),"Választani kell",""))</f>
        <v/>
      </c>
      <c r="D20" s="56"/>
      <c r="E20" s="375"/>
      <c r="F20" s="414"/>
      <c r="G20" s="942"/>
      <c r="H20" s="54"/>
      <c r="I20" s="54"/>
      <c r="J20" s="54"/>
      <c r="K20" s="54"/>
      <c r="L20" s="54"/>
      <c r="M20" s="54"/>
      <c r="N20" s="54"/>
      <c r="O20" s="54"/>
      <c r="P20" s="406"/>
      <c r="U20" s="42" t="s">
        <v>1043</v>
      </c>
    </row>
    <row r="21" spans="2:21" ht="14" x14ac:dyDescent="0.15">
      <c r="B21" s="367" t="s">
        <v>257</v>
      </c>
      <c r="C21" s="52" t="str">
        <f>IF(ISBLANK(D18),"",IF(ISBLANK(D21),"Választani kell",""))</f>
        <v/>
      </c>
      <c r="D21" s="57"/>
      <c r="E21" s="376"/>
      <c r="F21" s="414"/>
      <c r="G21" s="942"/>
      <c r="H21" s="54"/>
      <c r="I21" s="54"/>
      <c r="J21" s="54"/>
      <c r="K21" s="54"/>
      <c r="L21" s="54"/>
      <c r="M21" s="54"/>
      <c r="N21" s="54"/>
      <c r="O21" s="54"/>
      <c r="P21" s="406"/>
    </row>
    <row r="22" spans="2:21" ht="14" x14ac:dyDescent="0.15">
      <c r="B22" s="372" t="s">
        <v>258</v>
      </c>
      <c r="C22" s="51"/>
      <c r="D22" s="980"/>
      <c r="E22" s="373" t="s">
        <v>0</v>
      </c>
      <c r="F22" s="414"/>
      <c r="G22" s="942"/>
      <c r="H22" s="54"/>
      <c r="I22" s="54"/>
      <c r="J22" s="54"/>
      <c r="K22" s="54"/>
      <c r="L22" s="54"/>
      <c r="M22" s="54"/>
      <c r="N22" s="54"/>
      <c r="O22" s="54"/>
      <c r="P22" s="406"/>
    </row>
    <row r="23" spans="2:21" ht="14" x14ac:dyDescent="0.15">
      <c r="B23" s="365" t="s">
        <v>258</v>
      </c>
      <c r="C23" s="50"/>
      <c r="D23" s="980"/>
      <c r="E23" s="375" t="s">
        <v>162</v>
      </c>
      <c r="F23" s="414"/>
      <c r="G23" s="942"/>
      <c r="H23" s="54"/>
      <c r="I23" s="54"/>
      <c r="J23" s="54"/>
      <c r="K23" s="54"/>
      <c r="L23" s="54"/>
      <c r="M23" s="54"/>
      <c r="N23" s="54"/>
      <c r="O23" s="54"/>
      <c r="P23" s="406"/>
    </row>
    <row r="24" spans="2:21" x14ac:dyDescent="0.15">
      <c r="B24" s="374" t="s">
        <v>259</v>
      </c>
      <c r="C24" s="50" t="str">
        <f>IF(ISBLANK(D22),"",IF(ISBLANK(D24),"Választani kell",""))</f>
        <v/>
      </c>
      <c r="D24" s="58"/>
      <c r="E24" s="375"/>
      <c r="F24" s="414"/>
      <c r="G24" s="942"/>
      <c r="H24" s="54"/>
      <c r="I24" s="54"/>
      <c r="J24" s="54"/>
      <c r="K24" s="54"/>
      <c r="L24" s="54"/>
      <c r="M24" s="54"/>
      <c r="N24" s="54"/>
      <c r="O24" s="54"/>
      <c r="P24" s="406"/>
    </row>
    <row r="25" spans="2:21" ht="18" customHeight="1" x14ac:dyDescent="0.15">
      <c r="B25" s="367" t="s">
        <v>260</v>
      </c>
      <c r="C25" s="52" t="str">
        <f>IF(ISBLANK(D22),"",IF(ISBLANK(D25),"Választani kell",""))</f>
        <v/>
      </c>
      <c r="D25" s="57"/>
      <c r="E25" s="376"/>
      <c r="F25" s="414"/>
      <c r="G25" s="942"/>
      <c r="H25" s="54"/>
      <c r="I25" s="54"/>
      <c r="J25" s="54"/>
      <c r="K25" s="54"/>
      <c r="L25" s="54"/>
      <c r="M25" s="54"/>
      <c r="N25" s="54"/>
      <c r="O25" s="54"/>
      <c r="P25" s="406"/>
    </row>
    <row r="26" spans="2:21" ht="14" x14ac:dyDescent="0.15">
      <c r="B26" s="365" t="s">
        <v>261</v>
      </c>
      <c r="C26" s="50"/>
      <c r="D26" s="981"/>
      <c r="E26" s="375" t="s">
        <v>0</v>
      </c>
      <c r="F26" s="414"/>
      <c r="G26" s="942"/>
      <c r="H26" s="54"/>
      <c r="I26" s="54"/>
      <c r="J26" s="54"/>
      <c r="K26" s="54"/>
      <c r="L26" s="54"/>
      <c r="M26" s="54"/>
      <c r="N26" s="54"/>
      <c r="O26" s="54"/>
      <c r="P26" s="406"/>
    </row>
    <row r="27" spans="2:21" ht="14" x14ac:dyDescent="0.15">
      <c r="B27" s="365" t="s">
        <v>261</v>
      </c>
      <c r="C27" s="50"/>
      <c r="D27" s="980"/>
      <c r="E27" s="375" t="s">
        <v>162</v>
      </c>
      <c r="F27" s="414"/>
      <c r="G27" s="942"/>
      <c r="H27" s="54"/>
      <c r="I27" s="54"/>
      <c r="J27" s="54"/>
      <c r="K27" s="54"/>
      <c r="L27" s="54"/>
      <c r="M27" s="54"/>
      <c r="N27" s="54"/>
      <c r="O27" s="54"/>
      <c r="P27" s="406"/>
    </row>
    <row r="28" spans="2:21" x14ac:dyDescent="0.15">
      <c r="B28" s="374" t="s">
        <v>262</v>
      </c>
      <c r="C28" s="50" t="str">
        <f>IF(ISBLANK(D26),"",IF(ISBLANK(D28),"Választani kell",""))</f>
        <v/>
      </c>
      <c r="D28" s="58"/>
      <c r="E28" s="375"/>
      <c r="F28" s="414"/>
      <c r="G28" s="942"/>
      <c r="H28" s="54"/>
      <c r="I28" s="54"/>
      <c r="J28" s="54"/>
      <c r="K28" s="54"/>
      <c r="L28" s="54"/>
      <c r="M28" s="54"/>
      <c r="N28" s="54"/>
      <c r="O28" s="54"/>
      <c r="P28" s="406"/>
    </row>
    <row r="29" spans="2:21" s="49" customFormat="1" ht="14" x14ac:dyDescent="0.15">
      <c r="B29" s="367" t="s">
        <v>263</v>
      </c>
      <c r="C29" s="52" t="str">
        <f>IF(ISBLANK(D26),"",IF(ISBLANK(D29),"Választani kell",""))</f>
        <v/>
      </c>
      <c r="D29" s="57"/>
      <c r="E29" s="376"/>
      <c r="F29" s="414"/>
      <c r="G29" s="946"/>
      <c r="H29" s="48"/>
      <c r="I29" s="48"/>
      <c r="J29" s="48"/>
      <c r="K29" s="48"/>
      <c r="L29" s="48"/>
      <c r="M29" s="48"/>
      <c r="N29" s="48"/>
      <c r="O29" s="48"/>
      <c r="P29" s="396"/>
    </row>
    <row r="30" spans="2:21" s="150" customFormat="1" ht="16.5" customHeight="1" x14ac:dyDescent="0.15">
      <c r="B30" s="369"/>
      <c r="C30" s="370"/>
      <c r="D30" s="377"/>
      <c r="E30" s="371"/>
      <c r="F30" s="414"/>
      <c r="G30" s="947"/>
      <c r="H30" s="948"/>
      <c r="I30" s="948"/>
      <c r="J30" s="948"/>
      <c r="K30" s="948"/>
      <c r="L30" s="948"/>
      <c r="M30" s="948"/>
      <c r="N30" s="948"/>
      <c r="O30" s="948"/>
      <c r="P30" s="949"/>
    </row>
    <row r="31" spans="2:21" ht="84" x14ac:dyDescent="0.15">
      <c r="B31" s="378" t="s">
        <v>233</v>
      </c>
      <c r="C31" s="379"/>
      <c r="D31" s="380"/>
      <c r="E31" s="381"/>
      <c r="F31" s="414"/>
      <c r="G31" s="950" t="s">
        <v>112</v>
      </c>
      <c r="H31" s="951" t="s">
        <v>113</v>
      </c>
      <c r="I31" s="951" t="s">
        <v>228</v>
      </c>
      <c r="J31" s="951" t="s">
        <v>94</v>
      </c>
      <c r="K31" s="951" t="s">
        <v>114</v>
      </c>
      <c r="L31" s="951" t="s">
        <v>115</v>
      </c>
      <c r="M31" s="951" t="s">
        <v>126</v>
      </c>
      <c r="N31" s="951" t="s">
        <v>127</v>
      </c>
      <c r="O31" s="951" t="s">
        <v>128</v>
      </c>
      <c r="P31" s="952"/>
    </row>
    <row r="32" spans="2:21" x14ac:dyDescent="0.15">
      <c r="B32" s="382" t="s">
        <v>6</v>
      </c>
      <c r="C32" s="51"/>
      <c r="D32" s="1079">
        <f>RefinKolcsonOsszege</f>
        <v>0</v>
      </c>
      <c r="E32" s="373" t="str">
        <f>T(devizanem)</f>
        <v/>
      </c>
      <c r="F32" s="415"/>
      <c r="G32" s="942">
        <f>IF(Tamogatasi_kategoria=C_L,TT_EUR,0)</f>
        <v>0</v>
      </c>
      <c r="H32" s="953">
        <f>IF(Tamogatasi_kategoria=C_M,TT_EUR,0)</f>
        <v>0</v>
      </c>
      <c r="I32" s="953">
        <f>IF(Tamogatasi_kategoria=C_N,TT_EUR,0)</f>
        <v>0</v>
      </c>
      <c r="J32" s="953">
        <f>IF(Tamogatasi_kategoria=C_O,TT_EUR,0)</f>
        <v>0</v>
      </c>
      <c r="K32" s="953">
        <f>IF(Tamogatasi_kategoria=C_P,TT_EUR,0)</f>
        <v>0</v>
      </c>
      <c r="L32" s="953">
        <f>IF(Tamogatasi_kategoria=C_Q,TT_EUR,0)</f>
        <v>0</v>
      </c>
      <c r="M32" s="953">
        <f>IF(Tamogatasi_kategoria=C_R,TT_EUR,0)</f>
        <v>0</v>
      </c>
      <c r="N32" s="953">
        <f>IF(Tamogatasi_kategoria=C_S,TT_EUR,0)</f>
        <v>0</v>
      </c>
      <c r="O32" s="953">
        <f>IF(Tamogatasi_kategoria=C_T,TT_EUR,0)</f>
        <v>0</v>
      </c>
      <c r="P32" s="406"/>
    </row>
    <row r="33" spans="2:16" s="151" customFormat="1" ht="15.75" customHeight="1" x14ac:dyDescent="0.15">
      <c r="B33" s="383" t="s">
        <v>230</v>
      </c>
      <c r="C33" s="45"/>
      <c r="D33" s="1080" t="e">
        <f>'Cashflow, Támogatástartalom'!TT_HUF</f>
        <v>#VALUE!</v>
      </c>
      <c r="E33" s="384" t="s">
        <v>7</v>
      </c>
      <c r="F33" s="416"/>
      <c r="G33" s="954" t="str">
        <f>IF(cs_ossz&lt;=IF(OR(D43="Nem",D43=""),200000,100000),"","Az Ön által megadott adatok alapján nem áll rendelkezésre elegendő nagyságú támogatási keret. ")</f>
        <v/>
      </c>
      <c r="H33" s="955" t="str">
        <f>IF(mcs_ossz&lt;=15000,"","Az Ön által megadott adatok alapján nem áll rendelkezésre elegendő nagyságú támogatási keret.")</f>
        <v/>
      </c>
      <c r="I33" s="956" t="e">
        <f>IF(AND(I46&gt;0,TamInt&gt;I47),"Az Ön által megadott adatok alapján a beruházás összesített támogatás intenzitása meghaladja a jogszabályokban foglalt maximális mértéket.","")</f>
        <v>#VALUE!</v>
      </c>
      <c r="J33" s="956" t="e">
        <f>IF(AND(J46&gt;0,TamInt&gt;J47),"Az Ön által megadott adatok alapján a beruházás összesített támogatás intenzitása meghaladja a jogszabályokban foglalt maximális mértéket.","")</f>
        <v>#VALUE!</v>
      </c>
      <c r="K33" s="955" t="e">
        <f>IF(AND(K46&gt;0,TamInt&gt;K47),"Az Ön által megadott adatok alapján a beruházás összesített támogatás intenzitása meghaladja a jogszabályokban foglalt maximális mértéket.","")</f>
        <v>#VALUE!</v>
      </c>
      <c r="L33" s="955" t="e">
        <f>IF(AND(L46&gt;0,TamInt&gt;L47),"Az Ön által megadott adatok alapján a beruházás összesített támogatás intenzitása meghaladja a jogszabályokban foglalt maximális mértéket.","")</f>
        <v>#VALUE!</v>
      </c>
      <c r="M33" s="955" t="str">
        <f>IF(hcs_ossz&lt;=30000,"","Az Ön által megadott adatok alapján nem áll rendelkezésre elegendő nagyságú támogatási keret.")</f>
        <v/>
      </c>
      <c r="N33" s="956" t="e">
        <f>IF(AND(N46&gt;0,TamInt&gt;N47),"Az Ön által megadott adatok alapján a beruházás összesített támogatás intenzitása meghaladja a jogszabályokban foglalt maximális mértéket.","")</f>
        <v>#VALUE!</v>
      </c>
      <c r="O33" s="956" t="e">
        <f>IF(AND(O46&gt;0,TamInt&gt;O47),"Az Ön által megadott adatok alapján a beruházás összesített támogatás intenzitása meghaladja a jogszabályokban foglalt maximális mértéket.","")</f>
        <v>#VALUE!</v>
      </c>
      <c r="P33" s="957"/>
    </row>
    <row r="34" spans="2:16" x14ac:dyDescent="0.15">
      <c r="B34" s="383" t="s">
        <v>231</v>
      </c>
      <c r="C34" s="46"/>
      <c r="D34" s="1081" t="e">
        <f>TT_Euro</f>
        <v>#VALUE!</v>
      </c>
      <c r="E34" s="384" t="s">
        <v>0</v>
      </c>
      <c r="F34" s="416"/>
      <c r="G34" s="942"/>
      <c r="H34" s="54"/>
      <c r="I34" s="958"/>
      <c r="J34" s="958"/>
      <c r="K34" s="54"/>
      <c r="L34" s="54"/>
      <c r="M34" s="54"/>
      <c r="N34" s="54"/>
      <c r="O34" s="54"/>
      <c r="P34" s="406"/>
    </row>
    <row r="35" spans="2:16" x14ac:dyDescent="0.15">
      <c r="B35" s="385" t="s">
        <v>101</v>
      </c>
      <c r="C35" s="50" t="str">
        <f>IF(ISBLANK(D35),"Ki kell tölteni","")</f>
        <v/>
      </c>
      <c r="D35" s="1082">
        <f>nettopenzigeny</f>
        <v>0</v>
      </c>
      <c r="E35" s="386" t="s">
        <v>7</v>
      </c>
      <c r="F35" s="415"/>
      <c r="G35" s="942"/>
      <c r="H35" s="953"/>
      <c r="I35" s="953"/>
      <c r="J35" s="953"/>
      <c r="K35" s="54"/>
      <c r="L35" s="54"/>
      <c r="M35" s="54"/>
      <c r="N35" s="54"/>
      <c r="O35" s="54"/>
      <c r="P35" s="406"/>
    </row>
    <row r="36" spans="2:16" x14ac:dyDescent="0.15">
      <c r="B36" s="387" t="s">
        <v>98</v>
      </c>
      <c r="C36" s="388"/>
      <c r="D36" s="1083" t="e">
        <f>(TT_EUR+TamOsszeg1+TamOsszeg2+TamOsszeg3)/IF(Alprogram="Patika Hitelprogram",RefinKolcsonOsszege,(Elszamolhato_kg/MNBarf))</f>
        <v>#VALUE!</v>
      </c>
      <c r="E36" s="389"/>
      <c r="F36" s="415"/>
      <c r="G36" s="942"/>
      <c r="H36" s="953"/>
      <c r="I36" s="953"/>
      <c r="J36" s="953"/>
      <c r="K36" s="54"/>
      <c r="L36" s="54"/>
      <c r="M36" s="54"/>
      <c r="N36" s="54"/>
      <c r="O36" s="54"/>
      <c r="P36" s="406"/>
    </row>
    <row r="37" spans="2:16" x14ac:dyDescent="0.15">
      <c r="B37" s="369"/>
      <c r="C37" s="370"/>
      <c r="D37" s="377"/>
      <c r="E37" s="371"/>
      <c r="F37" s="414"/>
      <c r="G37" s="942"/>
      <c r="H37" s="953"/>
      <c r="I37" s="953"/>
      <c r="J37" s="953"/>
      <c r="K37" s="54"/>
      <c r="L37" s="54"/>
      <c r="M37" s="54"/>
      <c r="N37" s="54"/>
      <c r="O37" s="54"/>
      <c r="P37" s="406"/>
    </row>
    <row r="38" spans="2:16" ht="14" x14ac:dyDescent="0.15">
      <c r="B38" s="390" t="s">
        <v>234</v>
      </c>
      <c r="C38" s="391"/>
      <c r="D38" s="392"/>
      <c r="E38" s="393"/>
      <c r="F38" s="414"/>
      <c r="G38" s="942">
        <f>IF(kateg1=C_L,TamOsszeg1,0)</f>
        <v>0</v>
      </c>
      <c r="H38" s="953">
        <f>IF(kateg1=C_M,TamOsszeg1,0)</f>
        <v>0</v>
      </c>
      <c r="I38" s="953">
        <f>IF(kateg1=C_N,TamOsszeg1,0)</f>
        <v>0</v>
      </c>
      <c r="J38" s="953">
        <f>IF(kateg1=C_O,TamOsszeg1,0)</f>
        <v>0</v>
      </c>
      <c r="K38" s="953">
        <f>IF(kateg1=C_P,TamOsszeg1,0)</f>
        <v>0</v>
      </c>
      <c r="L38" s="953">
        <f>IF(kateg1=C_Q,TamOsszeg1,0)</f>
        <v>0</v>
      </c>
      <c r="M38" s="953">
        <f>IF(kateg1=C_R,TamOsszeg1,0)</f>
        <v>0</v>
      </c>
      <c r="N38" s="953">
        <f>IF(kateg1=C_S,TamOsszeg1,0)</f>
        <v>0</v>
      </c>
      <c r="O38" s="953">
        <f>IF(kateg1=C_T,TamOsszeg1,0)</f>
        <v>0</v>
      </c>
      <c r="P38" s="406"/>
    </row>
    <row r="39" spans="2:16" ht="14" x14ac:dyDescent="0.15">
      <c r="B39" s="394" t="s">
        <v>232</v>
      </c>
      <c r="C39" s="53" t="str">
        <f>IF(ISBLANK(Tamogatasi_kategoria),"Választani kell","")</f>
        <v/>
      </c>
      <c r="D39" s="55" t="str">
        <f>TT_kategoria</f>
        <v>kitöltendő legördülő cella</v>
      </c>
      <c r="E39" s="395"/>
      <c r="F39" s="414"/>
      <c r="G39" s="942"/>
      <c r="H39" s="953"/>
      <c r="I39" s="953"/>
      <c r="J39" s="953"/>
      <c r="K39" s="953"/>
      <c r="L39" s="953"/>
      <c r="M39" s="54"/>
      <c r="N39" s="54"/>
      <c r="O39" s="54"/>
      <c r="P39" s="406"/>
    </row>
    <row r="40" spans="2:16" x14ac:dyDescent="0.15">
      <c r="B40" s="394" t="s">
        <v>280</v>
      </c>
      <c r="C40" s="53" t="str">
        <f>IF(AND(B40="A vállalkozás mérete",ISBLANK(D40)),"Választani kell","")</f>
        <v>Választani kell</v>
      </c>
      <c r="D40" s="47"/>
      <c r="E40" s="395"/>
      <c r="F40" s="414"/>
      <c r="G40" s="942"/>
      <c r="H40" s="953"/>
      <c r="I40" s="953"/>
      <c r="J40" s="953"/>
      <c r="K40" s="953"/>
      <c r="L40" s="953"/>
      <c r="M40" s="54"/>
      <c r="N40" s="54"/>
      <c r="O40" s="54"/>
      <c r="P40" s="406"/>
    </row>
    <row r="41" spans="2:16" x14ac:dyDescent="0.15">
      <c r="B41" s="394" t="s">
        <v>281</v>
      </c>
      <c r="C41" s="53" t="str">
        <f>IF(AND(B41="A régió, ahol a beruházás megvalósul",ISBLANK(D41)),"Választani kell","")</f>
        <v>Választani kell</v>
      </c>
      <c r="D41" s="47"/>
      <c r="E41" s="395"/>
      <c r="F41" s="414"/>
      <c r="G41" s="942">
        <f>IF(kateg2=C_L,TamOsszeg2,0)</f>
        <v>0</v>
      </c>
      <c r="H41" s="953">
        <f>IF(kateg2=C_M,TamOsszeg2,0)</f>
        <v>0</v>
      </c>
      <c r="I41" s="953">
        <f>IF(kateg2=C_N,TamOsszeg2,0)</f>
        <v>0</v>
      </c>
      <c r="J41" s="953">
        <f>IF(kateg2=C_O,TamOsszeg2,0)</f>
        <v>0</v>
      </c>
      <c r="K41" s="953">
        <f>IF(kateg2=C_P,TamOsszeg2,0)</f>
        <v>0</v>
      </c>
      <c r="L41" s="953">
        <f>IF(kateg2=C_Q,TamOsszeg2,0)</f>
        <v>0</v>
      </c>
      <c r="M41" s="953">
        <f>IF(kateg2=C_R,TamOsszeg2,0)</f>
        <v>0</v>
      </c>
      <c r="N41" s="953">
        <f>IF(kateg2=C_S,TamOsszeg2,0)</f>
        <v>0</v>
      </c>
      <c r="O41" s="953">
        <f>IF(kateg2=C_T,TamOsszeg2,0)</f>
        <v>0</v>
      </c>
      <c r="P41" s="406"/>
    </row>
    <row r="42" spans="2:16" x14ac:dyDescent="0.15">
      <c r="B42" s="374" t="str">
        <f>IF(xRegio="Közép Magyarország","Közép-magyarországi régió esetén település, ahol a beruházás megvalósul","")</f>
        <v/>
      </c>
      <c r="C42" s="53" t="str">
        <f>IF(AND(xRegio="Közép Magyarország", ISBLANK(D42)), "Választani kell!","")</f>
        <v/>
      </c>
      <c r="D42" s="47"/>
      <c r="E42" s="395"/>
      <c r="F42" s="414"/>
      <c r="G42" s="942"/>
      <c r="H42" s="953"/>
      <c r="I42" s="953"/>
      <c r="J42" s="953"/>
      <c r="K42" s="953"/>
      <c r="L42" s="953"/>
      <c r="M42" s="54"/>
      <c r="N42" s="54"/>
      <c r="O42" s="54"/>
      <c r="P42" s="406"/>
    </row>
    <row r="43" spans="2:16" x14ac:dyDescent="0.15">
      <c r="B43" s="394" t="str">
        <f>IF(Tamogatasi_kategoria="általános csekély összegű támogatás","szállítási ágazatban tevékenykedik?","")</f>
        <v/>
      </c>
      <c r="C43" s="53" t="str">
        <f>IF(AND(B43="szállítási ágazatban tevékenykedik?",ISBLANK(D43)),"Választani kell","")</f>
        <v/>
      </c>
      <c r="D43" s="38"/>
      <c r="E43" s="396"/>
      <c r="F43" s="238"/>
      <c r="G43" s="942"/>
      <c r="H43" s="953"/>
      <c r="I43" s="953"/>
      <c r="J43" s="953"/>
      <c r="K43" s="953"/>
      <c r="L43" s="953"/>
      <c r="M43" s="54"/>
      <c r="N43" s="54"/>
      <c r="O43" s="54"/>
      <c r="P43" s="406"/>
    </row>
    <row r="44" spans="2:16" x14ac:dyDescent="0.15">
      <c r="B44" s="394" t="str">
        <f>IF(MGEössz&gt;0,"Fiatal gazda?","")</f>
        <v/>
      </c>
      <c r="C44" s="53" t="str">
        <f>IF(AND(B44="fiatal gazda?",ISBLANK(D44)),"Választani kell","")</f>
        <v/>
      </c>
      <c r="D44" s="38"/>
      <c r="E44" s="397"/>
      <c r="F44" s="415"/>
      <c r="G44" s="942">
        <f>IF(kateg3=C_L,TamOsszeg3,0)</f>
        <v>0</v>
      </c>
      <c r="H44" s="953">
        <f>IF(kateg3=C_M,TamOsszeg3,0)</f>
        <v>0</v>
      </c>
      <c r="I44" s="953">
        <f>IF(kateg3=C_N,TamOsszeg3,0)</f>
        <v>0</v>
      </c>
      <c r="J44" s="953">
        <f>IF(kateg3=C_O,TamOsszeg3,0)</f>
        <v>0</v>
      </c>
      <c r="K44" s="953">
        <f>IF(kateg3=C_P,TamOsszeg3,0)</f>
        <v>0</v>
      </c>
      <c r="L44" s="953">
        <f>IF(kateg3=C_Q,TamOsszeg3,0)</f>
        <v>0</v>
      </c>
      <c r="M44" s="953">
        <f>IF(kateg3=C_R,TamOsszeg3,0)</f>
        <v>0</v>
      </c>
      <c r="N44" s="953">
        <f>IF(kateg3=C_S,TamOsszeg3,0)</f>
        <v>0</v>
      </c>
      <c r="O44" s="953">
        <f>IF(kateg3=C_T,TamOsszeg3,0)</f>
        <v>0</v>
      </c>
      <c r="P44" s="406"/>
    </row>
    <row r="45" spans="2:16" ht="14" thickBot="1" x14ac:dyDescent="0.2">
      <c r="B45" s="394" t="str">
        <f>IF(MGEössz&gt;0,"Gazdálkodói tevékenységet 5 évnél nem régebben kezdett termelő?","")</f>
        <v/>
      </c>
      <c r="C45" s="53" t="str">
        <f>IF(AND(B45="gazdálkodói tevékenységet 5 évnél nem régebben kezdett termelő?",ISBLANK(D45)),"Választani kell","")</f>
        <v/>
      </c>
      <c r="D45" s="38"/>
      <c r="E45" s="397"/>
      <c r="F45" s="415"/>
      <c r="G45" s="959"/>
      <c r="H45" s="152"/>
      <c r="I45" s="152"/>
      <c r="J45" s="152"/>
      <c r="K45" s="152"/>
      <c r="L45" s="152"/>
      <c r="M45" s="152"/>
      <c r="N45" s="152"/>
      <c r="O45" s="54"/>
      <c r="P45" s="406"/>
    </row>
    <row r="46" spans="2:16" x14ac:dyDescent="0.15">
      <c r="B46" s="394" t="str">
        <f>IF(OR(MGEössz&gt;0,MGFössz&gt;0),"Kollektív beruházás? (pl. termelői szervezetek egyesüléséhez kapcsolódik)","")</f>
        <v/>
      </c>
      <c r="C46" s="53" t="str">
        <f>IF(AND(B46="kollektív beruházás? (pl. termelői szervezetek egyesüléséhez kapcsolódik)",ISBLANK(D46)),"Választani kell","")</f>
        <v/>
      </c>
      <c r="D46" s="38"/>
      <c r="E46" s="398"/>
      <c r="F46" s="420"/>
      <c r="G46" s="960">
        <f>cs0+cs_1+cs_2+cs_3+cs_k+IF(hcs_ossz=0,mcs_ossz,0)+hcs_ossz</f>
        <v>0</v>
      </c>
      <c r="H46" s="958">
        <f>mcs0+mcs_1+mcs_2+mcs_3+mcs_k</f>
        <v>0</v>
      </c>
      <c r="I46" s="961">
        <f>I38+I41+I44+I32</f>
        <v>0</v>
      </c>
      <c r="J46" s="961">
        <f>J38+J41+J44+J32</f>
        <v>0</v>
      </c>
      <c r="K46" s="961">
        <f>K38+K41+K44+K32</f>
        <v>0</v>
      </c>
      <c r="L46" s="961">
        <f>L44+L41+L38+L32</f>
        <v>0</v>
      </c>
      <c r="M46" s="958">
        <f>hcs_0+hcs_1+hcs_2+hcs_3+hcs_k+mcs_ossz</f>
        <v>0</v>
      </c>
      <c r="N46" s="961">
        <f>N38+N41+N44+N32</f>
        <v>0</v>
      </c>
      <c r="O46" s="153">
        <f>O38+O41+O44+O32</f>
        <v>0</v>
      </c>
      <c r="P46" s="406"/>
    </row>
    <row r="47" spans="2:16" ht="14" x14ac:dyDescent="0.15">
      <c r="B47" s="1084" t="str">
        <f>IF(MGEössz&gt;0,"A beruházás természeti és egyéb sajátos hátrányokkal rendelkező területeken valósul meg?","")</f>
        <v/>
      </c>
      <c r="C47" s="53" t="str">
        <f>IF(AND(B47="a beruházás természeti és egyéb sajátos hátrányokkal rendelkező területeken valósul meg?",ISBLANK(D47)),"Választani kell","")</f>
        <v/>
      </c>
      <c r="D47" s="38"/>
      <c r="E47" s="399"/>
      <c r="F47" s="421"/>
      <c r="G47" s="942" t="str">
        <f>IF(OR(D40="kisvállalkozás",D40="mikrovállalkozás"),"M",IF(D40="középvállalkozás","K","N"))</f>
        <v>N</v>
      </c>
      <c r="H47" s="54"/>
      <c r="I47" s="962">
        <f>IF(G47="K",0.1,0.2)</f>
        <v>0.2</v>
      </c>
      <c r="J47" s="962" t="e">
        <f>VLOOKUP(G50,RangeRegio,2,FALSE)</f>
        <v>#N/A</v>
      </c>
      <c r="K47" s="962" t="e">
        <f>VLOOKUP(G49,Segédtáblákk!C:D,2,FALSE)</f>
        <v>#N/A</v>
      </c>
      <c r="L47" s="962" t="e">
        <f>VLOOKUP(G50,RangeRegio,2,FALSE)</f>
        <v>#N/A</v>
      </c>
      <c r="M47" s="54"/>
      <c r="N47" s="962" t="e">
        <f>VLOOKUP(G49,Segédtáblákk!C:E,3,FALSE)</f>
        <v>#N/A</v>
      </c>
      <c r="O47" s="962" t="e">
        <f>IF(CONCATENATE(D54,D55,D56,D57)="NemNemNemNem", 0,IF(D57="Igen",1,IF(OR(D55="Igen",D56="Igen"),VLOOKUP(G49,Segédtáblákk!C:G,5,FALSE),VLOOKUP(G49,Segédtáblákk!C:G,4,FALSE))))</f>
        <v>#N/A</v>
      </c>
      <c r="P47" s="406"/>
    </row>
    <row r="48" spans="2:16" ht="26.25" customHeight="1" x14ac:dyDescent="0.15">
      <c r="B48" s="1084" t="str">
        <f>IF(OR(MGEössz&gt;0,MGFössz&gt;0),"A beruházás az európai innovációs partnerség (EIP) keretében valósul meg?","")</f>
        <v/>
      </c>
      <c r="C48" s="53" t="str">
        <f>IF(AND(B48&lt;&gt;"",ISBLANK(D48)),"Választani kell","")</f>
        <v/>
      </c>
      <c r="D48" s="38"/>
      <c r="E48" s="398"/>
      <c r="F48" s="420"/>
      <c r="G48" s="942">
        <f>IF(ISBLANK(zRegio),xRegio,zRegio)</f>
        <v>0</v>
      </c>
      <c r="H48" s="54"/>
      <c r="I48" s="54"/>
      <c r="J48" s="54"/>
      <c r="K48" s="54"/>
      <c r="L48" s="54"/>
      <c r="M48" s="54"/>
      <c r="N48" s="54"/>
      <c r="O48" s="54"/>
      <c r="P48" s="406"/>
    </row>
    <row r="49" spans="2:16" ht="14" x14ac:dyDescent="0.15">
      <c r="B49" s="1084" t="str">
        <f>IF(MGEössz&gt;0,"A beruházás a természeti környezet minőségének, a higiéniai körülményeknek vagy az állatjólét színvonalának a javítására irányul?","")</f>
        <v/>
      </c>
      <c r="C49" s="53" t="str">
        <f>IF(AND(B49="a beruházás a természeti környezet minőségének, a higiéniai körülményeknek vagy az állatjólét színvonalának a javítására irányul?",ISBLANK(D49)),"Választani kell","")</f>
        <v/>
      </c>
      <c r="D49" s="38"/>
      <c r="E49" s="398"/>
      <c r="F49" s="420"/>
      <c r="G49" s="942" t="str">
        <f>G47&amp;G48</f>
        <v>N0</v>
      </c>
      <c r="H49" s="54"/>
      <c r="I49" s="54"/>
      <c r="J49" s="54"/>
      <c r="K49" s="54"/>
      <c r="L49" s="54"/>
      <c r="M49" s="54"/>
      <c r="N49" s="54"/>
      <c r="O49" s="54"/>
      <c r="P49" s="406"/>
    </row>
    <row r="50" spans="2:16" x14ac:dyDescent="0.15">
      <c r="B50" s="394" t="str">
        <f>IF(MGEössz&gt;0,"Agrárkörnyezetvédelmi, éghajlattal kapcsolatos, illetve Natura 2000 nem termelő beruházás?","")</f>
        <v/>
      </c>
      <c r="C50" s="53" t="str">
        <f>IF(AND(B50="agrárkörnyezetvédelmi, éghajlattal kapcsolatos, illetve Natura 2000 nem termelő beruházás?",ISBLANK(D50)),"Választani kell","")</f>
        <v/>
      </c>
      <c r="D50" s="38"/>
      <c r="E50" s="398"/>
      <c r="F50" s="420"/>
      <c r="G50" s="942" t="str">
        <f>IF(OR(D50="Igen",D51="Igen",D53="Igen"),"S",IF(D52="Igen","N",IF(OR(D44="Igen",D45="Igen",D46="Igen",D47="Igen",D48="Igen",D49="Igen"),"F",""))) &amp; xRegio</f>
        <v/>
      </c>
      <c r="H50" s="54"/>
      <c r="I50" s="54"/>
      <c r="J50" s="54"/>
      <c r="K50" s="54"/>
      <c r="L50" s="54"/>
      <c r="M50" s="54"/>
      <c r="N50" s="54"/>
      <c r="O50" s="54"/>
      <c r="P50" s="406"/>
    </row>
    <row r="51" spans="2:16" x14ac:dyDescent="0.15">
      <c r="B51" s="394" t="str">
        <f>IF(MGEössz&gt;0,"Termelési potenciál helyreállításához kapcsolódó beruházás?","")</f>
        <v/>
      </c>
      <c r="C51" s="53" t="str">
        <f>IF(AND(B51="termelési potenciál helyreállításához kapcsolódó beruházás?",ISBLANK(D51)),"Választani kell","")</f>
        <v/>
      </c>
      <c r="D51" s="38"/>
      <c r="E51" s="398"/>
      <c r="F51" s="420"/>
      <c r="G51" s="942"/>
      <c r="H51" s="54"/>
      <c r="I51" s="54"/>
      <c r="J51" s="54"/>
      <c r="K51" s="54"/>
      <c r="L51" s="54"/>
      <c r="M51" s="54"/>
      <c r="N51" s="54"/>
      <c r="O51" s="54"/>
      <c r="P51" s="406"/>
    </row>
    <row r="52" spans="2:16" ht="25.5" customHeight="1" x14ac:dyDescent="0.15">
      <c r="B52" s="394" t="str">
        <f>IF(MGEössz&gt;0,"Természeti katasztrófák által okozott károk megelőzéséhez kapcsolódó beruházás?","")</f>
        <v/>
      </c>
      <c r="C52" s="53" t="str">
        <f>IF(AND(B52="természeti katasztrófák által okozott károk megelőzéséhez kapcsolódó beruházás?",ISBLANK(D52)),"Választani kell","")</f>
        <v/>
      </c>
      <c r="D52" s="38"/>
      <c r="E52" s="398"/>
      <c r="F52" s="420"/>
      <c r="G52" s="942"/>
      <c r="H52" s="54"/>
      <c r="I52" s="54"/>
      <c r="J52" s="54"/>
      <c r="K52" s="54"/>
      <c r="L52" s="54"/>
      <c r="M52" s="54"/>
      <c r="N52" s="54"/>
      <c r="O52" s="54"/>
      <c r="P52" s="406"/>
    </row>
    <row r="53" spans="2:16" ht="28.5" customHeight="1" x14ac:dyDescent="0.15">
      <c r="B53" s="1084" t="str">
        <f>IF(MGEössz&gt;0,"Természeti katasztrófák által okozott károk megelőzéséhez kapcsolódó beruházást több kedvezményezett hajtja végre?","")</f>
        <v/>
      </c>
      <c r="C53" s="53" t="str">
        <f>IF(AND(B53="természeti katasztrófák által okozott károk megelőzéséhez kapcsolódó beruházást több kedvezményezett hajtja végre?",ISBLANK(D53)),"Választani kell","")</f>
        <v/>
      </c>
      <c r="D53" s="38"/>
      <c r="E53" s="398"/>
      <c r="F53" s="420"/>
      <c r="G53" s="942"/>
      <c r="H53" s="54"/>
      <c r="I53" s="54"/>
      <c r="J53" s="54"/>
      <c r="K53" s="54"/>
      <c r="L53" s="54"/>
      <c r="M53" s="54"/>
      <c r="N53" s="54"/>
      <c r="O53" s="54"/>
      <c r="P53" s="406"/>
    </row>
    <row r="54" spans="2:16" ht="14" x14ac:dyDescent="0.15">
      <c r="B54" s="1084" t="str">
        <f>IF(megeneössz&gt;0,"az elszámolható költségek megújuló energiához kapcsolódó költségek?","")</f>
        <v/>
      </c>
      <c r="C54" s="53" t="str">
        <f>IF(AND(B54="az elszámolható költségek megújuló energiához kapcsolódó költségek?",ISBLANK(D54)),"Választani kell","")</f>
        <v/>
      </c>
      <c r="D54" s="38"/>
      <c r="E54" s="398"/>
      <c r="F54" s="420"/>
      <c r="G54" s="942"/>
      <c r="H54" s="54"/>
      <c r="I54" s="54"/>
      <c r="J54" s="54"/>
      <c r="K54" s="54"/>
      <c r="L54" s="54"/>
      <c r="M54" s="54"/>
      <c r="N54" s="54"/>
      <c r="O54" s="54"/>
      <c r="P54" s="406"/>
    </row>
    <row r="55" spans="2:16" ht="14" x14ac:dyDescent="0.15">
      <c r="B55" s="1084" t="str">
        <f>IF(megeneössz&gt;0,"a megújulóenergia-termelésre irányuló beruházás költségei kevésbé környezetbarát beruházáshoz viszonyítva határozhatók meg?","")</f>
        <v/>
      </c>
      <c r="C55" s="53" t="str">
        <f>IF(AND(B55="a megújulóenergia-termelésre irányuló beruházás költségei kevésbé környezetbarát beruházáshoz viszonyítva határozhatók meg?",ISBLANK(D55)),"Választani kell","")</f>
        <v/>
      </c>
      <c r="D55" s="38"/>
      <c r="E55" s="398"/>
      <c r="F55" s="420"/>
      <c r="G55" s="942"/>
      <c r="H55" s="54"/>
      <c r="I55" s="54"/>
      <c r="J55" s="54"/>
      <c r="K55" s="54"/>
      <c r="L55" s="54"/>
      <c r="M55" s="54"/>
      <c r="N55" s="54"/>
      <c r="O55" s="54"/>
      <c r="P55" s="406"/>
    </row>
    <row r="56" spans="2:16" ht="14" x14ac:dyDescent="0.15">
      <c r="B56" s="1084" t="str">
        <f>IF(megeneössz&gt;0,"kisméretű létesítményről van szó, ahol az elszámolható költség a magasabb környezetvédelmi szint eléréséhez kapcsolódó beruházás teljes költsége?","")</f>
        <v/>
      </c>
      <c r="C56" s="53" t="str">
        <f>IF(AND(B56="kisméretű létesítményről van szó, ahol az elszámolható költség a magasabb környezetvédelmi szint eléréséhez kapcsolódó beruházás teljes költsége?",ISBLANK(D56)),"Választani kell","")</f>
        <v/>
      </c>
      <c r="D56" s="38"/>
      <c r="E56" s="398"/>
      <c r="F56" s="420"/>
      <c r="G56" s="942"/>
      <c r="H56" s="54"/>
      <c r="I56" s="54"/>
      <c r="J56" s="54"/>
      <c r="K56" s="54"/>
      <c r="L56" s="54"/>
      <c r="M56" s="54"/>
      <c r="N56" s="54"/>
      <c r="O56" s="54"/>
      <c r="P56" s="406"/>
    </row>
    <row r="57" spans="2:16" ht="14" x14ac:dyDescent="0.15">
      <c r="B57" s="1084" t="str">
        <f>IF(megeneössz&gt;0,"a támogatást versenyeztetéses ajánlattételi eljárás keretében, egyértelmű, átlátható és megkülönböztetésmentes kritériumok alapján nyújtják?","")</f>
        <v/>
      </c>
      <c r="C57" s="53" t="str">
        <f>IF(AND(B57="a támogatást versenyeztetéses ajánlattételi eljárás keretében, egyértelmű, átlátható és megkülönböztetésmentes kritériumok alapján nyújtják?",ISBLANK(D57)),"Választani kell","")</f>
        <v/>
      </c>
      <c r="D57" s="38"/>
      <c r="E57" s="398"/>
      <c r="F57" s="420"/>
      <c r="G57" s="942"/>
      <c r="H57" s="54"/>
      <c r="I57" s="54"/>
      <c r="J57" s="54"/>
      <c r="K57" s="54"/>
      <c r="L57" s="54"/>
      <c r="M57" s="54"/>
      <c r="N57" s="54"/>
      <c r="O57" s="54"/>
      <c r="P57" s="406"/>
    </row>
    <row r="58" spans="2:16" ht="33.75" customHeight="1" x14ac:dyDescent="0.15">
      <c r="B58" s="1085"/>
      <c r="C58" s="179"/>
      <c r="D58" s="179"/>
      <c r="E58" s="400"/>
      <c r="F58" s="420"/>
      <c r="G58" s="942"/>
      <c r="H58" s="54"/>
      <c r="I58" s="54"/>
      <c r="J58" s="54"/>
      <c r="K58" s="54"/>
      <c r="L58" s="54"/>
      <c r="M58" s="54"/>
      <c r="N58" s="54"/>
      <c r="O58" s="54"/>
      <c r="P58" s="406"/>
    </row>
    <row r="59" spans="2:16" x14ac:dyDescent="0.15">
      <c r="B59" s="401" t="str">
        <f>IF(ISBLANK(keltezes),"",keltezes)</f>
        <v/>
      </c>
      <c r="C59" s="54"/>
      <c r="D59" s="1600" t="str">
        <f>IF(ISBLANK(pvnév),"",pvnév)</f>
        <v/>
      </c>
      <c r="E59" s="396"/>
      <c r="F59" s="238"/>
      <c r="G59" s="942"/>
      <c r="H59" s="54"/>
      <c r="I59" s="54"/>
      <c r="J59" s="54"/>
      <c r="K59" s="54"/>
      <c r="L59" s="54"/>
      <c r="M59" s="54"/>
      <c r="N59" s="54"/>
      <c r="O59" s="54"/>
      <c r="P59" s="406"/>
    </row>
    <row r="60" spans="2:16" ht="14" x14ac:dyDescent="0.15">
      <c r="B60" s="402" t="s">
        <v>178</v>
      </c>
      <c r="C60" s="180" t="str">
        <f>+'Refinanszírozási kérelem'!BO323</f>
        <v/>
      </c>
      <c r="D60" s="1601"/>
      <c r="E60" s="403"/>
      <c r="F60" s="422"/>
      <c r="G60" s="942"/>
      <c r="H60" s="54"/>
      <c r="I60" s="54"/>
      <c r="J60" s="54"/>
      <c r="K60" s="54"/>
      <c r="L60" s="54"/>
      <c r="M60" s="54"/>
      <c r="N60" s="54"/>
      <c r="O60" s="54"/>
      <c r="P60" s="406"/>
    </row>
    <row r="61" spans="2:16" ht="15.75" customHeight="1" x14ac:dyDescent="0.15">
      <c r="B61" s="404"/>
      <c r="C61" s="178"/>
      <c r="D61" s="1593" t="str">
        <f>+'Refinanszírozási kérelem'!BO325</f>
        <v/>
      </c>
      <c r="E61" s="1594"/>
      <c r="F61" s="423"/>
      <c r="G61" s="942"/>
      <c r="H61" s="54"/>
      <c r="I61" s="54"/>
      <c r="J61" s="54"/>
      <c r="K61" s="54"/>
      <c r="L61" s="54"/>
      <c r="M61" s="54"/>
      <c r="N61" s="54"/>
      <c r="O61" s="54"/>
      <c r="P61" s="406"/>
    </row>
    <row r="62" spans="2:16" x14ac:dyDescent="0.15">
      <c r="B62" s="405"/>
      <c r="C62" s="48"/>
      <c r="D62" s="48"/>
      <c r="E62" s="406"/>
      <c r="F62" s="238"/>
      <c r="G62" s="942"/>
      <c r="H62" s="54"/>
      <c r="I62" s="54"/>
      <c r="J62" s="54"/>
      <c r="K62" s="54"/>
      <c r="L62" s="54"/>
      <c r="M62" s="54"/>
      <c r="N62" s="54"/>
      <c r="O62" s="54"/>
      <c r="P62" s="406"/>
    </row>
    <row r="63" spans="2:16" x14ac:dyDescent="0.15">
      <c r="B63" s="407"/>
      <c r="C63" s="48"/>
      <c r="D63" s="48"/>
      <c r="E63" s="406"/>
      <c r="F63" s="238"/>
      <c r="G63" s="942"/>
      <c r="H63" s="54"/>
      <c r="I63" s="54"/>
      <c r="J63" s="54"/>
      <c r="K63" s="54"/>
      <c r="L63" s="54"/>
      <c r="M63" s="54"/>
      <c r="N63" s="54"/>
      <c r="O63" s="54"/>
      <c r="P63" s="406"/>
    </row>
    <row r="64" spans="2:16" x14ac:dyDescent="0.15">
      <c r="B64" s="407"/>
      <c r="C64" s="48"/>
      <c r="D64" s="48"/>
      <c r="E64" s="408"/>
      <c r="F64" s="414"/>
      <c r="G64" s="942"/>
      <c r="H64" s="54"/>
      <c r="I64" s="54"/>
      <c r="J64" s="54"/>
      <c r="K64" s="54"/>
      <c r="L64" s="54"/>
      <c r="M64" s="54"/>
      <c r="N64" s="54"/>
      <c r="O64" s="54"/>
      <c r="P64" s="406"/>
    </row>
    <row r="65" spans="2:16" x14ac:dyDescent="0.15">
      <c r="B65" s="409"/>
      <c r="C65" s="410"/>
      <c r="D65" s="411"/>
      <c r="E65" s="412"/>
      <c r="F65" s="238"/>
      <c r="G65" s="963"/>
      <c r="H65" s="964"/>
      <c r="I65" s="964"/>
      <c r="J65" s="964"/>
      <c r="K65" s="964"/>
      <c r="L65" s="964"/>
      <c r="M65" s="964"/>
      <c r="N65" s="964"/>
      <c r="O65" s="964"/>
      <c r="P65" s="412"/>
    </row>
    <row r="66" spans="2:16" x14ac:dyDescent="0.15">
      <c r="B66" s="155"/>
      <c r="C66" s="53"/>
      <c r="D66" s="154"/>
    </row>
    <row r="67" spans="2:16" x14ac:dyDescent="0.15">
      <c r="B67" s="48"/>
      <c r="C67" s="48"/>
      <c r="D67" s="48"/>
    </row>
    <row r="68" spans="2:16" x14ac:dyDescent="0.15">
      <c r="B68" s="156"/>
      <c r="C68" s="157"/>
      <c r="D68" s="158"/>
    </row>
    <row r="69" spans="2:16" x14ac:dyDescent="0.15">
      <c r="B69" s="159"/>
      <c r="C69" s="159"/>
    </row>
    <row r="70" spans="2:16" x14ac:dyDescent="0.15">
      <c r="B70" s="159"/>
      <c r="C70" s="159"/>
    </row>
    <row r="71" spans="2:16" x14ac:dyDescent="0.15">
      <c r="B71" s="160"/>
      <c r="C71" s="160"/>
    </row>
    <row r="72" spans="2:16" x14ac:dyDescent="0.15">
      <c r="B72" s="161"/>
      <c r="C72" s="161"/>
    </row>
    <row r="73" spans="2:16" x14ac:dyDescent="0.15">
      <c r="B73" s="159"/>
      <c r="C73" s="159"/>
    </row>
    <row r="74" spans="2:16" x14ac:dyDescent="0.15">
      <c r="B74" s="162"/>
      <c r="C74" s="162"/>
    </row>
    <row r="75" spans="2:16" x14ac:dyDescent="0.15">
      <c r="B75" s="163"/>
      <c r="C75" s="163"/>
    </row>
    <row r="76" spans="2:16" x14ac:dyDescent="0.15">
      <c r="B76" s="162"/>
      <c r="C76" s="162"/>
    </row>
    <row r="77" spans="2:16" x14ac:dyDescent="0.15">
      <c r="B77" s="163"/>
      <c r="C77" s="163"/>
    </row>
    <row r="78" spans="2:16" x14ac:dyDescent="0.15">
      <c r="B78" s="159"/>
      <c r="C78" s="159"/>
    </row>
    <row r="79" spans="2:16" x14ac:dyDescent="0.15">
      <c r="B79" s="164"/>
      <c r="C79" s="164"/>
      <c r="D79" s="49"/>
    </row>
    <row r="80" spans="2:16" x14ac:dyDescent="0.15">
      <c r="B80" s="165"/>
      <c r="C80" s="165"/>
      <c r="D80" s="49"/>
    </row>
    <row r="81" spans="2:4" x14ac:dyDescent="0.15">
      <c r="B81" s="166"/>
      <c r="C81" s="166"/>
      <c r="D81" s="49"/>
    </row>
    <row r="82" spans="2:4" x14ac:dyDescent="0.15">
      <c r="B82" s="165"/>
      <c r="C82" s="165"/>
      <c r="D82" s="49"/>
    </row>
    <row r="83" spans="2:4" x14ac:dyDescent="0.15">
      <c r="B83" s="166"/>
      <c r="C83" s="166"/>
      <c r="D83" s="49"/>
    </row>
    <row r="84" spans="2:4" x14ac:dyDescent="0.15">
      <c r="B84" s="159"/>
      <c r="C84" s="159"/>
    </row>
    <row r="85" spans="2:4" x14ac:dyDescent="0.15">
      <c r="B85" s="159"/>
      <c r="C85" s="159"/>
    </row>
    <row r="86" spans="2:4" x14ac:dyDescent="0.15">
      <c r="B86" s="162"/>
      <c r="C86" s="162"/>
    </row>
    <row r="87" spans="2:4" x14ac:dyDescent="0.15">
      <c r="B87" s="163"/>
      <c r="C87" s="163"/>
    </row>
    <row r="88" spans="2:4" x14ac:dyDescent="0.15">
      <c r="B88" s="162"/>
      <c r="C88" s="162"/>
    </row>
    <row r="89" spans="2:4" x14ac:dyDescent="0.15">
      <c r="B89" s="163"/>
      <c r="C89" s="163"/>
    </row>
    <row r="90" spans="2:4" x14ac:dyDescent="0.15">
      <c r="B90" s="159"/>
      <c r="C90" s="159"/>
    </row>
    <row r="91" spans="2:4" x14ac:dyDescent="0.15">
      <c r="B91" s="159"/>
      <c r="C91" s="159"/>
    </row>
    <row r="92" spans="2:4" x14ac:dyDescent="0.15">
      <c r="B92" s="162"/>
      <c r="C92" s="162"/>
    </row>
    <row r="93" spans="2:4" x14ac:dyDescent="0.15">
      <c r="B93" s="163"/>
      <c r="C93" s="163"/>
    </row>
    <row r="94" spans="2:4" x14ac:dyDescent="0.15">
      <c r="B94" s="162"/>
      <c r="C94" s="162"/>
    </row>
    <row r="95" spans="2:4" x14ac:dyDescent="0.15">
      <c r="B95" s="163"/>
      <c r="C95" s="163"/>
    </row>
    <row r="96" spans="2:4" x14ac:dyDescent="0.15">
      <c r="B96" s="159"/>
      <c r="C96" s="159"/>
    </row>
  </sheetData>
  <sheetProtection password="C613" sheet="1" objects="1" scenarios="1"/>
  <mergeCells count="9">
    <mergeCell ref="B3:E3"/>
    <mergeCell ref="G4:P4"/>
    <mergeCell ref="B6:E6"/>
    <mergeCell ref="B7:E7"/>
    <mergeCell ref="J8:P8"/>
    <mergeCell ref="D61:E61"/>
    <mergeCell ref="B8:E8"/>
    <mergeCell ref="B10:C10"/>
    <mergeCell ref="D59:D60"/>
  </mergeCells>
  <dataValidations count="2">
    <dataValidation type="list" allowBlank="1" showInputMessage="1" showErrorMessage="1" sqref="D42" xr:uid="{00000000-0002-0000-0600-000000000000}">
      <formula1>kozep_moi_regio</formula1>
    </dataValidation>
    <dataValidation type="list" allowBlank="1" showInputMessage="1" showErrorMessage="1" sqref="D65:D66 D43:D57" xr:uid="{00000000-0002-0000-0600-000001000000}">
      <formula1>"Igen,Nem"</formula1>
    </dataValidation>
  </dataValidations>
  <printOptions horizontalCentered="1"/>
  <pageMargins left="0" right="0" top="0" bottom="0" header="0" footer="0"/>
  <pageSetup paperSize="9" scale="49" orientation="portrait" r:id="rId1"/>
  <extLst>
    <ext xmlns:x14="http://schemas.microsoft.com/office/spreadsheetml/2009/9/main" uri="{78C0D931-6437-407d-A8EE-F0AAD7539E65}">
      <x14:conditionalFormattings>
        <x14:conditionalFormatting xmlns:xm="http://schemas.microsoft.com/office/excel/2006/main">
          <x14:cfRule type="expression" priority="1" id="{9E8198B7-1040-4D1B-9DB7-F494D233CD55}">
            <xm:f>'Refinanszírozási kérelem'!$BU$9=3</xm:f>
            <x14:dxf>
              <fill>
                <patternFill patternType="gray0625">
                  <fgColor auto="1"/>
                </patternFill>
              </fill>
            </x14:dxf>
          </x14:cfRule>
          <xm:sqref>A1:XFD2 A3:B3 F3:XFD3 A4:XFD1048576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2000000}">
          <x14:formula1>
            <xm:f>Segédtáblákk!$I$15:$I$18</xm:f>
          </x14:formula1>
          <xm:sqref>D28 D20 D24</xm:sqref>
        </x14:dataValidation>
        <x14:dataValidation type="list" allowBlank="1" showInputMessage="1" showErrorMessage="1" xr:uid="{00000000-0002-0000-0600-000003000000}">
          <x14:formula1>
            <xm:f>Segédtáblákk!$I$27:$I$34</xm:f>
          </x14:formula1>
          <xm:sqref>D41</xm:sqref>
        </x14:dataValidation>
        <x14:dataValidation type="list" allowBlank="1" showInputMessage="1" showErrorMessage="1" xr:uid="{00000000-0002-0000-0600-000004000000}">
          <x14:formula1>
            <xm:f>Segédtáblákk!$I$19:$I$22</xm:f>
          </x14:formula1>
          <xm:sqref>D40</xm:sqref>
        </x14:dataValidation>
        <x14:dataValidation type="list" allowBlank="1" showInputMessage="1" showErrorMessage="1" xr:uid="{00000000-0002-0000-0600-000005000000}">
          <x14:formula1>
            <xm:f>Segédtáblákk!$I$3:$I$11</xm:f>
          </x14:formula1>
          <xm:sqref>D25 D21 D29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2">
    <tabColor rgb="FFFFFF00"/>
  </sheetPr>
  <dimension ref="A1:O279"/>
  <sheetViews>
    <sheetView workbookViewId="0">
      <selection activeCell="I8" sqref="I8"/>
    </sheetView>
  </sheetViews>
  <sheetFormatPr baseColWidth="10" defaultColWidth="8.83203125" defaultRowHeight="15" x14ac:dyDescent="0.2"/>
  <cols>
    <col min="1" max="1" width="9.1640625" style="7"/>
    <col min="2" max="2" width="21.33203125" style="4" customWidth="1"/>
    <col min="3" max="3" width="22.5" style="4" bestFit="1" customWidth="1"/>
    <col min="4" max="7" width="9.1640625" style="4"/>
    <col min="9" max="9" width="66.1640625" bestFit="1" customWidth="1"/>
    <col min="12" max="12" width="10.1640625" bestFit="1" customWidth="1"/>
  </cols>
  <sheetData>
    <row r="1" spans="2:12" ht="16" thickBot="1" x14ac:dyDescent="0.25">
      <c r="B1" s="2" t="s">
        <v>129</v>
      </c>
      <c r="C1" s="10" t="str">
        <f>"N"&amp;B1</f>
        <v>Nfel nem sorolt települések</v>
      </c>
      <c r="D1" s="3">
        <v>0</v>
      </c>
      <c r="E1" s="3">
        <v>0.3</v>
      </c>
      <c r="F1" s="3">
        <v>0.3</v>
      </c>
      <c r="G1" s="3">
        <v>0.45</v>
      </c>
    </row>
    <row r="2" spans="2:12" ht="16" thickBot="1" x14ac:dyDescent="0.25">
      <c r="B2" s="2" t="s">
        <v>129</v>
      </c>
      <c r="C2" s="10" t="str">
        <f>"K"&amp;B2</f>
        <v>Kfel nem sorolt települések</v>
      </c>
      <c r="D2" s="3">
        <v>0</v>
      </c>
      <c r="E2" s="3">
        <v>0.4</v>
      </c>
      <c r="F2" s="3">
        <v>0.4</v>
      </c>
      <c r="G2" s="3">
        <v>0.55000000000000004</v>
      </c>
      <c r="I2" t="s">
        <v>163</v>
      </c>
    </row>
    <row r="3" spans="2:12" ht="16" thickBot="1" x14ac:dyDescent="0.25">
      <c r="B3" s="2" t="s">
        <v>129</v>
      </c>
      <c r="C3" s="10" t="str">
        <f>"M"&amp;B3</f>
        <v>Mfel nem sorolt települések</v>
      </c>
      <c r="D3" s="3">
        <v>0</v>
      </c>
      <c r="E3" s="3">
        <v>0.5</v>
      </c>
      <c r="F3" s="3">
        <v>0.5</v>
      </c>
      <c r="G3" s="3">
        <v>0.65</v>
      </c>
      <c r="I3" t="s">
        <v>112</v>
      </c>
    </row>
    <row r="4" spans="2:12" x14ac:dyDescent="0.2">
      <c r="B4" s="9" t="s">
        <v>10</v>
      </c>
      <c r="C4" s="10" t="str">
        <f>"M"&amp;B4</f>
        <v>MAbony</v>
      </c>
      <c r="D4" s="11">
        <v>0.55000000000000004</v>
      </c>
      <c r="E4" s="11">
        <v>0.55000000000000004</v>
      </c>
      <c r="F4" s="11">
        <v>0.55000000000000004</v>
      </c>
      <c r="G4" s="11">
        <v>0.7</v>
      </c>
      <c r="I4" t="s">
        <v>113</v>
      </c>
    </row>
    <row r="5" spans="2:12" x14ac:dyDescent="0.2">
      <c r="B5" s="12" t="s">
        <v>11</v>
      </c>
      <c r="C5" s="8" t="str">
        <f t="shared" ref="C5:C68" si="0">"M"&amp;B5</f>
        <v>MAlsónémedi</v>
      </c>
      <c r="D5" s="13">
        <v>0.55000000000000004</v>
      </c>
      <c r="E5" s="13">
        <v>0.55000000000000004</v>
      </c>
      <c r="F5" s="13">
        <v>0.55000000000000004</v>
      </c>
      <c r="G5" s="13">
        <v>0.7</v>
      </c>
      <c r="I5" t="s">
        <v>391</v>
      </c>
    </row>
    <row r="6" spans="2:12" x14ac:dyDescent="0.2">
      <c r="B6" s="12" t="s">
        <v>12</v>
      </c>
      <c r="C6" s="8" t="str">
        <f t="shared" si="0"/>
        <v>MÁporka</v>
      </c>
      <c r="D6" s="13">
        <v>0.55000000000000004</v>
      </c>
      <c r="E6" s="13">
        <v>0.55000000000000004</v>
      </c>
      <c r="F6" s="13">
        <v>0.55000000000000004</v>
      </c>
      <c r="G6" s="13">
        <v>0.7</v>
      </c>
      <c r="I6" t="s">
        <v>94</v>
      </c>
    </row>
    <row r="7" spans="2:12" x14ac:dyDescent="0.2">
      <c r="B7" s="12" t="s">
        <v>13</v>
      </c>
      <c r="C7" s="8" t="str">
        <f t="shared" si="0"/>
        <v>MAszód</v>
      </c>
      <c r="D7" s="13">
        <v>0.55000000000000004</v>
      </c>
      <c r="E7" s="13">
        <v>0.55000000000000004</v>
      </c>
      <c r="F7" s="13">
        <v>0.55000000000000004</v>
      </c>
      <c r="G7" s="13">
        <v>0.7</v>
      </c>
      <c r="I7" t="s">
        <v>114</v>
      </c>
      <c r="L7" s="5"/>
    </row>
    <row r="8" spans="2:12" x14ac:dyDescent="0.2">
      <c r="B8" s="12" t="s">
        <v>14</v>
      </c>
      <c r="C8" s="8" t="str">
        <f t="shared" si="0"/>
        <v>MBag</v>
      </c>
      <c r="D8" s="13">
        <v>0.55000000000000004</v>
      </c>
      <c r="E8" s="13">
        <v>0.55000000000000004</v>
      </c>
      <c r="F8" s="13">
        <v>0.55000000000000004</v>
      </c>
      <c r="G8" s="13">
        <v>0.7</v>
      </c>
      <c r="I8" t="s">
        <v>115</v>
      </c>
    </row>
    <row r="9" spans="2:12" x14ac:dyDescent="0.2">
      <c r="B9" s="12" t="s">
        <v>15</v>
      </c>
      <c r="C9" s="8" t="str">
        <f t="shared" si="0"/>
        <v>MBernecebaráti</v>
      </c>
      <c r="D9" s="13">
        <v>0.55000000000000004</v>
      </c>
      <c r="E9" s="13">
        <v>0.55000000000000004</v>
      </c>
      <c r="F9" s="13">
        <v>0.55000000000000004</v>
      </c>
      <c r="G9" s="13">
        <v>0.7</v>
      </c>
      <c r="I9" s="7"/>
    </row>
    <row r="10" spans="2:12" x14ac:dyDescent="0.2">
      <c r="B10" s="12" t="s">
        <v>16</v>
      </c>
      <c r="C10" s="8" t="str">
        <f t="shared" si="0"/>
        <v>MCegléd</v>
      </c>
      <c r="D10" s="13">
        <v>0.55000000000000004</v>
      </c>
      <c r="E10" s="13">
        <v>0.55000000000000004</v>
      </c>
      <c r="F10" s="13">
        <v>0.55000000000000004</v>
      </c>
      <c r="G10" s="13">
        <v>0.7</v>
      </c>
      <c r="I10" s="7"/>
    </row>
    <row r="11" spans="2:12" x14ac:dyDescent="0.2">
      <c r="B11" s="12" t="s">
        <v>17</v>
      </c>
      <c r="C11" s="8" t="str">
        <f t="shared" si="0"/>
        <v>MCsemő</v>
      </c>
      <c r="D11" s="13">
        <v>0.55000000000000004</v>
      </c>
      <c r="E11" s="13">
        <v>0.55000000000000004</v>
      </c>
      <c r="F11" s="13">
        <v>0.55000000000000004</v>
      </c>
      <c r="G11" s="13">
        <v>0.7</v>
      </c>
    </row>
    <row r="12" spans="2:12" x14ac:dyDescent="0.2">
      <c r="B12" s="12" t="s">
        <v>18</v>
      </c>
      <c r="C12" s="8" t="str">
        <f t="shared" si="0"/>
        <v>MDabas</v>
      </c>
      <c r="D12" s="13">
        <v>0.55000000000000004</v>
      </c>
      <c r="E12" s="13">
        <v>0.55000000000000004</v>
      </c>
      <c r="F12" s="13">
        <v>0.55000000000000004</v>
      </c>
      <c r="G12" s="13">
        <v>0.7</v>
      </c>
    </row>
    <row r="13" spans="2:12" x14ac:dyDescent="0.2">
      <c r="B13" s="12" t="s">
        <v>19</v>
      </c>
      <c r="C13" s="8" t="str">
        <f t="shared" si="0"/>
        <v>MDomony</v>
      </c>
      <c r="D13" s="13">
        <v>0.55000000000000004</v>
      </c>
      <c r="E13" s="13">
        <v>0.55000000000000004</v>
      </c>
      <c r="F13" s="13">
        <v>0.55000000000000004</v>
      </c>
      <c r="G13" s="13">
        <v>0.7</v>
      </c>
    </row>
    <row r="14" spans="2:12" x14ac:dyDescent="0.2">
      <c r="B14" s="12" t="s">
        <v>20</v>
      </c>
      <c r="C14" s="8" t="str">
        <f t="shared" si="0"/>
        <v>MDömsöd</v>
      </c>
      <c r="D14" s="13">
        <v>0.55000000000000004</v>
      </c>
      <c r="E14" s="13">
        <v>0.55000000000000004</v>
      </c>
      <c r="F14" s="13">
        <v>0.55000000000000004</v>
      </c>
      <c r="G14" s="13">
        <v>0.7</v>
      </c>
      <c r="I14" t="s">
        <v>109</v>
      </c>
    </row>
    <row r="15" spans="2:12" x14ac:dyDescent="0.2">
      <c r="B15" s="12" t="s">
        <v>21</v>
      </c>
      <c r="C15" s="8" t="str">
        <f t="shared" si="0"/>
        <v>MDunaharaszti</v>
      </c>
      <c r="D15" s="13">
        <v>0.55000000000000004</v>
      </c>
      <c r="E15" s="13">
        <v>0.55000000000000004</v>
      </c>
      <c r="F15" s="13">
        <v>0.55000000000000004</v>
      </c>
      <c r="G15" s="13">
        <v>0.7</v>
      </c>
      <c r="I15" t="s">
        <v>97</v>
      </c>
    </row>
    <row r="16" spans="2:12" x14ac:dyDescent="0.2">
      <c r="B16" s="12" t="s">
        <v>22</v>
      </c>
      <c r="C16" s="8" t="str">
        <f t="shared" si="0"/>
        <v>MEcser</v>
      </c>
      <c r="D16" s="13">
        <v>0.55000000000000004</v>
      </c>
      <c r="E16" s="13">
        <v>0.55000000000000004</v>
      </c>
      <c r="F16" s="13">
        <v>0.55000000000000004</v>
      </c>
      <c r="G16" s="13">
        <v>0.7</v>
      </c>
      <c r="I16" t="s">
        <v>95</v>
      </c>
    </row>
    <row r="17" spans="2:10" x14ac:dyDescent="0.2">
      <c r="B17" s="12" t="s">
        <v>23</v>
      </c>
      <c r="C17" s="8" t="str">
        <f t="shared" si="0"/>
        <v>MÉrd</v>
      </c>
      <c r="D17" s="13">
        <v>0.55000000000000004</v>
      </c>
      <c r="E17" s="13">
        <v>0.55000000000000004</v>
      </c>
      <c r="F17" s="13">
        <v>0.55000000000000004</v>
      </c>
      <c r="G17" s="13">
        <v>0.7</v>
      </c>
      <c r="I17" t="s">
        <v>96</v>
      </c>
    </row>
    <row r="18" spans="2:10" x14ac:dyDescent="0.2">
      <c r="B18" s="12" t="s">
        <v>24</v>
      </c>
      <c r="C18" s="8" t="str">
        <f t="shared" si="0"/>
        <v>MFarmos</v>
      </c>
      <c r="D18" s="13">
        <v>0.55000000000000004</v>
      </c>
      <c r="E18" s="13">
        <v>0.55000000000000004</v>
      </c>
      <c r="F18" s="13">
        <v>0.55000000000000004</v>
      </c>
      <c r="G18" s="13">
        <v>0.7</v>
      </c>
      <c r="I18" t="s">
        <v>278</v>
      </c>
    </row>
    <row r="19" spans="2:10" x14ac:dyDescent="0.2">
      <c r="B19" s="12" t="s">
        <v>25</v>
      </c>
      <c r="C19" s="8" t="str">
        <f t="shared" si="0"/>
        <v>MFelsőpakony</v>
      </c>
      <c r="D19" s="13">
        <v>0.55000000000000004</v>
      </c>
      <c r="E19" s="13">
        <v>0.55000000000000004</v>
      </c>
      <c r="F19" s="13">
        <v>0.55000000000000004</v>
      </c>
      <c r="G19" s="13">
        <v>0.7</v>
      </c>
      <c r="I19" t="s">
        <v>109</v>
      </c>
    </row>
    <row r="20" spans="2:10" x14ac:dyDescent="0.2">
      <c r="B20" s="12" t="s">
        <v>26</v>
      </c>
      <c r="C20" s="8" t="str">
        <f t="shared" si="0"/>
        <v>MGalgagyörk</v>
      </c>
      <c r="D20" s="13">
        <v>0.55000000000000004</v>
      </c>
      <c r="E20" s="13">
        <v>0.55000000000000004</v>
      </c>
      <c r="F20" s="13">
        <v>0.55000000000000004</v>
      </c>
      <c r="G20" s="13">
        <v>0.7</v>
      </c>
      <c r="I20" t="s">
        <v>116</v>
      </c>
    </row>
    <row r="21" spans="2:10" x14ac:dyDescent="0.2">
      <c r="B21" s="12" t="s">
        <v>27</v>
      </c>
      <c r="C21" s="8" t="str">
        <f t="shared" si="0"/>
        <v>MGalgahévíz</v>
      </c>
      <c r="D21" s="13">
        <v>0.55000000000000004</v>
      </c>
      <c r="E21" s="13">
        <v>0.55000000000000004</v>
      </c>
      <c r="F21" s="13">
        <v>0.55000000000000004</v>
      </c>
      <c r="G21" s="13">
        <v>0.7</v>
      </c>
      <c r="I21" t="s">
        <v>117</v>
      </c>
    </row>
    <row r="22" spans="2:10" x14ac:dyDescent="0.2">
      <c r="B22" s="12" t="s">
        <v>28</v>
      </c>
      <c r="C22" s="8" t="str">
        <f t="shared" si="0"/>
        <v>MGalgamácsa</v>
      </c>
      <c r="D22" s="13">
        <v>0.55000000000000004</v>
      </c>
      <c r="E22" s="13">
        <v>0.55000000000000004</v>
      </c>
      <c r="F22" s="13">
        <v>0.55000000000000004</v>
      </c>
      <c r="G22" s="13">
        <v>0.7</v>
      </c>
      <c r="I22" t="s">
        <v>118</v>
      </c>
    </row>
    <row r="23" spans="2:10" x14ac:dyDescent="0.2">
      <c r="B23" s="14" t="s">
        <v>99</v>
      </c>
      <c r="C23" s="8" t="str">
        <f t="shared" si="0"/>
        <v>MGöd</v>
      </c>
      <c r="D23" s="13">
        <v>0.55000000000000004</v>
      </c>
      <c r="E23" s="13">
        <v>0.55000000000000004</v>
      </c>
      <c r="F23" s="13">
        <v>0.55000000000000004</v>
      </c>
      <c r="G23" s="13">
        <v>0.7</v>
      </c>
    </row>
    <row r="24" spans="2:10" x14ac:dyDescent="0.2">
      <c r="B24" s="12" t="s">
        <v>29</v>
      </c>
      <c r="C24" s="8" t="str">
        <f t="shared" si="0"/>
        <v>MGödöllő</v>
      </c>
      <c r="D24" s="13">
        <v>0.55000000000000004</v>
      </c>
      <c r="E24" s="13">
        <v>0.55000000000000004</v>
      </c>
      <c r="F24" s="13">
        <v>0.55000000000000004</v>
      </c>
      <c r="G24" s="13">
        <v>0.7</v>
      </c>
      <c r="J24" s="7"/>
    </row>
    <row r="25" spans="2:10" x14ac:dyDescent="0.2">
      <c r="B25" s="12" t="s">
        <v>30</v>
      </c>
      <c r="C25" s="8" t="str">
        <f t="shared" si="0"/>
        <v>MGyál</v>
      </c>
      <c r="D25" s="13">
        <v>0.55000000000000004</v>
      </c>
      <c r="E25" s="13">
        <v>0.55000000000000004</v>
      </c>
      <c r="F25" s="13">
        <v>0.55000000000000004</v>
      </c>
      <c r="G25" s="13">
        <v>0.7</v>
      </c>
      <c r="J25" s="7"/>
    </row>
    <row r="26" spans="2:10" x14ac:dyDescent="0.2">
      <c r="B26" s="12" t="s">
        <v>31</v>
      </c>
      <c r="C26" s="8" t="str">
        <f t="shared" si="0"/>
        <v>MGyömrő</v>
      </c>
      <c r="D26" s="13">
        <v>0.55000000000000004</v>
      </c>
      <c r="E26" s="13">
        <v>0.55000000000000004</v>
      </c>
      <c r="F26" s="13">
        <v>0.55000000000000004</v>
      </c>
      <c r="G26" s="13">
        <v>0.7</v>
      </c>
    </row>
    <row r="27" spans="2:10" x14ac:dyDescent="0.2">
      <c r="B27" s="12" t="s">
        <v>32</v>
      </c>
      <c r="C27" s="8" t="str">
        <f t="shared" si="0"/>
        <v>MHalásztelek</v>
      </c>
      <c r="D27" s="13">
        <v>0.55000000000000004</v>
      </c>
      <c r="E27" s="13">
        <v>0.55000000000000004</v>
      </c>
      <c r="F27" s="13">
        <v>0.55000000000000004</v>
      </c>
      <c r="G27" s="13">
        <v>0.7</v>
      </c>
      <c r="I27" t="s">
        <v>109</v>
      </c>
    </row>
    <row r="28" spans="2:10" x14ac:dyDescent="0.2">
      <c r="B28" s="12" t="s">
        <v>33</v>
      </c>
      <c r="C28" s="8" t="str">
        <f t="shared" si="0"/>
        <v>MHévízgyörk</v>
      </c>
      <c r="D28" s="13">
        <v>0.55000000000000004</v>
      </c>
      <c r="E28" s="13">
        <v>0.55000000000000004</v>
      </c>
      <c r="F28" s="13">
        <v>0.55000000000000004</v>
      </c>
      <c r="G28" s="13">
        <v>0.7</v>
      </c>
      <c r="I28" t="s">
        <v>102</v>
      </c>
      <c r="J28" s="23">
        <v>0.4</v>
      </c>
    </row>
    <row r="29" spans="2:10" x14ac:dyDescent="0.2">
      <c r="B29" s="12" t="s">
        <v>34</v>
      </c>
      <c r="C29" s="8" t="str">
        <f t="shared" si="0"/>
        <v>MIklad</v>
      </c>
      <c r="D29" s="13">
        <v>0.55000000000000004</v>
      </c>
      <c r="E29" s="13">
        <v>0.55000000000000004</v>
      </c>
      <c r="F29" s="13">
        <v>0.55000000000000004</v>
      </c>
      <c r="G29" s="13">
        <v>0.7</v>
      </c>
      <c r="I29" t="s">
        <v>103</v>
      </c>
      <c r="J29" s="23">
        <v>0.5</v>
      </c>
    </row>
    <row r="30" spans="2:10" x14ac:dyDescent="0.2">
      <c r="B30" s="12" t="s">
        <v>35</v>
      </c>
      <c r="C30" s="8" t="str">
        <f t="shared" si="0"/>
        <v>MIpolydamásd</v>
      </c>
      <c r="D30" s="13">
        <v>0.55000000000000004</v>
      </c>
      <c r="E30" s="13">
        <v>0.55000000000000004</v>
      </c>
      <c r="F30" s="13">
        <v>0.55000000000000004</v>
      </c>
      <c r="G30" s="13">
        <v>0.7</v>
      </c>
      <c r="I30" t="s">
        <v>104</v>
      </c>
      <c r="J30" s="23">
        <v>0.5</v>
      </c>
    </row>
    <row r="31" spans="2:10" x14ac:dyDescent="0.2">
      <c r="B31" s="12" t="s">
        <v>36</v>
      </c>
      <c r="C31" s="8" t="str">
        <f t="shared" si="0"/>
        <v>MIpolytölgyes</v>
      </c>
      <c r="D31" s="13">
        <v>0.55000000000000004</v>
      </c>
      <c r="E31" s="13">
        <v>0.55000000000000004</v>
      </c>
      <c r="F31" s="13">
        <v>0.55000000000000004</v>
      </c>
      <c r="G31" s="13">
        <v>0.7</v>
      </c>
      <c r="I31" t="s">
        <v>105</v>
      </c>
      <c r="J31" s="23">
        <v>0.5</v>
      </c>
    </row>
    <row r="32" spans="2:10" x14ac:dyDescent="0.2">
      <c r="B32" s="12" t="s">
        <v>37</v>
      </c>
      <c r="C32" s="8" t="str">
        <f t="shared" si="0"/>
        <v>MJászkarajenő</v>
      </c>
      <c r="D32" s="13">
        <v>0.55000000000000004</v>
      </c>
      <c r="E32" s="13">
        <v>0.55000000000000004</v>
      </c>
      <c r="F32" s="13">
        <v>0.55000000000000004</v>
      </c>
      <c r="G32" s="13">
        <v>0.7</v>
      </c>
      <c r="I32" t="s">
        <v>106</v>
      </c>
      <c r="J32" s="23">
        <v>0.5</v>
      </c>
    </row>
    <row r="33" spans="2:10" x14ac:dyDescent="0.2">
      <c r="B33" s="12" t="s">
        <v>38</v>
      </c>
      <c r="C33" s="8" t="str">
        <f t="shared" si="0"/>
        <v>MKartal</v>
      </c>
      <c r="D33" s="13">
        <v>0.55000000000000004</v>
      </c>
      <c r="E33" s="13">
        <v>0.55000000000000004</v>
      </c>
      <c r="F33" s="13">
        <v>0.55000000000000004</v>
      </c>
      <c r="G33" s="13">
        <v>0.7</v>
      </c>
      <c r="I33" t="s">
        <v>107</v>
      </c>
      <c r="J33" s="23">
        <v>0.5</v>
      </c>
    </row>
    <row r="34" spans="2:10" x14ac:dyDescent="0.2">
      <c r="B34" s="12" t="s">
        <v>39</v>
      </c>
      <c r="C34" s="8" t="str">
        <f t="shared" si="0"/>
        <v>MKemence</v>
      </c>
      <c r="D34" s="13">
        <v>0.55000000000000004</v>
      </c>
      <c r="E34" s="13">
        <v>0.55000000000000004</v>
      </c>
      <c r="F34" s="13">
        <v>0.55000000000000004</v>
      </c>
      <c r="G34" s="13">
        <v>0.7</v>
      </c>
      <c r="I34" t="s">
        <v>108</v>
      </c>
      <c r="J34" s="23">
        <v>0.5</v>
      </c>
    </row>
    <row r="35" spans="2:10" x14ac:dyDescent="0.2">
      <c r="B35" s="12" t="s">
        <v>40</v>
      </c>
      <c r="C35" s="8" t="str">
        <f t="shared" si="0"/>
        <v>MKiskunlacháza</v>
      </c>
      <c r="D35" s="13">
        <v>0.55000000000000004</v>
      </c>
      <c r="E35" s="13">
        <v>0.55000000000000004</v>
      </c>
      <c r="F35" s="13">
        <v>0.55000000000000004</v>
      </c>
      <c r="G35" s="13">
        <v>0.7</v>
      </c>
      <c r="I35" s="7" t="s">
        <v>119</v>
      </c>
      <c r="J35" s="23">
        <v>0.6</v>
      </c>
    </row>
    <row r="36" spans="2:10" x14ac:dyDescent="0.2">
      <c r="B36" s="12" t="s">
        <v>41</v>
      </c>
      <c r="C36" s="8" t="str">
        <f t="shared" si="0"/>
        <v>MKisnémedi</v>
      </c>
      <c r="D36" s="13">
        <v>0.55000000000000004</v>
      </c>
      <c r="E36" s="13">
        <v>0.55000000000000004</v>
      </c>
      <c r="F36" s="13">
        <v>0.55000000000000004</v>
      </c>
      <c r="G36" s="13">
        <v>0.7</v>
      </c>
      <c r="I36" s="7" t="s">
        <v>120</v>
      </c>
      <c r="J36" s="23">
        <v>0.7</v>
      </c>
    </row>
    <row r="37" spans="2:10" x14ac:dyDescent="0.2">
      <c r="B37" s="12" t="s">
        <v>42</v>
      </c>
      <c r="C37" s="8" t="str">
        <f t="shared" si="0"/>
        <v>MKocsér</v>
      </c>
      <c r="D37" s="13">
        <v>0.55000000000000004</v>
      </c>
      <c r="E37" s="13">
        <v>0.55000000000000004</v>
      </c>
      <c r="F37" s="13">
        <v>0.55000000000000004</v>
      </c>
      <c r="G37" s="13">
        <v>0.7</v>
      </c>
      <c r="I37" s="7" t="s">
        <v>121</v>
      </c>
      <c r="J37" s="23">
        <v>0.7</v>
      </c>
    </row>
    <row r="38" spans="2:10" x14ac:dyDescent="0.2">
      <c r="B38" s="12" t="s">
        <v>43</v>
      </c>
      <c r="C38" s="8" t="str">
        <f t="shared" si="0"/>
        <v>MKóspallag</v>
      </c>
      <c r="D38" s="13">
        <v>0.55000000000000004</v>
      </c>
      <c r="E38" s="13">
        <v>0.55000000000000004</v>
      </c>
      <c r="F38" s="13">
        <v>0.55000000000000004</v>
      </c>
      <c r="G38" s="13">
        <v>0.7</v>
      </c>
      <c r="I38" s="7" t="s">
        <v>122</v>
      </c>
      <c r="J38" s="23">
        <v>0.7</v>
      </c>
    </row>
    <row r="39" spans="2:10" x14ac:dyDescent="0.2">
      <c r="B39" s="12" t="s">
        <v>44</v>
      </c>
      <c r="C39" s="8" t="str">
        <f t="shared" si="0"/>
        <v>MKőröstetétlen</v>
      </c>
      <c r="D39" s="13">
        <v>0.55000000000000004</v>
      </c>
      <c r="E39" s="13">
        <v>0.55000000000000004</v>
      </c>
      <c r="F39" s="13">
        <v>0.55000000000000004</v>
      </c>
      <c r="G39" s="13">
        <v>0.7</v>
      </c>
      <c r="I39" s="7" t="s">
        <v>123</v>
      </c>
      <c r="J39" s="23">
        <v>0.7</v>
      </c>
    </row>
    <row r="40" spans="2:10" x14ac:dyDescent="0.2">
      <c r="B40" s="12" t="s">
        <v>45</v>
      </c>
      <c r="C40" s="8" t="str">
        <f t="shared" si="0"/>
        <v>MLetkés</v>
      </c>
      <c r="D40" s="13">
        <v>0.55000000000000004</v>
      </c>
      <c r="E40" s="13">
        <v>0.55000000000000004</v>
      </c>
      <c r="F40" s="13">
        <v>0.55000000000000004</v>
      </c>
      <c r="G40" s="13">
        <v>0.7</v>
      </c>
      <c r="I40" s="7" t="s">
        <v>124</v>
      </c>
      <c r="J40" s="23">
        <v>0.7</v>
      </c>
    </row>
    <row r="41" spans="2:10" x14ac:dyDescent="0.2">
      <c r="B41" s="12" t="s">
        <v>46</v>
      </c>
      <c r="C41" s="8" t="str">
        <f t="shared" si="0"/>
        <v>MLórév</v>
      </c>
      <c r="D41" s="13">
        <v>0.55000000000000004</v>
      </c>
      <c r="E41" s="13">
        <v>0.55000000000000004</v>
      </c>
      <c r="F41" s="13">
        <v>0.55000000000000004</v>
      </c>
      <c r="G41" s="13">
        <v>0.7</v>
      </c>
      <c r="I41" s="7" t="s">
        <v>125</v>
      </c>
      <c r="J41" s="23">
        <v>0.7</v>
      </c>
    </row>
    <row r="42" spans="2:10" x14ac:dyDescent="0.2">
      <c r="B42" s="12" t="s">
        <v>47</v>
      </c>
      <c r="C42" s="8" t="str">
        <f t="shared" si="0"/>
        <v>MMaglód</v>
      </c>
      <c r="D42" s="13">
        <v>0.55000000000000004</v>
      </c>
      <c r="E42" s="13">
        <v>0.55000000000000004</v>
      </c>
      <c r="F42" s="13">
        <v>0.55000000000000004</v>
      </c>
      <c r="G42" s="13">
        <v>0.7</v>
      </c>
      <c r="I42" s="7" t="s">
        <v>130</v>
      </c>
      <c r="J42" s="23">
        <v>1</v>
      </c>
    </row>
    <row r="43" spans="2:10" x14ac:dyDescent="0.2">
      <c r="B43" s="12" t="s">
        <v>48</v>
      </c>
      <c r="C43" s="8" t="str">
        <f t="shared" si="0"/>
        <v>MMakád</v>
      </c>
      <c r="D43" s="13">
        <v>0.55000000000000004</v>
      </c>
      <c r="E43" s="13">
        <v>0.55000000000000004</v>
      </c>
      <c r="F43" s="13">
        <v>0.55000000000000004</v>
      </c>
      <c r="G43" s="13">
        <v>0.7</v>
      </c>
      <c r="I43" s="7" t="s">
        <v>131</v>
      </c>
      <c r="J43" s="23">
        <v>1</v>
      </c>
    </row>
    <row r="44" spans="2:10" x14ac:dyDescent="0.2">
      <c r="B44" s="12" t="s">
        <v>49</v>
      </c>
      <c r="C44" s="8" t="str">
        <f t="shared" si="0"/>
        <v>MMárianosztra</v>
      </c>
      <c r="D44" s="13">
        <v>0.55000000000000004</v>
      </c>
      <c r="E44" s="13">
        <v>0.55000000000000004</v>
      </c>
      <c r="F44" s="13">
        <v>0.55000000000000004</v>
      </c>
      <c r="G44" s="13">
        <v>0.7</v>
      </c>
      <c r="I44" s="7" t="s">
        <v>132</v>
      </c>
      <c r="J44" s="23">
        <v>1</v>
      </c>
    </row>
    <row r="45" spans="2:10" x14ac:dyDescent="0.2">
      <c r="B45" s="12" t="s">
        <v>50</v>
      </c>
      <c r="C45" s="8" t="str">
        <f t="shared" si="0"/>
        <v>MMikebuda</v>
      </c>
      <c r="D45" s="13">
        <v>0.55000000000000004</v>
      </c>
      <c r="E45" s="13">
        <v>0.55000000000000004</v>
      </c>
      <c r="F45" s="13">
        <v>0.55000000000000004</v>
      </c>
      <c r="G45" s="13">
        <v>0.7</v>
      </c>
      <c r="I45" s="7" t="s">
        <v>133</v>
      </c>
      <c r="J45" s="23">
        <v>1</v>
      </c>
    </row>
    <row r="46" spans="2:10" x14ac:dyDescent="0.2">
      <c r="B46" s="12" t="s">
        <v>51</v>
      </c>
      <c r="C46" s="8" t="str">
        <f t="shared" si="0"/>
        <v>MMonor</v>
      </c>
      <c r="D46" s="13">
        <v>0.55000000000000004</v>
      </c>
      <c r="E46" s="13">
        <v>0.55000000000000004</v>
      </c>
      <c r="F46" s="13">
        <v>0.55000000000000004</v>
      </c>
      <c r="G46" s="13">
        <v>0.7</v>
      </c>
      <c r="I46" s="7" t="s">
        <v>134</v>
      </c>
      <c r="J46" s="23">
        <v>1</v>
      </c>
    </row>
    <row r="47" spans="2:10" x14ac:dyDescent="0.2">
      <c r="B47" s="12" t="s">
        <v>52</v>
      </c>
      <c r="C47" s="8" t="str">
        <f t="shared" si="0"/>
        <v>MNagybörzsöny</v>
      </c>
      <c r="D47" s="13">
        <v>0.55000000000000004</v>
      </c>
      <c r="E47" s="13">
        <v>0.55000000000000004</v>
      </c>
      <c r="F47" s="13">
        <v>0.55000000000000004</v>
      </c>
      <c r="G47" s="13">
        <v>0.7</v>
      </c>
      <c r="I47" s="7" t="s">
        <v>135</v>
      </c>
      <c r="J47" s="23">
        <v>1</v>
      </c>
    </row>
    <row r="48" spans="2:10" x14ac:dyDescent="0.2">
      <c r="B48" s="12" t="s">
        <v>53</v>
      </c>
      <c r="C48" s="8" t="str">
        <f t="shared" si="0"/>
        <v>MNagykáta</v>
      </c>
      <c r="D48" s="13">
        <v>0.55000000000000004</v>
      </c>
      <c r="E48" s="13">
        <v>0.55000000000000004</v>
      </c>
      <c r="F48" s="13">
        <v>0.55000000000000004</v>
      </c>
      <c r="G48" s="13">
        <v>0.7</v>
      </c>
      <c r="I48" s="7" t="s">
        <v>136</v>
      </c>
      <c r="J48" s="23">
        <v>1</v>
      </c>
    </row>
    <row r="49" spans="2:15" x14ac:dyDescent="0.2">
      <c r="B49" s="12" t="s">
        <v>54</v>
      </c>
      <c r="C49" s="8" t="str">
        <f t="shared" si="0"/>
        <v>MNagykőrös</v>
      </c>
      <c r="D49" s="13">
        <v>0.55000000000000004</v>
      </c>
      <c r="E49" s="13">
        <v>0.55000000000000004</v>
      </c>
      <c r="F49" s="13">
        <v>0.55000000000000004</v>
      </c>
      <c r="G49" s="13">
        <v>0.7</v>
      </c>
      <c r="I49" s="7" t="s">
        <v>137</v>
      </c>
      <c r="J49" s="23">
        <v>0.8</v>
      </c>
    </row>
    <row r="50" spans="2:15" x14ac:dyDescent="0.2">
      <c r="B50" s="12" t="s">
        <v>55</v>
      </c>
      <c r="C50" s="8" t="str">
        <f t="shared" si="0"/>
        <v>MNagytarcsa</v>
      </c>
      <c r="D50" s="13">
        <v>0.55000000000000004</v>
      </c>
      <c r="E50" s="13">
        <v>0.55000000000000004</v>
      </c>
      <c r="F50" s="13">
        <v>0.55000000000000004</v>
      </c>
      <c r="G50" s="13">
        <v>0.7</v>
      </c>
      <c r="I50" s="7" t="s">
        <v>138</v>
      </c>
      <c r="J50" s="23">
        <v>0.8</v>
      </c>
    </row>
    <row r="51" spans="2:15" x14ac:dyDescent="0.2">
      <c r="B51" s="12" t="s">
        <v>56</v>
      </c>
      <c r="C51" s="8" t="str">
        <f t="shared" si="0"/>
        <v>MNyársapát</v>
      </c>
      <c r="D51" s="13">
        <v>0.55000000000000004</v>
      </c>
      <c r="E51" s="13">
        <v>0.55000000000000004</v>
      </c>
      <c r="F51" s="13">
        <v>0.55000000000000004</v>
      </c>
      <c r="G51" s="13">
        <v>0.7</v>
      </c>
      <c r="I51" s="7" t="s">
        <v>139</v>
      </c>
      <c r="J51" s="23">
        <v>0.8</v>
      </c>
    </row>
    <row r="52" spans="2:15" x14ac:dyDescent="0.2">
      <c r="B52" s="12" t="s">
        <v>57</v>
      </c>
      <c r="C52" s="8" t="str">
        <f t="shared" si="0"/>
        <v>MÓcsa</v>
      </c>
      <c r="D52" s="13">
        <v>0.55000000000000004</v>
      </c>
      <c r="E52" s="13">
        <v>0.55000000000000004</v>
      </c>
      <c r="F52" s="13">
        <v>0.55000000000000004</v>
      </c>
      <c r="G52" s="13">
        <v>0.7</v>
      </c>
      <c r="I52" s="7" t="s">
        <v>140</v>
      </c>
      <c r="J52" s="23">
        <v>0.8</v>
      </c>
    </row>
    <row r="53" spans="2:15" x14ac:dyDescent="0.2">
      <c r="B53" s="12" t="s">
        <v>58</v>
      </c>
      <c r="C53" s="8" t="str">
        <f t="shared" si="0"/>
        <v>MÖrkény</v>
      </c>
      <c r="D53" s="13">
        <v>0.55000000000000004</v>
      </c>
      <c r="E53" s="13">
        <v>0.55000000000000004</v>
      </c>
      <c r="F53" s="13">
        <v>0.55000000000000004</v>
      </c>
      <c r="G53" s="13">
        <v>0.7</v>
      </c>
      <c r="I53" s="7" t="s">
        <v>141</v>
      </c>
      <c r="J53" s="23">
        <v>0.8</v>
      </c>
    </row>
    <row r="54" spans="2:15" x14ac:dyDescent="0.2">
      <c r="B54" s="12" t="s">
        <v>59</v>
      </c>
      <c r="C54" s="8" t="str">
        <f t="shared" si="0"/>
        <v>MPécel</v>
      </c>
      <c r="D54" s="13">
        <v>0.55000000000000004</v>
      </c>
      <c r="E54" s="13">
        <v>0.55000000000000004</v>
      </c>
      <c r="F54" s="13">
        <v>0.55000000000000004</v>
      </c>
      <c r="G54" s="13">
        <v>0.7</v>
      </c>
      <c r="I54" s="7" t="s">
        <v>142</v>
      </c>
      <c r="J54" s="23">
        <v>0.8</v>
      </c>
    </row>
    <row r="55" spans="2:15" x14ac:dyDescent="0.2">
      <c r="B55" s="12" t="s">
        <v>60</v>
      </c>
      <c r="C55" s="8" t="str">
        <f t="shared" si="0"/>
        <v>MPerőcsény</v>
      </c>
      <c r="D55" s="13">
        <v>0.55000000000000004</v>
      </c>
      <c r="E55" s="13">
        <v>0.55000000000000004</v>
      </c>
      <c r="F55" s="13">
        <v>0.55000000000000004</v>
      </c>
      <c r="G55" s="13">
        <v>0.7</v>
      </c>
      <c r="I55" s="7" t="s">
        <v>143</v>
      </c>
      <c r="J55" s="23">
        <v>0.8</v>
      </c>
    </row>
    <row r="56" spans="2:15" x14ac:dyDescent="0.2">
      <c r="B56" s="12" t="s">
        <v>61</v>
      </c>
      <c r="C56" s="8" t="str">
        <f t="shared" si="0"/>
        <v>MPéteri</v>
      </c>
      <c r="D56" s="13">
        <v>0.55000000000000004</v>
      </c>
      <c r="E56" s="13">
        <v>0.55000000000000004</v>
      </c>
      <c r="F56" s="13">
        <v>0.55000000000000004</v>
      </c>
      <c r="G56" s="13">
        <v>0.7</v>
      </c>
      <c r="M56">
        <v>2</v>
      </c>
      <c r="N56">
        <v>2</v>
      </c>
      <c r="O56" t="e">
        <f>IF(Gyakorisag="Negyedéves",Segédtáblákk!M56,Segédtáblákk!N56)</f>
        <v>#NAME?</v>
      </c>
    </row>
    <row r="57" spans="2:15" x14ac:dyDescent="0.2">
      <c r="B57" s="15" t="s">
        <v>62</v>
      </c>
      <c r="C57" s="8" t="str">
        <f t="shared" si="0"/>
        <v>MPiliscsaba</v>
      </c>
      <c r="D57" s="13">
        <v>0.4</v>
      </c>
      <c r="E57" s="13">
        <v>0.55000000000000004</v>
      </c>
      <c r="F57" s="13">
        <v>0.55000000000000004</v>
      </c>
      <c r="G57" s="13">
        <v>0.7</v>
      </c>
      <c r="M57">
        <v>2.25</v>
      </c>
      <c r="N57">
        <v>3</v>
      </c>
      <c r="O57" s="6" t="e">
        <f>IF(Gyakorisag="Negyedéves",Segédtáblákk!M57,Segédtáblákk!N57)</f>
        <v>#NAME?</v>
      </c>
    </row>
    <row r="58" spans="2:15" x14ac:dyDescent="0.2">
      <c r="B58" s="15" t="s">
        <v>63</v>
      </c>
      <c r="C58" s="8" t="str">
        <f t="shared" si="0"/>
        <v>MPilisjászújfalu</v>
      </c>
      <c r="D58" s="13">
        <v>0.4</v>
      </c>
      <c r="E58" s="13">
        <v>0.55000000000000004</v>
      </c>
      <c r="F58" s="13">
        <v>0.55000000000000004</v>
      </c>
      <c r="G58" s="13">
        <v>0.7</v>
      </c>
      <c r="M58">
        <v>2.5</v>
      </c>
      <c r="N58">
        <v>4</v>
      </c>
      <c r="O58" s="6" t="e">
        <f>IF(Gyakorisag="Negyedéves",Segédtáblákk!M58,Segédtáblákk!N58)</f>
        <v>#NAME?</v>
      </c>
    </row>
    <row r="59" spans="2:15" x14ac:dyDescent="0.2">
      <c r="B59" s="12" t="s">
        <v>64</v>
      </c>
      <c r="C59" s="8" t="str">
        <f t="shared" si="0"/>
        <v>MPüspökhatvan</v>
      </c>
      <c r="D59" s="13">
        <v>0.55000000000000004</v>
      </c>
      <c r="E59" s="13">
        <v>0.55000000000000004</v>
      </c>
      <c r="F59" s="13">
        <v>0.55000000000000004</v>
      </c>
      <c r="G59" s="13">
        <v>0.7</v>
      </c>
      <c r="M59">
        <v>2.75</v>
      </c>
      <c r="N59">
        <v>5</v>
      </c>
      <c r="O59" s="6" t="e">
        <f>IF(Gyakorisag="Negyedéves",Segédtáblákk!M59,Segédtáblákk!N59)</f>
        <v>#NAME?</v>
      </c>
    </row>
    <row r="60" spans="2:15" x14ac:dyDescent="0.2">
      <c r="B60" s="12" t="s">
        <v>65</v>
      </c>
      <c r="C60" s="8" t="str">
        <f t="shared" si="0"/>
        <v>MPüspökszilágy</v>
      </c>
      <c r="D60" s="13">
        <v>0.55000000000000004</v>
      </c>
      <c r="E60" s="13">
        <v>0.55000000000000004</v>
      </c>
      <c r="F60" s="13">
        <v>0.55000000000000004</v>
      </c>
      <c r="G60" s="13">
        <v>0.7</v>
      </c>
      <c r="M60">
        <v>3</v>
      </c>
      <c r="N60">
        <v>6</v>
      </c>
      <c r="O60" s="6" t="e">
        <f>IF(Gyakorisag="Negyedéves",Segédtáblákk!M60,Segédtáblákk!N60)</f>
        <v>#NAME?</v>
      </c>
    </row>
    <row r="61" spans="2:15" x14ac:dyDescent="0.2">
      <c r="B61" s="12" t="s">
        <v>66</v>
      </c>
      <c r="C61" s="8" t="str">
        <f t="shared" si="0"/>
        <v>MRáckeve</v>
      </c>
      <c r="D61" s="13">
        <v>0.55000000000000004</v>
      </c>
      <c r="E61" s="13">
        <v>0.55000000000000004</v>
      </c>
      <c r="F61" s="13">
        <v>0.55000000000000004</v>
      </c>
      <c r="G61" s="13">
        <v>0.7</v>
      </c>
      <c r="I61" t="s">
        <v>163</v>
      </c>
      <c r="M61">
        <v>3.25</v>
      </c>
      <c r="N61">
        <v>7</v>
      </c>
      <c r="O61" s="6" t="e">
        <f>IF(Gyakorisag="Negyedéves",Segédtáblákk!M61,Segédtáblákk!N61)</f>
        <v>#NAME?</v>
      </c>
    </row>
    <row r="62" spans="2:15" x14ac:dyDescent="0.2">
      <c r="B62" s="12" t="s">
        <v>67</v>
      </c>
      <c r="C62" s="8" t="str">
        <f t="shared" si="0"/>
        <v>MSzentmártonkáta</v>
      </c>
      <c r="D62" s="13">
        <v>0.55000000000000004</v>
      </c>
      <c r="E62" s="13">
        <v>0.55000000000000004</v>
      </c>
      <c r="F62" s="13">
        <v>0.55000000000000004</v>
      </c>
      <c r="G62" s="13">
        <v>0.7</v>
      </c>
      <c r="I62" t="s">
        <v>298</v>
      </c>
      <c r="M62">
        <v>3.5</v>
      </c>
      <c r="O62" s="6" t="e">
        <f>IF(Gyakorisag="Negyedéves",Segédtáblákk!M62,Segédtáblákk!N62)</f>
        <v>#NAME?</v>
      </c>
    </row>
    <row r="63" spans="2:15" x14ac:dyDescent="0.2">
      <c r="B63" s="12" t="s">
        <v>68</v>
      </c>
      <c r="C63" s="8" t="str">
        <f t="shared" si="0"/>
        <v>MSzigetbecse</v>
      </c>
      <c r="D63" s="13">
        <v>0.55000000000000004</v>
      </c>
      <c r="E63" s="13">
        <v>0.55000000000000004</v>
      </c>
      <c r="F63" s="13">
        <v>0.55000000000000004</v>
      </c>
      <c r="G63" s="13">
        <v>0.7</v>
      </c>
      <c r="I63" t="s">
        <v>300</v>
      </c>
      <c r="M63">
        <v>3.75</v>
      </c>
      <c r="O63" s="6" t="e">
        <f>IF(Gyakorisag="Negyedéves",Segédtáblákk!M63,Segédtáblákk!N63)</f>
        <v>#NAME?</v>
      </c>
    </row>
    <row r="64" spans="2:15" x14ac:dyDescent="0.2">
      <c r="B64" s="12" t="s">
        <v>69</v>
      </c>
      <c r="C64" s="8" t="str">
        <f t="shared" si="0"/>
        <v>MSzigetszentmiklós</v>
      </c>
      <c r="D64" s="13">
        <v>0.55000000000000004</v>
      </c>
      <c r="E64" s="13">
        <v>0.55000000000000004</v>
      </c>
      <c r="F64" s="13">
        <v>0.55000000000000004</v>
      </c>
      <c r="G64" s="13">
        <v>0.7</v>
      </c>
      <c r="I64" t="s">
        <v>367</v>
      </c>
      <c r="M64">
        <v>4</v>
      </c>
      <c r="O64" s="6" t="e">
        <f>IF(Gyakorisag="Negyedéves",Segédtáblákk!M64,Segédtáblákk!N64)</f>
        <v>#NAME?</v>
      </c>
    </row>
    <row r="65" spans="2:15" x14ac:dyDescent="0.2">
      <c r="B65" s="12" t="s">
        <v>70</v>
      </c>
      <c r="C65" s="8" t="str">
        <f t="shared" si="0"/>
        <v>MSzob</v>
      </c>
      <c r="D65" s="13">
        <v>0.55000000000000004</v>
      </c>
      <c r="E65" s="13">
        <v>0.55000000000000004</v>
      </c>
      <c r="F65" s="13">
        <v>0.55000000000000004</v>
      </c>
      <c r="G65" s="13">
        <v>0.7</v>
      </c>
      <c r="I65" t="s">
        <v>368</v>
      </c>
      <c r="M65">
        <v>4.25</v>
      </c>
      <c r="O65" s="6" t="e">
        <f>IF(Gyakorisag="Negyedéves",Segédtáblákk!M65,Segédtáblákk!N65)</f>
        <v>#NAME?</v>
      </c>
    </row>
    <row r="66" spans="2:15" x14ac:dyDescent="0.2">
      <c r="B66" s="12" t="s">
        <v>71</v>
      </c>
      <c r="C66" s="8" t="str">
        <f t="shared" si="0"/>
        <v>MSzokolya</v>
      </c>
      <c r="D66" s="13">
        <v>0.55000000000000004</v>
      </c>
      <c r="E66" s="13">
        <v>0.55000000000000004</v>
      </c>
      <c r="F66" s="13">
        <v>0.55000000000000004</v>
      </c>
      <c r="G66" s="13">
        <v>0.7</v>
      </c>
      <c r="I66" t="s">
        <v>369</v>
      </c>
      <c r="M66">
        <v>4.5</v>
      </c>
      <c r="O66" s="6" t="e">
        <f>IF(Gyakorisag="Negyedéves",Segédtáblákk!M66,Segédtáblákk!N66)</f>
        <v>#NAME?</v>
      </c>
    </row>
    <row r="67" spans="2:15" x14ac:dyDescent="0.2">
      <c r="B67" s="14" t="s">
        <v>100</v>
      </c>
      <c r="C67" s="8" t="str">
        <f t="shared" si="0"/>
        <v>MSződliget</v>
      </c>
      <c r="D67" s="13">
        <v>0.55000000000000004</v>
      </c>
      <c r="E67" s="13">
        <v>0.55000000000000004</v>
      </c>
      <c r="F67" s="13">
        <v>0.55000000000000004</v>
      </c>
      <c r="G67" s="13">
        <v>0.7</v>
      </c>
      <c r="M67">
        <v>4.75</v>
      </c>
      <c r="O67" s="6" t="e">
        <f>IF(Gyakorisag="Negyedéves",Segédtáblákk!M67,Segédtáblákk!N67)</f>
        <v>#NAME?</v>
      </c>
    </row>
    <row r="68" spans="2:15" x14ac:dyDescent="0.2">
      <c r="B68" s="12" t="s">
        <v>72</v>
      </c>
      <c r="C68" s="8" t="str">
        <f t="shared" si="0"/>
        <v>MTáborfalva</v>
      </c>
      <c r="D68" s="13">
        <v>0.55000000000000004</v>
      </c>
      <c r="E68" s="13">
        <v>0.55000000000000004</v>
      </c>
      <c r="F68" s="13">
        <v>0.55000000000000004</v>
      </c>
      <c r="G68" s="13">
        <v>0.7</v>
      </c>
      <c r="M68">
        <v>5</v>
      </c>
      <c r="O68" s="6" t="e">
        <f>IF(Gyakorisag="Negyedéves",Segédtáblákk!M68,Segédtáblákk!N68)</f>
        <v>#NAME?</v>
      </c>
    </row>
    <row r="69" spans="2:15" x14ac:dyDescent="0.2">
      <c r="B69" s="12" t="s">
        <v>73</v>
      </c>
      <c r="C69" s="8" t="str">
        <f t="shared" ref="C69:C95" si="1">"M"&amp;B69</f>
        <v>MTápióbicske</v>
      </c>
      <c r="D69" s="13">
        <v>0.55000000000000004</v>
      </c>
      <c r="E69" s="13">
        <v>0.55000000000000004</v>
      </c>
      <c r="F69" s="13">
        <v>0.55000000000000004</v>
      </c>
      <c r="G69" s="13">
        <v>0.7</v>
      </c>
      <c r="M69">
        <v>5.25</v>
      </c>
      <c r="O69" s="6" t="e">
        <f>IF(Gyakorisag="Negyedéves",Segédtáblákk!M69,Segédtáblákk!N69)</f>
        <v>#NAME?</v>
      </c>
    </row>
    <row r="70" spans="2:15" x14ac:dyDescent="0.2">
      <c r="B70" s="12" t="s">
        <v>74</v>
      </c>
      <c r="C70" s="8" t="str">
        <f t="shared" si="1"/>
        <v>MTápiógyörgye</v>
      </c>
      <c r="D70" s="13">
        <v>0.55000000000000004</v>
      </c>
      <c r="E70" s="13">
        <v>0.55000000000000004</v>
      </c>
      <c r="F70" s="13">
        <v>0.55000000000000004</v>
      </c>
      <c r="G70" s="13">
        <v>0.7</v>
      </c>
      <c r="M70">
        <v>5.5</v>
      </c>
      <c r="O70" s="6" t="e">
        <f>IF(Gyakorisag="Negyedéves",Segédtáblákk!M70,Segédtáblákk!N70)</f>
        <v>#NAME?</v>
      </c>
    </row>
    <row r="71" spans="2:15" x14ac:dyDescent="0.2">
      <c r="B71" s="12" t="s">
        <v>75</v>
      </c>
      <c r="C71" s="8" t="str">
        <f t="shared" si="1"/>
        <v>MTápióság</v>
      </c>
      <c r="D71" s="13">
        <v>0.55000000000000004</v>
      </c>
      <c r="E71" s="13">
        <v>0.55000000000000004</v>
      </c>
      <c r="F71" s="13">
        <v>0.55000000000000004</v>
      </c>
      <c r="G71" s="13">
        <v>0.7</v>
      </c>
      <c r="M71">
        <v>5.75</v>
      </c>
      <c r="O71" s="6" t="e">
        <f>IF(Gyakorisag="Negyedéves",Segédtáblákk!M71,Segédtáblákk!N71)</f>
        <v>#NAME?</v>
      </c>
    </row>
    <row r="72" spans="2:15" x14ac:dyDescent="0.2">
      <c r="B72" s="12" t="s">
        <v>76</v>
      </c>
      <c r="C72" s="8" t="str">
        <f t="shared" si="1"/>
        <v>MTápiószele</v>
      </c>
      <c r="D72" s="13">
        <v>0.55000000000000004</v>
      </c>
      <c r="E72" s="13">
        <v>0.55000000000000004</v>
      </c>
      <c r="F72" s="13">
        <v>0.55000000000000004</v>
      </c>
      <c r="G72" s="13">
        <v>0.7</v>
      </c>
      <c r="M72">
        <v>6</v>
      </c>
      <c r="O72" s="6" t="e">
        <f>IF(Gyakorisag="Negyedéves",Segédtáblákk!M72,Segédtáblákk!N72)</f>
        <v>#NAME?</v>
      </c>
    </row>
    <row r="73" spans="2:15" x14ac:dyDescent="0.2">
      <c r="B73" s="12" t="s">
        <v>77</v>
      </c>
      <c r="C73" s="8" t="str">
        <f t="shared" si="1"/>
        <v>MTápiószentmárton</v>
      </c>
      <c r="D73" s="13">
        <v>0.55000000000000004</v>
      </c>
      <c r="E73" s="13">
        <v>0.55000000000000004</v>
      </c>
      <c r="F73" s="13">
        <v>0.55000000000000004</v>
      </c>
      <c r="G73" s="13">
        <v>0.7</v>
      </c>
      <c r="M73">
        <v>6.25</v>
      </c>
      <c r="O73" s="6" t="e">
        <f>IF(Gyakorisag="Negyedéves",Segédtáblákk!M73,Segédtáblákk!N73)</f>
        <v>#NAME?</v>
      </c>
    </row>
    <row r="74" spans="2:15" x14ac:dyDescent="0.2">
      <c r="B74" s="12" t="s">
        <v>78</v>
      </c>
      <c r="C74" s="8" t="str">
        <f t="shared" si="1"/>
        <v>MTápiószőlős</v>
      </c>
      <c r="D74" s="13">
        <v>0.55000000000000004</v>
      </c>
      <c r="E74" s="13">
        <v>0.55000000000000004</v>
      </c>
      <c r="F74" s="13">
        <v>0.55000000000000004</v>
      </c>
      <c r="G74" s="13">
        <v>0.7</v>
      </c>
      <c r="M74">
        <v>6.5</v>
      </c>
      <c r="O74" s="6" t="e">
        <f>IF(Gyakorisag="Negyedéves",Segédtáblákk!M74,Segédtáblákk!N74)</f>
        <v>#NAME?</v>
      </c>
    </row>
    <row r="75" spans="2:15" x14ac:dyDescent="0.2">
      <c r="B75" s="12" t="s">
        <v>79</v>
      </c>
      <c r="C75" s="8" t="str">
        <f t="shared" si="1"/>
        <v>MTatárszentgyörgy</v>
      </c>
      <c r="D75" s="13">
        <v>0.55000000000000004</v>
      </c>
      <c r="E75" s="13">
        <v>0.55000000000000004</v>
      </c>
      <c r="F75" s="13">
        <v>0.55000000000000004</v>
      </c>
      <c r="G75" s="13">
        <v>0.7</v>
      </c>
      <c r="M75">
        <v>6.75</v>
      </c>
      <c r="O75" s="6" t="e">
        <f>IF(Gyakorisag="Negyedéves",Segédtáblákk!M75,Segédtáblákk!N75)</f>
        <v>#NAME?</v>
      </c>
    </row>
    <row r="76" spans="2:15" x14ac:dyDescent="0.2">
      <c r="B76" s="12" t="s">
        <v>80</v>
      </c>
      <c r="C76" s="8" t="str">
        <f t="shared" si="1"/>
        <v>MTésa</v>
      </c>
      <c r="D76" s="13">
        <v>0.55000000000000004</v>
      </c>
      <c r="E76" s="13">
        <v>0.55000000000000004</v>
      </c>
      <c r="F76" s="13">
        <v>0.55000000000000004</v>
      </c>
      <c r="G76" s="13">
        <v>0.7</v>
      </c>
      <c r="M76">
        <v>7</v>
      </c>
      <c r="O76" s="6" t="e">
        <f>IF(Gyakorisag="Negyedéves",Segédtáblákk!M76,Segédtáblákk!N76)</f>
        <v>#NAME?</v>
      </c>
    </row>
    <row r="77" spans="2:15" x14ac:dyDescent="0.2">
      <c r="B77" s="12" t="s">
        <v>81</v>
      </c>
      <c r="C77" s="8" t="str">
        <f t="shared" si="1"/>
        <v>MTörtel</v>
      </c>
      <c r="D77" s="13">
        <v>0.55000000000000004</v>
      </c>
      <c r="E77" s="13">
        <v>0.55000000000000004</v>
      </c>
      <c r="F77" s="13">
        <v>0.55000000000000004</v>
      </c>
      <c r="G77" s="13">
        <v>0.7</v>
      </c>
      <c r="M77" s="7">
        <v>7.25</v>
      </c>
      <c r="N77" s="7"/>
      <c r="O77" s="7" t="e">
        <f>IF(Gyakorisag="Negyedéves",Segédtáblákk!M77,Segédtáblákk!N77)</f>
        <v>#NAME?</v>
      </c>
    </row>
    <row r="78" spans="2:15" x14ac:dyDescent="0.2">
      <c r="B78" s="12" t="s">
        <v>82</v>
      </c>
      <c r="C78" s="8" t="str">
        <f t="shared" si="1"/>
        <v>MTura</v>
      </c>
      <c r="D78" s="13">
        <v>0.55000000000000004</v>
      </c>
      <c r="E78" s="13">
        <v>0.55000000000000004</v>
      </c>
      <c r="F78" s="13">
        <v>0.55000000000000004</v>
      </c>
      <c r="G78" s="13">
        <v>0.7</v>
      </c>
      <c r="M78" s="7">
        <v>7.5</v>
      </c>
      <c r="N78" s="7"/>
      <c r="O78" s="7" t="e">
        <f>IF(Gyakorisag="Negyedéves",Segédtáblákk!M78,Segédtáblákk!N78)</f>
        <v>#NAME?</v>
      </c>
    </row>
    <row r="79" spans="2:15" x14ac:dyDescent="0.2">
      <c r="B79" s="12" t="s">
        <v>83</v>
      </c>
      <c r="C79" s="8" t="str">
        <f t="shared" si="1"/>
        <v>MÚjhartyán</v>
      </c>
      <c r="D79" s="13">
        <v>0.55000000000000004</v>
      </c>
      <c r="E79" s="13">
        <v>0.55000000000000004</v>
      </c>
      <c r="F79" s="13">
        <v>0.55000000000000004</v>
      </c>
      <c r="G79" s="13">
        <v>0.7</v>
      </c>
      <c r="M79" s="7">
        <v>7.75</v>
      </c>
      <c r="N79" s="7"/>
      <c r="O79" s="7" t="e">
        <f>IF(Gyakorisag="Negyedéves",Segédtáblákk!M79,Segédtáblákk!N79)</f>
        <v>#NAME?</v>
      </c>
    </row>
    <row r="80" spans="2:15" x14ac:dyDescent="0.2">
      <c r="B80" s="12" t="s">
        <v>84</v>
      </c>
      <c r="C80" s="8" t="str">
        <f t="shared" si="1"/>
        <v>MÚjszilvás</v>
      </c>
      <c r="D80" s="13">
        <v>0.55000000000000004</v>
      </c>
      <c r="E80" s="13">
        <v>0.55000000000000004</v>
      </c>
      <c r="F80" s="13">
        <v>0.55000000000000004</v>
      </c>
      <c r="G80" s="13">
        <v>0.7</v>
      </c>
      <c r="M80" s="7">
        <v>8</v>
      </c>
      <c r="N80" s="7"/>
      <c r="O80" s="7" t="e">
        <f>IF(Gyakorisag="Negyedéves",Segédtáblákk!M80,Segédtáblákk!N80)</f>
        <v>#NAME?</v>
      </c>
    </row>
    <row r="81" spans="2:15" x14ac:dyDescent="0.2">
      <c r="B81" s="12" t="s">
        <v>85</v>
      </c>
      <c r="C81" s="8" t="str">
        <f t="shared" si="1"/>
        <v>MÜllő</v>
      </c>
      <c r="D81" s="13">
        <v>0.55000000000000004</v>
      </c>
      <c r="E81" s="13">
        <v>0.55000000000000004</v>
      </c>
      <c r="F81" s="13">
        <v>0.55000000000000004</v>
      </c>
      <c r="G81" s="13">
        <v>0.7</v>
      </c>
      <c r="M81" s="7">
        <v>8.25</v>
      </c>
      <c r="N81" s="7"/>
      <c r="O81" s="7" t="e">
        <f>IF(Gyakorisag="Negyedéves",Segédtáblákk!M81,Segédtáblákk!N81)</f>
        <v>#NAME?</v>
      </c>
    </row>
    <row r="82" spans="2:15" x14ac:dyDescent="0.2">
      <c r="B82" s="12" t="s">
        <v>86</v>
      </c>
      <c r="C82" s="8" t="str">
        <f t="shared" si="1"/>
        <v>MVác</v>
      </c>
      <c r="D82" s="13">
        <v>0.55000000000000004</v>
      </c>
      <c r="E82" s="13">
        <v>0.55000000000000004</v>
      </c>
      <c r="F82" s="13">
        <v>0.55000000000000004</v>
      </c>
      <c r="G82" s="13">
        <v>0.7</v>
      </c>
      <c r="M82" s="7">
        <v>8.5</v>
      </c>
      <c r="N82" s="7"/>
      <c r="O82" s="7" t="e">
        <f>IF(Gyakorisag="Negyedéves",Segédtáblákk!M82,Segédtáblákk!N82)</f>
        <v>#NAME?</v>
      </c>
    </row>
    <row r="83" spans="2:15" x14ac:dyDescent="0.2">
      <c r="B83" s="12" t="s">
        <v>87</v>
      </c>
      <c r="C83" s="8" t="str">
        <f t="shared" si="1"/>
        <v>MVáckisújfalu</v>
      </c>
      <c r="D83" s="13">
        <v>0.55000000000000004</v>
      </c>
      <c r="E83" s="13">
        <v>0.55000000000000004</v>
      </c>
      <c r="F83" s="13">
        <v>0.55000000000000004</v>
      </c>
      <c r="G83" s="13">
        <v>0.7</v>
      </c>
      <c r="M83" s="7">
        <v>8.75</v>
      </c>
      <c r="N83" s="7"/>
      <c r="O83" s="7" t="e">
        <f>IF(Gyakorisag="Negyedéves",Segédtáblákk!M83,Segédtáblákk!N83)</f>
        <v>#NAME?</v>
      </c>
    </row>
    <row r="84" spans="2:15" x14ac:dyDescent="0.2">
      <c r="B84" s="12" t="s">
        <v>88</v>
      </c>
      <c r="C84" s="8" t="str">
        <f t="shared" si="1"/>
        <v>MValkó</v>
      </c>
      <c r="D84" s="13">
        <v>0.55000000000000004</v>
      </c>
      <c r="E84" s="13">
        <v>0.55000000000000004</v>
      </c>
      <c r="F84" s="13">
        <v>0.55000000000000004</v>
      </c>
      <c r="G84" s="13">
        <v>0.7</v>
      </c>
      <c r="M84" s="7">
        <v>9</v>
      </c>
      <c r="N84" s="7"/>
      <c r="O84" s="7" t="e">
        <f>IF(Gyakorisag="Negyedéves",Segédtáblákk!M84,Segédtáblákk!N84)</f>
        <v>#NAME?</v>
      </c>
    </row>
    <row r="85" spans="2:15" x14ac:dyDescent="0.2">
      <c r="B85" s="12" t="s">
        <v>89</v>
      </c>
      <c r="C85" s="8" t="str">
        <f t="shared" si="1"/>
        <v>MVámosmikola</v>
      </c>
      <c r="D85" s="13">
        <v>0.55000000000000004</v>
      </c>
      <c r="E85" s="13">
        <v>0.55000000000000004</v>
      </c>
      <c r="F85" s="13">
        <v>0.55000000000000004</v>
      </c>
      <c r="G85" s="13">
        <v>0.7</v>
      </c>
      <c r="M85" s="7">
        <v>9.25</v>
      </c>
      <c r="N85" s="7"/>
      <c r="O85" s="7" t="e">
        <f>IF(Gyakorisag="Negyedéves",Segédtáblákk!M85,Segédtáblákk!N85)</f>
        <v>#NAME?</v>
      </c>
    </row>
    <row r="86" spans="2:15" x14ac:dyDescent="0.2">
      <c r="B86" s="12" t="s">
        <v>90</v>
      </c>
      <c r="C86" s="8" t="str">
        <f t="shared" si="1"/>
        <v>MVecsés</v>
      </c>
      <c r="D86" s="13">
        <v>0.55000000000000004</v>
      </c>
      <c r="E86" s="13">
        <v>0.55000000000000004</v>
      </c>
      <c r="F86" s="13">
        <v>0.55000000000000004</v>
      </c>
      <c r="G86" s="13">
        <v>0.7</v>
      </c>
      <c r="M86" s="7">
        <v>9.5</v>
      </c>
      <c r="N86" s="7"/>
      <c r="O86" s="7" t="e">
        <f>IF(Gyakorisag="Negyedéves",Segédtáblákk!M86,Segédtáblákk!N86)</f>
        <v>#NAME?</v>
      </c>
    </row>
    <row r="87" spans="2:15" x14ac:dyDescent="0.2">
      <c r="B87" s="12" t="s">
        <v>91</v>
      </c>
      <c r="C87" s="8" t="str">
        <f t="shared" si="1"/>
        <v>MVerőce</v>
      </c>
      <c r="D87" s="13">
        <v>0.55000000000000004</v>
      </c>
      <c r="E87" s="13">
        <v>0.55000000000000004</v>
      </c>
      <c r="F87" s="13">
        <v>0.55000000000000004</v>
      </c>
      <c r="G87" s="13">
        <v>0.7</v>
      </c>
      <c r="M87" s="7">
        <v>9.75</v>
      </c>
      <c r="N87" s="7"/>
      <c r="O87" s="7" t="e">
        <f>IF(Gyakorisag="Negyedéves",Segédtáblákk!M87,Segédtáblákk!N87)</f>
        <v>#NAME?</v>
      </c>
    </row>
    <row r="88" spans="2:15" x14ac:dyDescent="0.2">
      <c r="B88" s="16" t="s">
        <v>92</v>
      </c>
      <c r="C88" s="8" t="str">
        <f t="shared" si="1"/>
        <v xml:space="preserve">MVerseg </v>
      </c>
      <c r="D88" s="13">
        <v>0.55000000000000004</v>
      </c>
      <c r="E88" s="13">
        <v>0.55000000000000004</v>
      </c>
      <c r="F88" s="13">
        <v>0.55000000000000004</v>
      </c>
      <c r="G88" s="13">
        <v>0.7</v>
      </c>
      <c r="M88" s="7">
        <v>10</v>
      </c>
      <c r="N88" s="7"/>
      <c r="O88" s="7" t="e">
        <f>IF(Gyakorisag="Negyedéves",Segédtáblákk!M88,Segédtáblákk!N88)</f>
        <v>#NAME?</v>
      </c>
    </row>
    <row r="89" spans="2:15" x14ac:dyDescent="0.2">
      <c r="B89" s="12" t="s">
        <v>93</v>
      </c>
      <c r="C89" s="8" t="str">
        <f t="shared" si="1"/>
        <v>MZebegény</v>
      </c>
      <c r="D89" s="13">
        <v>0.55000000000000004</v>
      </c>
      <c r="E89" s="13">
        <v>0.55000000000000004</v>
      </c>
      <c r="F89" s="13">
        <v>0.55000000000000004</v>
      </c>
      <c r="G89" s="13">
        <v>0.7</v>
      </c>
      <c r="M89" s="7">
        <v>10.25</v>
      </c>
      <c r="N89" s="7"/>
      <c r="O89" s="7" t="e">
        <f>IF(Gyakorisag="Negyedéves",Segédtáblákk!M89,Segédtáblákk!N89)</f>
        <v>#NAME?</v>
      </c>
    </row>
    <row r="90" spans="2:15" x14ac:dyDescent="0.2">
      <c r="B90" s="17" t="s">
        <v>103</v>
      </c>
      <c r="C90" s="8" t="str">
        <f t="shared" si="1"/>
        <v>MÉszak Magyarország</v>
      </c>
      <c r="D90" s="18">
        <v>0.7</v>
      </c>
      <c r="E90" s="18">
        <v>0.65</v>
      </c>
      <c r="F90" s="18">
        <v>0.65</v>
      </c>
      <c r="G90" s="18">
        <v>0.8</v>
      </c>
      <c r="M90" s="7">
        <v>10.5</v>
      </c>
      <c r="N90" s="7"/>
      <c r="O90" s="7" t="e">
        <f>IF(Gyakorisag="Negyedéves",Segédtáblákk!M90,Segédtáblákk!N90)</f>
        <v>#NAME?</v>
      </c>
    </row>
    <row r="91" spans="2:15" x14ac:dyDescent="0.2">
      <c r="B91" s="19" t="s">
        <v>104</v>
      </c>
      <c r="C91" s="8" t="str">
        <f t="shared" si="1"/>
        <v>MÉszak Alföld</v>
      </c>
      <c r="D91" s="18">
        <v>0.7</v>
      </c>
      <c r="E91" s="18">
        <v>0.65</v>
      </c>
      <c r="F91" s="18">
        <v>0.65</v>
      </c>
      <c r="G91" s="18">
        <v>0.8</v>
      </c>
      <c r="M91" s="7"/>
      <c r="N91" s="7"/>
      <c r="O91" s="7"/>
    </row>
    <row r="92" spans="2:15" x14ac:dyDescent="0.2">
      <c r="B92" s="19" t="s">
        <v>105</v>
      </c>
      <c r="C92" s="8" t="str">
        <f t="shared" si="1"/>
        <v>MDél Alföld</v>
      </c>
      <c r="D92" s="18">
        <v>0.7</v>
      </c>
      <c r="E92" s="18">
        <v>0.65</v>
      </c>
      <c r="F92" s="18">
        <v>0.65</v>
      </c>
      <c r="G92" s="18">
        <v>0.8</v>
      </c>
      <c r="M92" s="7"/>
      <c r="N92" s="7"/>
      <c r="O92" s="7"/>
    </row>
    <row r="93" spans="2:15" x14ac:dyDescent="0.2">
      <c r="B93" s="19" t="s">
        <v>106</v>
      </c>
      <c r="C93" s="8" t="str">
        <f t="shared" si="1"/>
        <v>MDél Dunántúl</v>
      </c>
      <c r="D93" s="18">
        <v>0.7</v>
      </c>
      <c r="E93" s="18">
        <v>0.65</v>
      </c>
      <c r="F93" s="18">
        <v>0.65</v>
      </c>
      <c r="G93" s="18">
        <v>0.8</v>
      </c>
      <c r="M93" s="7"/>
      <c r="N93" s="7"/>
      <c r="O93" s="7"/>
    </row>
    <row r="94" spans="2:15" x14ac:dyDescent="0.2">
      <c r="B94" s="17" t="s">
        <v>107</v>
      </c>
      <c r="C94" s="8" t="str">
        <f t="shared" si="1"/>
        <v>MKözép Dunántúl</v>
      </c>
      <c r="D94" s="18">
        <v>0.55000000000000004</v>
      </c>
      <c r="E94" s="18">
        <v>0.65</v>
      </c>
      <c r="F94" s="18">
        <v>0.65</v>
      </c>
      <c r="G94" s="18">
        <v>0.8</v>
      </c>
      <c r="M94" s="7"/>
      <c r="N94" s="7"/>
      <c r="O94" s="7"/>
    </row>
    <row r="95" spans="2:15" ht="16" thickBot="1" x14ac:dyDescent="0.25">
      <c r="B95" s="20" t="s">
        <v>108</v>
      </c>
      <c r="C95" s="21" t="str">
        <f t="shared" si="1"/>
        <v>MNyugat Dunántúl</v>
      </c>
      <c r="D95" s="22">
        <v>0.45</v>
      </c>
      <c r="E95" s="22">
        <v>0.65</v>
      </c>
      <c r="F95" s="22">
        <v>0.65</v>
      </c>
      <c r="G95" s="22">
        <v>0.8</v>
      </c>
    </row>
    <row r="96" spans="2:15" x14ac:dyDescent="0.2">
      <c r="B96" s="9" t="s">
        <v>10</v>
      </c>
      <c r="C96" s="10" t="str">
        <f>"K"&amp;B96</f>
        <v>KAbony</v>
      </c>
      <c r="D96" s="11">
        <v>0.45</v>
      </c>
      <c r="E96" s="11">
        <v>0.45</v>
      </c>
      <c r="F96" s="11">
        <v>0.45</v>
      </c>
      <c r="G96" s="11">
        <v>0.6</v>
      </c>
    </row>
    <row r="97" spans="2:7" x14ac:dyDescent="0.2">
      <c r="B97" s="12" t="s">
        <v>11</v>
      </c>
      <c r="C97" s="8" t="str">
        <f>"K"&amp;B97</f>
        <v>KAlsónémedi</v>
      </c>
      <c r="D97" s="13">
        <v>0.45</v>
      </c>
      <c r="E97" s="13">
        <v>0.45</v>
      </c>
      <c r="F97" s="13">
        <v>0.45</v>
      </c>
      <c r="G97" s="13">
        <v>0.6</v>
      </c>
    </row>
    <row r="98" spans="2:7" x14ac:dyDescent="0.2">
      <c r="B98" s="12" t="s">
        <v>12</v>
      </c>
      <c r="C98" s="8" t="str">
        <f t="shared" ref="C98:C161" si="2">"K"&amp;B98</f>
        <v>KÁporka</v>
      </c>
      <c r="D98" s="13">
        <v>0.45</v>
      </c>
      <c r="E98" s="13">
        <v>0.45</v>
      </c>
      <c r="F98" s="13">
        <v>0.45</v>
      </c>
      <c r="G98" s="13">
        <v>0.6</v>
      </c>
    </row>
    <row r="99" spans="2:7" x14ac:dyDescent="0.2">
      <c r="B99" s="12" t="s">
        <v>13</v>
      </c>
      <c r="C99" s="8" t="str">
        <f t="shared" si="2"/>
        <v>KAszód</v>
      </c>
      <c r="D99" s="13">
        <v>0.45</v>
      </c>
      <c r="E99" s="13">
        <v>0.45</v>
      </c>
      <c r="F99" s="13">
        <v>0.45</v>
      </c>
      <c r="G99" s="13">
        <v>0.6</v>
      </c>
    </row>
    <row r="100" spans="2:7" x14ac:dyDescent="0.2">
      <c r="B100" s="12" t="s">
        <v>14</v>
      </c>
      <c r="C100" s="8" t="str">
        <f t="shared" si="2"/>
        <v>KBag</v>
      </c>
      <c r="D100" s="13">
        <v>0.45</v>
      </c>
      <c r="E100" s="13">
        <v>0.45</v>
      </c>
      <c r="F100" s="13">
        <v>0.45</v>
      </c>
      <c r="G100" s="13">
        <v>0.6</v>
      </c>
    </row>
    <row r="101" spans="2:7" x14ac:dyDescent="0.2">
      <c r="B101" s="12" t="s">
        <v>15</v>
      </c>
      <c r="C101" s="8" t="str">
        <f t="shared" si="2"/>
        <v>KBernecebaráti</v>
      </c>
      <c r="D101" s="13">
        <v>0.45</v>
      </c>
      <c r="E101" s="13">
        <v>0.45</v>
      </c>
      <c r="F101" s="13">
        <v>0.45</v>
      </c>
      <c r="G101" s="13">
        <v>0.6</v>
      </c>
    </row>
    <row r="102" spans="2:7" x14ac:dyDescent="0.2">
      <c r="B102" s="12" t="s">
        <v>16</v>
      </c>
      <c r="C102" s="8" t="str">
        <f t="shared" si="2"/>
        <v>KCegléd</v>
      </c>
      <c r="D102" s="13">
        <v>0.45</v>
      </c>
      <c r="E102" s="13">
        <v>0.45</v>
      </c>
      <c r="F102" s="13">
        <v>0.45</v>
      </c>
      <c r="G102" s="13">
        <v>0.6</v>
      </c>
    </row>
    <row r="103" spans="2:7" x14ac:dyDescent="0.2">
      <c r="B103" s="12" t="s">
        <v>17</v>
      </c>
      <c r="C103" s="8" t="str">
        <f t="shared" si="2"/>
        <v>KCsemő</v>
      </c>
      <c r="D103" s="13">
        <v>0.45</v>
      </c>
      <c r="E103" s="13">
        <v>0.45</v>
      </c>
      <c r="F103" s="13">
        <v>0.45</v>
      </c>
      <c r="G103" s="13">
        <v>0.6</v>
      </c>
    </row>
    <row r="104" spans="2:7" x14ac:dyDescent="0.2">
      <c r="B104" s="12" t="s">
        <v>18</v>
      </c>
      <c r="C104" s="8" t="str">
        <f t="shared" si="2"/>
        <v>KDabas</v>
      </c>
      <c r="D104" s="13">
        <v>0.45</v>
      </c>
      <c r="E104" s="13">
        <v>0.45</v>
      </c>
      <c r="F104" s="13">
        <v>0.45</v>
      </c>
      <c r="G104" s="13">
        <v>0.6</v>
      </c>
    </row>
    <row r="105" spans="2:7" x14ac:dyDescent="0.2">
      <c r="B105" s="12" t="s">
        <v>19</v>
      </c>
      <c r="C105" s="8" t="str">
        <f t="shared" si="2"/>
        <v>KDomony</v>
      </c>
      <c r="D105" s="13">
        <v>0.45</v>
      </c>
      <c r="E105" s="13">
        <v>0.45</v>
      </c>
      <c r="F105" s="13">
        <v>0.45</v>
      </c>
      <c r="G105" s="13">
        <v>0.6</v>
      </c>
    </row>
    <row r="106" spans="2:7" x14ac:dyDescent="0.2">
      <c r="B106" s="12" t="s">
        <v>20</v>
      </c>
      <c r="C106" s="8" t="str">
        <f t="shared" si="2"/>
        <v>KDömsöd</v>
      </c>
      <c r="D106" s="13">
        <v>0.45</v>
      </c>
      <c r="E106" s="13">
        <v>0.45</v>
      </c>
      <c r="F106" s="13">
        <v>0.45</v>
      </c>
      <c r="G106" s="13">
        <v>0.6</v>
      </c>
    </row>
    <row r="107" spans="2:7" x14ac:dyDescent="0.2">
      <c r="B107" s="12" t="s">
        <v>21</v>
      </c>
      <c r="C107" s="8" t="str">
        <f t="shared" si="2"/>
        <v>KDunaharaszti</v>
      </c>
      <c r="D107" s="13">
        <v>0.45</v>
      </c>
      <c r="E107" s="13">
        <v>0.45</v>
      </c>
      <c r="F107" s="13">
        <v>0.45</v>
      </c>
      <c r="G107" s="13">
        <v>0.6</v>
      </c>
    </row>
    <row r="108" spans="2:7" x14ac:dyDescent="0.2">
      <c r="B108" s="12" t="s">
        <v>22</v>
      </c>
      <c r="C108" s="8" t="str">
        <f t="shared" si="2"/>
        <v>KEcser</v>
      </c>
      <c r="D108" s="13">
        <v>0.45</v>
      </c>
      <c r="E108" s="13">
        <v>0.45</v>
      </c>
      <c r="F108" s="13">
        <v>0.45</v>
      </c>
      <c r="G108" s="13">
        <v>0.6</v>
      </c>
    </row>
    <row r="109" spans="2:7" x14ac:dyDescent="0.2">
      <c r="B109" s="12" t="s">
        <v>23</v>
      </c>
      <c r="C109" s="8" t="str">
        <f t="shared" si="2"/>
        <v>KÉrd</v>
      </c>
      <c r="D109" s="13">
        <v>0.45</v>
      </c>
      <c r="E109" s="13">
        <v>0.45</v>
      </c>
      <c r="F109" s="13">
        <v>0.45</v>
      </c>
      <c r="G109" s="13">
        <v>0.6</v>
      </c>
    </row>
    <row r="110" spans="2:7" x14ac:dyDescent="0.2">
      <c r="B110" s="12" t="s">
        <v>24</v>
      </c>
      <c r="C110" s="8" t="str">
        <f t="shared" si="2"/>
        <v>KFarmos</v>
      </c>
      <c r="D110" s="13">
        <v>0.45</v>
      </c>
      <c r="E110" s="13">
        <v>0.45</v>
      </c>
      <c r="F110" s="13">
        <v>0.45</v>
      </c>
      <c r="G110" s="13">
        <v>0.6</v>
      </c>
    </row>
    <row r="111" spans="2:7" x14ac:dyDescent="0.2">
      <c r="B111" s="12" t="s">
        <v>25</v>
      </c>
      <c r="C111" s="8" t="str">
        <f t="shared" si="2"/>
        <v>KFelsőpakony</v>
      </c>
      <c r="D111" s="13">
        <v>0.45</v>
      </c>
      <c r="E111" s="13">
        <v>0.45</v>
      </c>
      <c r="F111" s="13">
        <v>0.45</v>
      </c>
      <c r="G111" s="13">
        <v>0.6</v>
      </c>
    </row>
    <row r="112" spans="2:7" x14ac:dyDescent="0.2">
      <c r="B112" s="12" t="s">
        <v>26</v>
      </c>
      <c r="C112" s="8" t="str">
        <f t="shared" si="2"/>
        <v>KGalgagyörk</v>
      </c>
      <c r="D112" s="13">
        <v>0.45</v>
      </c>
      <c r="E112" s="13">
        <v>0.45</v>
      </c>
      <c r="F112" s="13">
        <v>0.45</v>
      </c>
      <c r="G112" s="13">
        <v>0.6</v>
      </c>
    </row>
    <row r="113" spans="2:7" x14ac:dyDescent="0.2">
      <c r="B113" s="12" t="s">
        <v>27</v>
      </c>
      <c r="C113" s="8" t="str">
        <f t="shared" si="2"/>
        <v>KGalgahévíz</v>
      </c>
      <c r="D113" s="13">
        <v>0.45</v>
      </c>
      <c r="E113" s="13">
        <v>0.45</v>
      </c>
      <c r="F113" s="13">
        <v>0.45</v>
      </c>
      <c r="G113" s="13">
        <v>0.6</v>
      </c>
    </row>
    <row r="114" spans="2:7" x14ac:dyDescent="0.2">
      <c r="B114" s="12" t="s">
        <v>28</v>
      </c>
      <c r="C114" s="8" t="str">
        <f t="shared" si="2"/>
        <v>KGalgamácsa</v>
      </c>
      <c r="D114" s="13">
        <v>0.45</v>
      </c>
      <c r="E114" s="13">
        <v>0.45</v>
      </c>
      <c r="F114" s="13">
        <v>0.45</v>
      </c>
      <c r="G114" s="13">
        <v>0.6</v>
      </c>
    </row>
    <row r="115" spans="2:7" x14ac:dyDescent="0.2">
      <c r="B115" s="14" t="s">
        <v>99</v>
      </c>
      <c r="C115" s="8" t="str">
        <f t="shared" si="2"/>
        <v>KGöd</v>
      </c>
      <c r="D115" s="13">
        <v>0.45</v>
      </c>
      <c r="E115" s="13">
        <v>0.45</v>
      </c>
      <c r="F115" s="13">
        <v>0.45</v>
      </c>
      <c r="G115" s="13">
        <v>0.6</v>
      </c>
    </row>
    <row r="116" spans="2:7" x14ac:dyDescent="0.2">
      <c r="B116" s="12" t="s">
        <v>29</v>
      </c>
      <c r="C116" s="8" t="str">
        <f t="shared" si="2"/>
        <v>KGödöllő</v>
      </c>
      <c r="D116" s="13">
        <v>0.45</v>
      </c>
      <c r="E116" s="13">
        <v>0.45</v>
      </c>
      <c r="F116" s="13">
        <v>0.45</v>
      </c>
      <c r="G116" s="13">
        <v>0.6</v>
      </c>
    </row>
    <row r="117" spans="2:7" x14ac:dyDescent="0.2">
      <c r="B117" s="12" t="s">
        <v>30</v>
      </c>
      <c r="C117" s="8" t="str">
        <f t="shared" si="2"/>
        <v>KGyál</v>
      </c>
      <c r="D117" s="13">
        <v>0.45</v>
      </c>
      <c r="E117" s="13">
        <v>0.45</v>
      </c>
      <c r="F117" s="13">
        <v>0.45</v>
      </c>
      <c r="G117" s="13">
        <v>0.6</v>
      </c>
    </row>
    <row r="118" spans="2:7" x14ac:dyDescent="0.2">
      <c r="B118" s="12" t="s">
        <v>31</v>
      </c>
      <c r="C118" s="8" t="str">
        <f t="shared" si="2"/>
        <v>KGyömrő</v>
      </c>
      <c r="D118" s="13">
        <v>0.45</v>
      </c>
      <c r="E118" s="13">
        <v>0.45</v>
      </c>
      <c r="F118" s="13">
        <v>0.45</v>
      </c>
      <c r="G118" s="13">
        <v>0.6</v>
      </c>
    </row>
    <row r="119" spans="2:7" x14ac:dyDescent="0.2">
      <c r="B119" s="12" t="s">
        <v>32</v>
      </c>
      <c r="C119" s="8" t="str">
        <f t="shared" si="2"/>
        <v>KHalásztelek</v>
      </c>
      <c r="D119" s="13">
        <v>0.45</v>
      </c>
      <c r="E119" s="13">
        <v>0.45</v>
      </c>
      <c r="F119" s="13">
        <v>0.45</v>
      </c>
      <c r="G119" s="13">
        <v>0.6</v>
      </c>
    </row>
    <row r="120" spans="2:7" x14ac:dyDescent="0.2">
      <c r="B120" s="12" t="s">
        <v>33</v>
      </c>
      <c r="C120" s="8" t="str">
        <f t="shared" si="2"/>
        <v>KHévízgyörk</v>
      </c>
      <c r="D120" s="13">
        <v>0.45</v>
      </c>
      <c r="E120" s="13">
        <v>0.45</v>
      </c>
      <c r="F120" s="13">
        <v>0.45</v>
      </c>
      <c r="G120" s="13">
        <v>0.6</v>
      </c>
    </row>
    <row r="121" spans="2:7" x14ac:dyDescent="0.2">
      <c r="B121" s="12" t="s">
        <v>34</v>
      </c>
      <c r="C121" s="8" t="str">
        <f t="shared" si="2"/>
        <v>KIklad</v>
      </c>
      <c r="D121" s="13">
        <v>0.45</v>
      </c>
      <c r="E121" s="13">
        <v>0.45</v>
      </c>
      <c r="F121" s="13">
        <v>0.45</v>
      </c>
      <c r="G121" s="13">
        <v>0.6</v>
      </c>
    </row>
    <row r="122" spans="2:7" x14ac:dyDescent="0.2">
      <c r="B122" s="12" t="s">
        <v>35</v>
      </c>
      <c r="C122" s="8" t="str">
        <f t="shared" si="2"/>
        <v>KIpolydamásd</v>
      </c>
      <c r="D122" s="13">
        <v>0.45</v>
      </c>
      <c r="E122" s="13">
        <v>0.45</v>
      </c>
      <c r="F122" s="13">
        <v>0.45</v>
      </c>
      <c r="G122" s="13">
        <v>0.6</v>
      </c>
    </row>
    <row r="123" spans="2:7" x14ac:dyDescent="0.2">
      <c r="B123" s="12" t="s">
        <v>36</v>
      </c>
      <c r="C123" s="8" t="str">
        <f t="shared" si="2"/>
        <v>KIpolytölgyes</v>
      </c>
      <c r="D123" s="13">
        <v>0.45</v>
      </c>
      <c r="E123" s="13">
        <v>0.45</v>
      </c>
      <c r="F123" s="13">
        <v>0.45</v>
      </c>
      <c r="G123" s="13">
        <v>0.6</v>
      </c>
    </row>
    <row r="124" spans="2:7" x14ac:dyDescent="0.2">
      <c r="B124" s="12" t="s">
        <v>37</v>
      </c>
      <c r="C124" s="8" t="str">
        <f t="shared" si="2"/>
        <v>KJászkarajenő</v>
      </c>
      <c r="D124" s="13">
        <v>0.45</v>
      </c>
      <c r="E124" s="13">
        <v>0.45</v>
      </c>
      <c r="F124" s="13">
        <v>0.45</v>
      </c>
      <c r="G124" s="13">
        <v>0.6</v>
      </c>
    </row>
    <row r="125" spans="2:7" x14ac:dyDescent="0.2">
      <c r="B125" s="12" t="s">
        <v>38</v>
      </c>
      <c r="C125" s="8" t="str">
        <f t="shared" si="2"/>
        <v>KKartal</v>
      </c>
      <c r="D125" s="13">
        <v>0.45</v>
      </c>
      <c r="E125" s="13">
        <v>0.45</v>
      </c>
      <c r="F125" s="13">
        <v>0.45</v>
      </c>
      <c r="G125" s="13">
        <v>0.6</v>
      </c>
    </row>
    <row r="126" spans="2:7" x14ac:dyDescent="0.2">
      <c r="B126" s="12" t="s">
        <v>39</v>
      </c>
      <c r="C126" s="8" t="str">
        <f t="shared" si="2"/>
        <v>KKemence</v>
      </c>
      <c r="D126" s="13">
        <v>0.45</v>
      </c>
      <c r="E126" s="13">
        <v>0.45</v>
      </c>
      <c r="F126" s="13">
        <v>0.45</v>
      </c>
      <c r="G126" s="13">
        <v>0.6</v>
      </c>
    </row>
    <row r="127" spans="2:7" x14ac:dyDescent="0.2">
      <c r="B127" s="12" t="s">
        <v>40</v>
      </c>
      <c r="C127" s="8" t="str">
        <f t="shared" si="2"/>
        <v>KKiskunlacháza</v>
      </c>
      <c r="D127" s="13">
        <v>0.45</v>
      </c>
      <c r="E127" s="13">
        <v>0.45</v>
      </c>
      <c r="F127" s="13">
        <v>0.45</v>
      </c>
      <c r="G127" s="13">
        <v>0.6</v>
      </c>
    </row>
    <row r="128" spans="2:7" x14ac:dyDescent="0.2">
      <c r="B128" s="12" t="s">
        <v>41</v>
      </c>
      <c r="C128" s="8" t="str">
        <f t="shared" si="2"/>
        <v>KKisnémedi</v>
      </c>
      <c r="D128" s="13">
        <v>0.45</v>
      </c>
      <c r="E128" s="13">
        <v>0.45</v>
      </c>
      <c r="F128" s="13">
        <v>0.45</v>
      </c>
      <c r="G128" s="13">
        <v>0.6</v>
      </c>
    </row>
    <row r="129" spans="2:7" x14ac:dyDescent="0.2">
      <c r="B129" s="12" t="s">
        <v>42</v>
      </c>
      <c r="C129" s="8" t="str">
        <f t="shared" si="2"/>
        <v>KKocsér</v>
      </c>
      <c r="D129" s="13">
        <v>0.45</v>
      </c>
      <c r="E129" s="13">
        <v>0.45</v>
      </c>
      <c r="F129" s="13">
        <v>0.45</v>
      </c>
      <c r="G129" s="13">
        <v>0.6</v>
      </c>
    </row>
    <row r="130" spans="2:7" x14ac:dyDescent="0.2">
      <c r="B130" s="12" t="s">
        <v>43</v>
      </c>
      <c r="C130" s="8" t="str">
        <f t="shared" si="2"/>
        <v>KKóspallag</v>
      </c>
      <c r="D130" s="13">
        <v>0.45</v>
      </c>
      <c r="E130" s="13">
        <v>0.45</v>
      </c>
      <c r="F130" s="13">
        <v>0.45</v>
      </c>
      <c r="G130" s="13">
        <v>0.6</v>
      </c>
    </row>
    <row r="131" spans="2:7" x14ac:dyDescent="0.2">
      <c r="B131" s="12" t="s">
        <v>44</v>
      </c>
      <c r="C131" s="8" t="str">
        <f t="shared" si="2"/>
        <v>KKőröstetétlen</v>
      </c>
      <c r="D131" s="13">
        <v>0.45</v>
      </c>
      <c r="E131" s="13">
        <v>0.45</v>
      </c>
      <c r="F131" s="13">
        <v>0.45</v>
      </c>
      <c r="G131" s="13">
        <v>0.6</v>
      </c>
    </row>
    <row r="132" spans="2:7" x14ac:dyDescent="0.2">
      <c r="B132" s="12" t="s">
        <v>45</v>
      </c>
      <c r="C132" s="8" t="str">
        <f t="shared" si="2"/>
        <v>KLetkés</v>
      </c>
      <c r="D132" s="13">
        <v>0.45</v>
      </c>
      <c r="E132" s="13">
        <v>0.45</v>
      </c>
      <c r="F132" s="13">
        <v>0.45</v>
      </c>
      <c r="G132" s="13">
        <v>0.6</v>
      </c>
    </row>
    <row r="133" spans="2:7" x14ac:dyDescent="0.2">
      <c r="B133" s="12" t="s">
        <v>46</v>
      </c>
      <c r="C133" s="8" t="str">
        <f t="shared" si="2"/>
        <v>KLórév</v>
      </c>
      <c r="D133" s="13">
        <v>0.45</v>
      </c>
      <c r="E133" s="13">
        <v>0.45</v>
      </c>
      <c r="F133" s="13">
        <v>0.45</v>
      </c>
      <c r="G133" s="13">
        <v>0.6</v>
      </c>
    </row>
    <row r="134" spans="2:7" x14ac:dyDescent="0.2">
      <c r="B134" s="12" t="s">
        <v>47</v>
      </c>
      <c r="C134" s="8" t="str">
        <f t="shared" si="2"/>
        <v>KMaglód</v>
      </c>
      <c r="D134" s="13">
        <v>0.45</v>
      </c>
      <c r="E134" s="13">
        <v>0.45</v>
      </c>
      <c r="F134" s="13">
        <v>0.45</v>
      </c>
      <c r="G134" s="13">
        <v>0.6</v>
      </c>
    </row>
    <row r="135" spans="2:7" x14ac:dyDescent="0.2">
      <c r="B135" s="12" t="s">
        <v>48</v>
      </c>
      <c r="C135" s="8" t="str">
        <f t="shared" si="2"/>
        <v>KMakád</v>
      </c>
      <c r="D135" s="13">
        <v>0.45</v>
      </c>
      <c r="E135" s="13">
        <v>0.45</v>
      </c>
      <c r="F135" s="13">
        <v>0.45</v>
      </c>
      <c r="G135" s="13">
        <v>0.6</v>
      </c>
    </row>
    <row r="136" spans="2:7" x14ac:dyDescent="0.2">
      <c r="B136" s="12" t="s">
        <v>49</v>
      </c>
      <c r="C136" s="8" t="str">
        <f t="shared" si="2"/>
        <v>KMárianosztra</v>
      </c>
      <c r="D136" s="13">
        <v>0.45</v>
      </c>
      <c r="E136" s="13">
        <v>0.45</v>
      </c>
      <c r="F136" s="13">
        <v>0.45</v>
      </c>
      <c r="G136" s="13">
        <v>0.6</v>
      </c>
    </row>
    <row r="137" spans="2:7" x14ac:dyDescent="0.2">
      <c r="B137" s="12" t="s">
        <v>50</v>
      </c>
      <c r="C137" s="8" t="str">
        <f t="shared" si="2"/>
        <v>KMikebuda</v>
      </c>
      <c r="D137" s="13">
        <v>0.45</v>
      </c>
      <c r="E137" s="13">
        <v>0.45</v>
      </c>
      <c r="F137" s="13">
        <v>0.45</v>
      </c>
      <c r="G137" s="13">
        <v>0.6</v>
      </c>
    </row>
    <row r="138" spans="2:7" x14ac:dyDescent="0.2">
      <c r="B138" s="12" t="s">
        <v>51</v>
      </c>
      <c r="C138" s="8" t="str">
        <f t="shared" si="2"/>
        <v>KMonor</v>
      </c>
      <c r="D138" s="13">
        <v>0.45</v>
      </c>
      <c r="E138" s="13">
        <v>0.45</v>
      </c>
      <c r="F138" s="13">
        <v>0.45</v>
      </c>
      <c r="G138" s="13">
        <v>0.6</v>
      </c>
    </row>
    <row r="139" spans="2:7" x14ac:dyDescent="0.2">
      <c r="B139" s="12" t="s">
        <v>52</v>
      </c>
      <c r="C139" s="8" t="str">
        <f t="shared" si="2"/>
        <v>KNagybörzsöny</v>
      </c>
      <c r="D139" s="13">
        <v>0.45</v>
      </c>
      <c r="E139" s="13">
        <v>0.45</v>
      </c>
      <c r="F139" s="13">
        <v>0.45</v>
      </c>
      <c r="G139" s="13">
        <v>0.6</v>
      </c>
    </row>
    <row r="140" spans="2:7" x14ac:dyDescent="0.2">
      <c r="B140" s="12" t="s">
        <v>53</v>
      </c>
      <c r="C140" s="8" t="str">
        <f t="shared" si="2"/>
        <v>KNagykáta</v>
      </c>
      <c r="D140" s="13">
        <v>0.45</v>
      </c>
      <c r="E140" s="13">
        <v>0.45</v>
      </c>
      <c r="F140" s="13">
        <v>0.45</v>
      </c>
      <c r="G140" s="13">
        <v>0.6</v>
      </c>
    </row>
    <row r="141" spans="2:7" x14ac:dyDescent="0.2">
      <c r="B141" s="12" t="s">
        <v>54</v>
      </c>
      <c r="C141" s="8" t="str">
        <f t="shared" si="2"/>
        <v>KNagykőrös</v>
      </c>
      <c r="D141" s="13">
        <v>0.45</v>
      </c>
      <c r="E141" s="13">
        <v>0.45</v>
      </c>
      <c r="F141" s="13">
        <v>0.45</v>
      </c>
      <c r="G141" s="13">
        <v>0.6</v>
      </c>
    </row>
    <row r="142" spans="2:7" x14ac:dyDescent="0.2">
      <c r="B142" s="12" t="s">
        <v>55</v>
      </c>
      <c r="C142" s="8" t="str">
        <f t="shared" si="2"/>
        <v>KNagytarcsa</v>
      </c>
      <c r="D142" s="13">
        <v>0.45</v>
      </c>
      <c r="E142" s="13">
        <v>0.45</v>
      </c>
      <c r="F142" s="13">
        <v>0.45</v>
      </c>
      <c r="G142" s="13">
        <v>0.6</v>
      </c>
    </row>
    <row r="143" spans="2:7" x14ac:dyDescent="0.2">
      <c r="B143" s="12" t="s">
        <v>56</v>
      </c>
      <c r="C143" s="8" t="str">
        <f t="shared" si="2"/>
        <v>KNyársapát</v>
      </c>
      <c r="D143" s="13">
        <v>0.45</v>
      </c>
      <c r="E143" s="13">
        <v>0.45</v>
      </c>
      <c r="F143" s="13">
        <v>0.45</v>
      </c>
      <c r="G143" s="13">
        <v>0.6</v>
      </c>
    </row>
    <row r="144" spans="2:7" x14ac:dyDescent="0.2">
      <c r="B144" s="12" t="s">
        <v>57</v>
      </c>
      <c r="C144" s="8" t="str">
        <f t="shared" si="2"/>
        <v>KÓcsa</v>
      </c>
      <c r="D144" s="13">
        <v>0.45</v>
      </c>
      <c r="E144" s="13">
        <v>0.45</v>
      </c>
      <c r="F144" s="13">
        <v>0.45</v>
      </c>
      <c r="G144" s="13">
        <v>0.6</v>
      </c>
    </row>
    <row r="145" spans="2:7" x14ac:dyDescent="0.2">
      <c r="B145" s="12" t="s">
        <v>58</v>
      </c>
      <c r="C145" s="8" t="str">
        <f t="shared" si="2"/>
        <v>KÖrkény</v>
      </c>
      <c r="D145" s="13">
        <v>0.45</v>
      </c>
      <c r="E145" s="13">
        <v>0.45</v>
      </c>
      <c r="F145" s="13">
        <v>0.45</v>
      </c>
      <c r="G145" s="13">
        <v>0.6</v>
      </c>
    </row>
    <row r="146" spans="2:7" x14ac:dyDescent="0.2">
      <c r="B146" s="12" t="s">
        <v>59</v>
      </c>
      <c r="C146" s="8" t="str">
        <f t="shared" si="2"/>
        <v>KPécel</v>
      </c>
      <c r="D146" s="13">
        <v>0.45</v>
      </c>
      <c r="E146" s="13">
        <v>0.45</v>
      </c>
      <c r="F146" s="13">
        <v>0.45</v>
      </c>
      <c r="G146" s="13">
        <v>0.6</v>
      </c>
    </row>
    <row r="147" spans="2:7" x14ac:dyDescent="0.2">
      <c r="B147" s="12" t="s">
        <v>60</v>
      </c>
      <c r="C147" s="8" t="str">
        <f t="shared" si="2"/>
        <v>KPerőcsény</v>
      </c>
      <c r="D147" s="13">
        <v>0.45</v>
      </c>
      <c r="E147" s="13">
        <v>0.45</v>
      </c>
      <c r="F147" s="13">
        <v>0.45</v>
      </c>
      <c r="G147" s="13">
        <v>0.6</v>
      </c>
    </row>
    <row r="148" spans="2:7" x14ac:dyDescent="0.2">
      <c r="B148" s="12" t="s">
        <v>61</v>
      </c>
      <c r="C148" s="8" t="str">
        <f t="shared" si="2"/>
        <v>KPéteri</v>
      </c>
      <c r="D148" s="13">
        <v>0.45</v>
      </c>
      <c r="E148" s="13">
        <v>0.45</v>
      </c>
      <c r="F148" s="13">
        <v>0.45</v>
      </c>
      <c r="G148" s="13">
        <v>0.6</v>
      </c>
    </row>
    <row r="149" spans="2:7" x14ac:dyDescent="0.2">
      <c r="B149" s="15" t="s">
        <v>62</v>
      </c>
      <c r="C149" s="8" t="str">
        <f t="shared" si="2"/>
        <v>KPiliscsaba</v>
      </c>
      <c r="D149" s="13">
        <v>0.3</v>
      </c>
      <c r="E149" s="13">
        <v>0.45</v>
      </c>
      <c r="F149" s="13">
        <v>0.45</v>
      </c>
      <c r="G149" s="13">
        <v>0.6</v>
      </c>
    </row>
    <row r="150" spans="2:7" x14ac:dyDescent="0.2">
      <c r="B150" s="15" t="s">
        <v>63</v>
      </c>
      <c r="C150" s="8" t="str">
        <f t="shared" si="2"/>
        <v>KPilisjászújfalu</v>
      </c>
      <c r="D150" s="13">
        <v>0.3</v>
      </c>
      <c r="E150" s="13">
        <v>0.45</v>
      </c>
      <c r="F150" s="13">
        <v>0.45</v>
      </c>
      <c r="G150" s="13">
        <v>0.6</v>
      </c>
    </row>
    <row r="151" spans="2:7" x14ac:dyDescent="0.2">
      <c r="B151" s="12" t="s">
        <v>64</v>
      </c>
      <c r="C151" s="8" t="str">
        <f t="shared" si="2"/>
        <v>KPüspökhatvan</v>
      </c>
      <c r="D151" s="13">
        <v>0.45</v>
      </c>
      <c r="E151" s="13">
        <v>0.45</v>
      </c>
      <c r="F151" s="13">
        <v>0.45</v>
      </c>
      <c r="G151" s="13">
        <v>0.6</v>
      </c>
    </row>
    <row r="152" spans="2:7" x14ac:dyDescent="0.2">
      <c r="B152" s="12" t="s">
        <v>65</v>
      </c>
      <c r="C152" s="8" t="str">
        <f t="shared" si="2"/>
        <v>KPüspökszilágy</v>
      </c>
      <c r="D152" s="13">
        <v>0.45</v>
      </c>
      <c r="E152" s="13">
        <v>0.45</v>
      </c>
      <c r="F152" s="13">
        <v>0.45</v>
      </c>
      <c r="G152" s="13">
        <v>0.6</v>
      </c>
    </row>
    <row r="153" spans="2:7" x14ac:dyDescent="0.2">
      <c r="B153" s="12" t="s">
        <v>66</v>
      </c>
      <c r="C153" s="8" t="str">
        <f t="shared" si="2"/>
        <v>KRáckeve</v>
      </c>
      <c r="D153" s="13">
        <v>0.45</v>
      </c>
      <c r="E153" s="13">
        <v>0.45</v>
      </c>
      <c r="F153" s="13">
        <v>0.45</v>
      </c>
      <c r="G153" s="13">
        <v>0.6</v>
      </c>
    </row>
    <row r="154" spans="2:7" x14ac:dyDescent="0.2">
      <c r="B154" s="12" t="s">
        <v>67</v>
      </c>
      <c r="C154" s="8" t="str">
        <f t="shared" si="2"/>
        <v>KSzentmártonkáta</v>
      </c>
      <c r="D154" s="13">
        <v>0.45</v>
      </c>
      <c r="E154" s="13">
        <v>0.45</v>
      </c>
      <c r="F154" s="13">
        <v>0.45</v>
      </c>
      <c r="G154" s="13">
        <v>0.6</v>
      </c>
    </row>
    <row r="155" spans="2:7" x14ac:dyDescent="0.2">
      <c r="B155" s="12" t="s">
        <v>68</v>
      </c>
      <c r="C155" s="8" t="str">
        <f t="shared" si="2"/>
        <v>KSzigetbecse</v>
      </c>
      <c r="D155" s="13">
        <v>0.45</v>
      </c>
      <c r="E155" s="13">
        <v>0.45</v>
      </c>
      <c r="F155" s="13">
        <v>0.45</v>
      </c>
      <c r="G155" s="13">
        <v>0.6</v>
      </c>
    </row>
    <row r="156" spans="2:7" x14ac:dyDescent="0.2">
      <c r="B156" s="12" t="s">
        <v>69</v>
      </c>
      <c r="C156" s="8" t="str">
        <f t="shared" si="2"/>
        <v>KSzigetszentmiklós</v>
      </c>
      <c r="D156" s="13">
        <v>0.45</v>
      </c>
      <c r="E156" s="13">
        <v>0.45</v>
      </c>
      <c r="F156" s="13">
        <v>0.45</v>
      </c>
      <c r="G156" s="13">
        <v>0.6</v>
      </c>
    </row>
    <row r="157" spans="2:7" x14ac:dyDescent="0.2">
      <c r="B157" s="12" t="s">
        <v>70</v>
      </c>
      <c r="C157" s="8" t="str">
        <f t="shared" si="2"/>
        <v>KSzob</v>
      </c>
      <c r="D157" s="13">
        <v>0.45</v>
      </c>
      <c r="E157" s="13">
        <v>0.45</v>
      </c>
      <c r="F157" s="13">
        <v>0.45</v>
      </c>
      <c r="G157" s="13">
        <v>0.6</v>
      </c>
    </row>
    <row r="158" spans="2:7" x14ac:dyDescent="0.2">
      <c r="B158" s="12" t="s">
        <v>71</v>
      </c>
      <c r="C158" s="8" t="str">
        <f t="shared" si="2"/>
        <v>KSzokolya</v>
      </c>
      <c r="D158" s="13">
        <v>0.45</v>
      </c>
      <c r="E158" s="13">
        <v>0.45</v>
      </c>
      <c r="F158" s="13">
        <v>0.45</v>
      </c>
      <c r="G158" s="13">
        <v>0.6</v>
      </c>
    </row>
    <row r="159" spans="2:7" x14ac:dyDescent="0.2">
      <c r="B159" s="14" t="s">
        <v>100</v>
      </c>
      <c r="C159" s="8" t="str">
        <f t="shared" si="2"/>
        <v>KSződliget</v>
      </c>
      <c r="D159" s="13">
        <v>0.45</v>
      </c>
      <c r="E159" s="13">
        <v>0.45</v>
      </c>
      <c r="F159" s="13">
        <v>0.45</v>
      </c>
      <c r="G159" s="13">
        <v>0.6</v>
      </c>
    </row>
    <row r="160" spans="2:7" x14ac:dyDescent="0.2">
      <c r="B160" s="12" t="s">
        <v>72</v>
      </c>
      <c r="C160" s="8" t="str">
        <f t="shared" si="2"/>
        <v>KTáborfalva</v>
      </c>
      <c r="D160" s="13">
        <v>0.45</v>
      </c>
      <c r="E160" s="13">
        <v>0.45</v>
      </c>
      <c r="F160" s="13">
        <v>0.45</v>
      </c>
      <c r="G160" s="13">
        <v>0.6</v>
      </c>
    </row>
    <row r="161" spans="2:7" x14ac:dyDescent="0.2">
      <c r="B161" s="12" t="s">
        <v>73</v>
      </c>
      <c r="C161" s="8" t="str">
        <f t="shared" si="2"/>
        <v>KTápióbicske</v>
      </c>
      <c r="D161" s="13">
        <v>0.45</v>
      </c>
      <c r="E161" s="13">
        <v>0.45</v>
      </c>
      <c r="F161" s="13">
        <v>0.45</v>
      </c>
      <c r="G161" s="13">
        <v>0.6</v>
      </c>
    </row>
    <row r="162" spans="2:7" x14ac:dyDescent="0.2">
      <c r="B162" s="12" t="s">
        <v>74</v>
      </c>
      <c r="C162" s="8" t="str">
        <f t="shared" ref="C162:C187" si="3">"K"&amp;B162</f>
        <v>KTápiógyörgye</v>
      </c>
      <c r="D162" s="13">
        <v>0.45</v>
      </c>
      <c r="E162" s="13">
        <v>0.45</v>
      </c>
      <c r="F162" s="13">
        <v>0.45</v>
      </c>
      <c r="G162" s="13">
        <v>0.6</v>
      </c>
    </row>
    <row r="163" spans="2:7" x14ac:dyDescent="0.2">
      <c r="B163" s="12" t="s">
        <v>75</v>
      </c>
      <c r="C163" s="8" t="str">
        <f t="shared" si="3"/>
        <v>KTápióság</v>
      </c>
      <c r="D163" s="13">
        <v>0.45</v>
      </c>
      <c r="E163" s="13">
        <v>0.45</v>
      </c>
      <c r="F163" s="13">
        <v>0.45</v>
      </c>
      <c r="G163" s="13">
        <v>0.6</v>
      </c>
    </row>
    <row r="164" spans="2:7" x14ac:dyDescent="0.2">
      <c r="B164" s="12" t="s">
        <v>76</v>
      </c>
      <c r="C164" s="8" t="str">
        <f t="shared" si="3"/>
        <v>KTápiószele</v>
      </c>
      <c r="D164" s="13">
        <v>0.45</v>
      </c>
      <c r="E164" s="13">
        <v>0.45</v>
      </c>
      <c r="F164" s="13">
        <v>0.45</v>
      </c>
      <c r="G164" s="13">
        <v>0.6</v>
      </c>
    </row>
    <row r="165" spans="2:7" x14ac:dyDescent="0.2">
      <c r="B165" s="12" t="s">
        <v>77</v>
      </c>
      <c r="C165" s="8" t="str">
        <f t="shared" si="3"/>
        <v>KTápiószentmárton</v>
      </c>
      <c r="D165" s="13">
        <v>0.45</v>
      </c>
      <c r="E165" s="13">
        <v>0.45</v>
      </c>
      <c r="F165" s="13">
        <v>0.45</v>
      </c>
      <c r="G165" s="13">
        <v>0.6</v>
      </c>
    </row>
    <row r="166" spans="2:7" x14ac:dyDescent="0.2">
      <c r="B166" s="12" t="s">
        <v>78</v>
      </c>
      <c r="C166" s="8" t="str">
        <f t="shared" si="3"/>
        <v>KTápiószőlős</v>
      </c>
      <c r="D166" s="13">
        <v>0.45</v>
      </c>
      <c r="E166" s="13">
        <v>0.45</v>
      </c>
      <c r="F166" s="13">
        <v>0.45</v>
      </c>
      <c r="G166" s="13">
        <v>0.6</v>
      </c>
    </row>
    <row r="167" spans="2:7" x14ac:dyDescent="0.2">
      <c r="B167" s="12" t="s">
        <v>79</v>
      </c>
      <c r="C167" s="8" t="str">
        <f t="shared" si="3"/>
        <v>KTatárszentgyörgy</v>
      </c>
      <c r="D167" s="13">
        <v>0.45</v>
      </c>
      <c r="E167" s="13">
        <v>0.45</v>
      </c>
      <c r="F167" s="13">
        <v>0.45</v>
      </c>
      <c r="G167" s="13">
        <v>0.6</v>
      </c>
    </row>
    <row r="168" spans="2:7" x14ac:dyDescent="0.2">
      <c r="B168" s="12" t="s">
        <v>80</v>
      </c>
      <c r="C168" s="8" t="str">
        <f t="shared" si="3"/>
        <v>KTésa</v>
      </c>
      <c r="D168" s="13">
        <v>0.45</v>
      </c>
      <c r="E168" s="13">
        <v>0.45</v>
      </c>
      <c r="F168" s="13">
        <v>0.45</v>
      </c>
      <c r="G168" s="13">
        <v>0.6</v>
      </c>
    </row>
    <row r="169" spans="2:7" x14ac:dyDescent="0.2">
      <c r="B169" s="12" t="s">
        <v>81</v>
      </c>
      <c r="C169" s="8" t="str">
        <f t="shared" si="3"/>
        <v>KTörtel</v>
      </c>
      <c r="D169" s="13">
        <v>0.45</v>
      </c>
      <c r="E169" s="13">
        <v>0.45</v>
      </c>
      <c r="F169" s="13">
        <v>0.45</v>
      </c>
      <c r="G169" s="13">
        <v>0.6</v>
      </c>
    </row>
    <row r="170" spans="2:7" x14ac:dyDescent="0.2">
      <c r="B170" s="12" t="s">
        <v>82</v>
      </c>
      <c r="C170" s="8" t="str">
        <f t="shared" si="3"/>
        <v>KTura</v>
      </c>
      <c r="D170" s="13">
        <v>0.45</v>
      </c>
      <c r="E170" s="13">
        <v>0.45</v>
      </c>
      <c r="F170" s="13">
        <v>0.45</v>
      </c>
      <c r="G170" s="13">
        <v>0.6</v>
      </c>
    </row>
    <row r="171" spans="2:7" x14ac:dyDescent="0.2">
      <c r="B171" s="12" t="s">
        <v>83</v>
      </c>
      <c r="C171" s="8" t="str">
        <f t="shared" si="3"/>
        <v>KÚjhartyán</v>
      </c>
      <c r="D171" s="13">
        <v>0.45</v>
      </c>
      <c r="E171" s="13">
        <v>0.45</v>
      </c>
      <c r="F171" s="13">
        <v>0.45</v>
      </c>
      <c r="G171" s="13">
        <v>0.6</v>
      </c>
    </row>
    <row r="172" spans="2:7" x14ac:dyDescent="0.2">
      <c r="B172" s="12" t="s">
        <v>84</v>
      </c>
      <c r="C172" s="8" t="str">
        <f t="shared" si="3"/>
        <v>KÚjszilvás</v>
      </c>
      <c r="D172" s="13">
        <v>0.45</v>
      </c>
      <c r="E172" s="13">
        <v>0.45</v>
      </c>
      <c r="F172" s="13">
        <v>0.45</v>
      </c>
      <c r="G172" s="13">
        <v>0.6</v>
      </c>
    </row>
    <row r="173" spans="2:7" x14ac:dyDescent="0.2">
      <c r="B173" s="12" t="s">
        <v>85</v>
      </c>
      <c r="C173" s="8" t="str">
        <f t="shared" si="3"/>
        <v>KÜllő</v>
      </c>
      <c r="D173" s="13">
        <v>0.45</v>
      </c>
      <c r="E173" s="13">
        <v>0.45</v>
      </c>
      <c r="F173" s="13">
        <v>0.45</v>
      </c>
      <c r="G173" s="13">
        <v>0.6</v>
      </c>
    </row>
    <row r="174" spans="2:7" x14ac:dyDescent="0.2">
      <c r="B174" s="12" t="s">
        <v>86</v>
      </c>
      <c r="C174" s="8" t="str">
        <f t="shared" si="3"/>
        <v>KVác</v>
      </c>
      <c r="D174" s="13">
        <v>0.45</v>
      </c>
      <c r="E174" s="13">
        <v>0.45</v>
      </c>
      <c r="F174" s="13">
        <v>0.45</v>
      </c>
      <c r="G174" s="13">
        <v>0.6</v>
      </c>
    </row>
    <row r="175" spans="2:7" x14ac:dyDescent="0.2">
      <c r="B175" s="12" t="s">
        <v>87</v>
      </c>
      <c r="C175" s="8" t="str">
        <f t="shared" si="3"/>
        <v>KVáckisújfalu</v>
      </c>
      <c r="D175" s="13">
        <v>0.45</v>
      </c>
      <c r="E175" s="13">
        <v>0.45</v>
      </c>
      <c r="F175" s="13">
        <v>0.45</v>
      </c>
      <c r="G175" s="13">
        <v>0.6</v>
      </c>
    </row>
    <row r="176" spans="2:7" x14ac:dyDescent="0.2">
      <c r="B176" s="12" t="s">
        <v>88</v>
      </c>
      <c r="C176" s="8" t="str">
        <f t="shared" si="3"/>
        <v>KValkó</v>
      </c>
      <c r="D176" s="13">
        <v>0.45</v>
      </c>
      <c r="E176" s="13">
        <v>0.45</v>
      </c>
      <c r="F176" s="13">
        <v>0.45</v>
      </c>
      <c r="G176" s="13">
        <v>0.6</v>
      </c>
    </row>
    <row r="177" spans="2:7" x14ac:dyDescent="0.2">
      <c r="B177" s="12" t="s">
        <v>89</v>
      </c>
      <c r="C177" s="8" t="str">
        <f t="shared" si="3"/>
        <v>KVámosmikola</v>
      </c>
      <c r="D177" s="13">
        <v>0.45</v>
      </c>
      <c r="E177" s="13">
        <v>0.45</v>
      </c>
      <c r="F177" s="13">
        <v>0.45</v>
      </c>
      <c r="G177" s="13">
        <v>0.6</v>
      </c>
    </row>
    <row r="178" spans="2:7" x14ac:dyDescent="0.2">
      <c r="B178" s="12" t="s">
        <v>90</v>
      </c>
      <c r="C178" s="8" t="str">
        <f t="shared" si="3"/>
        <v>KVecsés</v>
      </c>
      <c r="D178" s="13">
        <v>0.45</v>
      </c>
      <c r="E178" s="13">
        <v>0.45</v>
      </c>
      <c r="F178" s="13">
        <v>0.45</v>
      </c>
      <c r="G178" s="13">
        <v>0.6</v>
      </c>
    </row>
    <row r="179" spans="2:7" x14ac:dyDescent="0.2">
      <c r="B179" s="12" t="s">
        <v>91</v>
      </c>
      <c r="C179" s="8" t="str">
        <f t="shared" si="3"/>
        <v>KVerőce</v>
      </c>
      <c r="D179" s="13">
        <v>0.45</v>
      </c>
      <c r="E179" s="13">
        <v>0.45</v>
      </c>
      <c r="F179" s="13">
        <v>0.45</v>
      </c>
      <c r="G179" s="13">
        <v>0.6</v>
      </c>
    </row>
    <row r="180" spans="2:7" x14ac:dyDescent="0.2">
      <c r="B180" s="16" t="s">
        <v>92</v>
      </c>
      <c r="C180" s="8" t="str">
        <f t="shared" si="3"/>
        <v xml:space="preserve">KVerseg </v>
      </c>
      <c r="D180" s="13">
        <v>0.45</v>
      </c>
      <c r="E180" s="13">
        <v>0.45</v>
      </c>
      <c r="F180" s="13">
        <v>0.45</v>
      </c>
      <c r="G180" s="13">
        <v>0.6</v>
      </c>
    </row>
    <row r="181" spans="2:7" x14ac:dyDescent="0.2">
      <c r="B181" s="12" t="s">
        <v>93</v>
      </c>
      <c r="C181" s="8" t="str">
        <f t="shared" si="3"/>
        <v>KZebegény</v>
      </c>
      <c r="D181" s="13">
        <v>0.45</v>
      </c>
      <c r="E181" s="13">
        <v>0.45</v>
      </c>
      <c r="F181" s="13">
        <v>0.45</v>
      </c>
      <c r="G181" s="13">
        <v>0.6</v>
      </c>
    </row>
    <row r="182" spans="2:7" x14ac:dyDescent="0.2">
      <c r="B182" s="17" t="s">
        <v>103</v>
      </c>
      <c r="C182" s="8" t="str">
        <f t="shared" si="3"/>
        <v>KÉszak Magyarország</v>
      </c>
      <c r="D182" s="13">
        <v>0.6</v>
      </c>
      <c r="E182" s="13">
        <v>0.55000000000000004</v>
      </c>
      <c r="F182" s="13">
        <v>0.55000000000000004</v>
      </c>
      <c r="G182" s="13">
        <v>0.7</v>
      </c>
    </row>
    <row r="183" spans="2:7" x14ac:dyDescent="0.2">
      <c r="B183" s="19" t="s">
        <v>104</v>
      </c>
      <c r="C183" s="8" t="str">
        <f t="shared" si="3"/>
        <v>KÉszak Alföld</v>
      </c>
      <c r="D183" s="13">
        <v>0.6</v>
      </c>
      <c r="E183" s="13">
        <v>0.55000000000000004</v>
      </c>
      <c r="F183" s="13">
        <v>0.55000000000000004</v>
      </c>
      <c r="G183" s="13">
        <v>0.7</v>
      </c>
    </row>
    <row r="184" spans="2:7" x14ac:dyDescent="0.2">
      <c r="B184" s="19" t="s">
        <v>105</v>
      </c>
      <c r="C184" s="8" t="str">
        <f t="shared" si="3"/>
        <v>KDél Alföld</v>
      </c>
      <c r="D184" s="13">
        <v>0.6</v>
      </c>
      <c r="E184" s="13">
        <v>0.55000000000000004</v>
      </c>
      <c r="F184" s="13">
        <v>0.55000000000000004</v>
      </c>
      <c r="G184" s="13">
        <v>0.7</v>
      </c>
    </row>
    <row r="185" spans="2:7" x14ac:dyDescent="0.2">
      <c r="B185" s="19" t="s">
        <v>106</v>
      </c>
      <c r="C185" s="8" t="str">
        <f t="shared" si="3"/>
        <v>KDél Dunántúl</v>
      </c>
      <c r="D185" s="13">
        <v>0.6</v>
      </c>
      <c r="E185" s="13">
        <v>0.55000000000000004</v>
      </c>
      <c r="F185" s="13">
        <v>0.55000000000000004</v>
      </c>
      <c r="G185" s="13">
        <v>0.7</v>
      </c>
    </row>
    <row r="186" spans="2:7" x14ac:dyDescent="0.2">
      <c r="B186" s="17" t="s">
        <v>107</v>
      </c>
      <c r="C186" s="8" t="str">
        <f t="shared" si="3"/>
        <v>KKözép Dunántúl</v>
      </c>
      <c r="D186" s="13">
        <v>0.45</v>
      </c>
      <c r="E186" s="13">
        <v>0.55000000000000004</v>
      </c>
      <c r="F186" s="13">
        <v>0.55000000000000004</v>
      </c>
      <c r="G186" s="13">
        <v>0.7</v>
      </c>
    </row>
    <row r="187" spans="2:7" ht="16" thickBot="1" x14ac:dyDescent="0.25">
      <c r="B187" s="20" t="s">
        <v>108</v>
      </c>
      <c r="C187" s="8" t="str">
        <f t="shared" si="3"/>
        <v>KNyugat Dunántúl</v>
      </c>
      <c r="D187" s="13">
        <v>0.35</v>
      </c>
      <c r="E187" s="13">
        <v>0.55000000000000004</v>
      </c>
      <c r="F187" s="13">
        <v>0.55000000000000004</v>
      </c>
      <c r="G187" s="13">
        <v>0.7</v>
      </c>
    </row>
    <row r="188" spans="2:7" x14ac:dyDescent="0.2">
      <c r="B188" s="9" t="s">
        <v>10</v>
      </c>
      <c r="C188" s="10" t="str">
        <f>"N"&amp;B188</f>
        <v>NAbony</v>
      </c>
      <c r="D188" s="11">
        <v>0.35</v>
      </c>
      <c r="E188" s="11">
        <v>0.35</v>
      </c>
      <c r="F188" s="11">
        <v>0.35</v>
      </c>
      <c r="G188" s="11">
        <v>0.5</v>
      </c>
    </row>
    <row r="189" spans="2:7" x14ac:dyDescent="0.2">
      <c r="B189" s="12" t="s">
        <v>11</v>
      </c>
      <c r="C189" s="8" t="str">
        <f>"N"&amp;B189</f>
        <v>NAlsónémedi</v>
      </c>
      <c r="D189" s="13">
        <v>0.35</v>
      </c>
      <c r="E189" s="13">
        <v>0.35</v>
      </c>
      <c r="F189" s="13">
        <v>0.35</v>
      </c>
      <c r="G189" s="13">
        <v>0.5</v>
      </c>
    </row>
    <row r="190" spans="2:7" x14ac:dyDescent="0.2">
      <c r="B190" s="12" t="s">
        <v>12</v>
      </c>
      <c r="C190" s="8" t="str">
        <f t="shared" ref="C190:C253" si="4">"N"&amp;B190</f>
        <v>NÁporka</v>
      </c>
      <c r="D190" s="13">
        <v>0.35</v>
      </c>
      <c r="E190" s="13">
        <v>0.35</v>
      </c>
      <c r="F190" s="13">
        <v>0.35</v>
      </c>
      <c r="G190" s="13">
        <v>0.5</v>
      </c>
    </row>
    <row r="191" spans="2:7" x14ac:dyDescent="0.2">
      <c r="B191" s="12" t="s">
        <v>13</v>
      </c>
      <c r="C191" s="8" t="str">
        <f t="shared" si="4"/>
        <v>NAszód</v>
      </c>
      <c r="D191" s="13">
        <v>0.35</v>
      </c>
      <c r="E191" s="13">
        <v>0.35</v>
      </c>
      <c r="F191" s="13">
        <v>0.35</v>
      </c>
      <c r="G191" s="13">
        <v>0.5</v>
      </c>
    </row>
    <row r="192" spans="2:7" x14ac:dyDescent="0.2">
      <c r="B192" s="12" t="s">
        <v>14</v>
      </c>
      <c r="C192" s="8" t="str">
        <f t="shared" si="4"/>
        <v>NBag</v>
      </c>
      <c r="D192" s="13">
        <v>0.35</v>
      </c>
      <c r="E192" s="13">
        <v>0.35</v>
      </c>
      <c r="F192" s="13">
        <v>0.35</v>
      </c>
      <c r="G192" s="13">
        <v>0.5</v>
      </c>
    </row>
    <row r="193" spans="2:7" x14ac:dyDescent="0.2">
      <c r="B193" s="12" t="s">
        <v>15</v>
      </c>
      <c r="C193" s="8" t="str">
        <f t="shared" si="4"/>
        <v>NBernecebaráti</v>
      </c>
      <c r="D193" s="13">
        <v>0.35</v>
      </c>
      <c r="E193" s="13">
        <v>0.35</v>
      </c>
      <c r="F193" s="13">
        <v>0.35</v>
      </c>
      <c r="G193" s="13">
        <v>0.5</v>
      </c>
    </row>
    <row r="194" spans="2:7" x14ac:dyDescent="0.2">
      <c r="B194" s="12" t="s">
        <v>16</v>
      </c>
      <c r="C194" s="8" t="str">
        <f t="shared" si="4"/>
        <v>NCegléd</v>
      </c>
      <c r="D194" s="13">
        <v>0.35</v>
      </c>
      <c r="E194" s="13">
        <v>0.35</v>
      </c>
      <c r="F194" s="13">
        <v>0.35</v>
      </c>
      <c r="G194" s="13">
        <v>0.5</v>
      </c>
    </row>
    <row r="195" spans="2:7" x14ac:dyDescent="0.2">
      <c r="B195" s="12" t="s">
        <v>17</v>
      </c>
      <c r="C195" s="8" t="str">
        <f t="shared" si="4"/>
        <v>NCsemő</v>
      </c>
      <c r="D195" s="13">
        <v>0.35</v>
      </c>
      <c r="E195" s="13">
        <v>0.35</v>
      </c>
      <c r="F195" s="13">
        <v>0.35</v>
      </c>
      <c r="G195" s="13">
        <v>0.5</v>
      </c>
    </row>
    <row r="196" spans="2:7" x14ac:dyDescent="0.2">
      <c r="B196" s="12" t="s">
        <v>18</v>
      </c>
      <c r="C196" s="8" t="str">
        <f t="shared" si="4"/>
        <v>NDabas</v>
      </c>
      <c r="D196" s="13">
        <v>0.35</v>
      </c>
      <c r="E196" s="13">
        <v>0.35</v>
      </c>
      <c r="F196" s="13">
        <v>0.35</v>
      </c>
      <c r="G196" s="13">
        <v>0.5</v>
      </c>
    </row>
    <row r="197" spans="2:7" x14ac:dyDescent="0.2">
      <c r="B197" s="12" t="s">
        <v>19</v>
      </c>
      <c r="C197" s="8" t="str">
        <f t="shared" si="4"/>
        <v>NDomony</v>
      </c>
      <c r="D197" s="13">
        <v>0.35</v>
      </c>
      <c r="E197" s="13">
        <v>0.35</v>
      </c>
      <c r="F197" s="13">
        <v>0.35</v>
      </c>
      <c r="G197" s="13">
        <v>0.5</v>
      </c>
    </row>
    <row r="198" spans="2:7" x14ac:dyDescent="0.2">
      <c r="B198" s="12" t="s">
        <v>20</v>
      </c>
      <c r="C198" s="8" t="str">
        <f t="shared" si="4"/>
        <v>NDömsöd</v>
      </c>
      <c r="D198" s="13">
        <v>0.35</v>
      </c>
      <c r="E198" s="13">
        <v>0.35</v>
      </c>
      <c r="F198" s="13">
        <v>0.35</v>
      </c>
      <c r="G198" s="13">
        <v>0.5</v>
      </c>
    </row>
    <row r="199" spans="2:7" x14ac:dyDescent="0.2">
      <c r="B199" s="12" t="s">
        <v>21</v>
      </c>
      <c r="C199" s="8" t="str">
        <f t="shared" si="4"/>
        <v>NDunaharaszti</v>
      </c>
      <c r="D199" s="13">
        <v>0.35</v>
      </c>
      <c r="E199" s="13">
        <v>0.35</v>
      </c>
      <c r="F199" s="13">
        <v>0.35</v>
      </c>
      <c r="G199" s="13">
        <v>0.5</v>
      </c>
    </row>
    <row r="200" spans="2:7" x14ac:dyDescent="0.2">
      <c r="B200" s="12" t="s">
        <v>22</v>
      </c>
      <c r="C200" s="8" t="str">
        <f t="shared" si="4"/>
        <v>NEcser</v>
      </c>
      <c r="D200" s="13">
        <v>0.35</v>
      </c>
      <c r="E200" s="13">
        <v>0.35</v>
      </c>
      <c r="F200" s="13">
        <v>0.35</v>
      </c>
      <c r="G200" s="13">
        <v>0.5</v>
      </c>
    </row>
    <row r="201" spans="2:7" x14ac:dyDescent="0.2">
      <c r="B201" s="12" t="s">
        <v>23</v>
      </c>
      <c r="C201" s="8" t="str">
        <f t="shared" si="4"/>
        <v>NÉrd</v>
      </c>
      <c r="D201" s="13">
        <v>0.35</v>
      </c>
      <c r="E201" s="13">
        <v>0.35</v>
      </c>
      <c r="F201" s="13">
        <v>0.35</v>
      </c>
      <c r="G201" s="13">
        <v>0.5</v>
      </c>
    </row>
    <row r="202" spans="2:7" x14ac:dyDescent="0.2">
      <c r="B202" s="12" t="s">
        <v>24</v>
      </c>
      <c r="C202" s="8" t="str">
        <f t="shared" si="4"/>
        <v>NFarmos</v>
      </c>
      <c r="D202" s="13">
        <v>0.35</v>
      </c>
      <c r="E202" s="13">
        <v>0.35</v>
      </c>
      <c r="F202" s="13">
        <v>0.35</v>
      </c>
      <c r="G202" s="13">
        <v>0.5</v>
      </c>
    </row>
    <row r="203" spans="2:7" x14ac:dyDescent="0.2">
      <c r="B203" s="12" t="s">
        <v>25</v>
      </c>
      <c r="C203" s="8" t="str">
        <f t="shared" si="4"/>
        <v>NFelsőpakony</v>
      </c>
      <c r="D203" s="13">
        <v>0.35</v>
      </c>
      <c r="E203" s="13">
        <v>0.35</v>
      </c>
      <c r="F203" s="13">
        <v>0.35</v>
      </c>
      <c r="G203" s="13">
        <v>0.5</v>
      </c>
    </row>
    <row r="204" spans="2:7" x14ac:dyDescent="0.2">
      <c r="B204" s="12" t="s">
        <v>26</v>
      </c>
      <c r="C204" s="8" t="str">
        <f t="shared" si="4"/>
        <v>NGalgagyörk</v>
      </c>
      <c r="D204" s="13">
        <v>0.35</v>
      </c>
      <c r="E204" s="13">
        <v>0.35</v>
      </c>
      <c r="F204" s="13">
        <v>0.35</v>
      </c>
      <c r="G204" s="13">
        <v>0.5</v>
      </c>
    </row>
    <row r="205" spans="2:7" x14ac:dyDescent="0.2">
      <c r="B205" s="12" t="s">
        <v>27</v>
      </c>
      <c r="C205" s="8" t="str">
        <f t="shared" si="4"/>
        <v>NGalgahévíz</v>
      </c>
      <c r="D205" s="13">
        <v>0.35</v>
      </c>
      <c r="E205" s="13">
        <v>0.35</v>
      </c>
      <c r="F205" s="13">
        <v>0.35</v>
      </c>
      <c r="G205" s="13">
        <v>0.5</v>
      </c>
    </row>
    <row r="206" spans="2:7" x14ac:dyDescent="0.2">
      <c r="B206" s="12" t="s">
        <v>28</v>
      </c>
      <c r="C206" s="8" t="str">
        <f t="shared" si="4"/>
        <v>NGalgamácsa</v>
      </c>
      <c r="D206" s="13">
        <v>0.35</v>
      </c>
      <c r="E206" s="13">
        <v>0.35</v>
      </c>
      <c r="F206" s="13">
        <v>0.35</v>
      </c>
      <c r="G206" s="13">
        <v>0.5</v>
      </c>
    </row>
    <row r="207" spans="2:7" x14ac:dyDescent="0.2">
      <c r="B207" s="14" t="s">
        <v>99</v>
      </c>
      <c r="C207" s="8" t="str">
        <f t="shared" si="4"/>
        <v>NGöd</v>
      </c>
      <c r="D207" s="13">
        <v>0.35</v>
      </c>
      <c r="E207" s="13">
        <v>0.35</v>
      </c>
      <c r="F207" s="13">
        <v>0.35</v>
      </c>
      <c r="G207" s="13">
        <v>0.5</v>
      </c>
    </row>
    <row r="208" spans="2:7" x14ac:dyDescent="0.2">
      <c r="B208" s="12" t="s">
        <v>29</v>
      </c>
      <c r="C208" s="8" t="str">
        <f t="shared" si="4"/>
        <v>NGödöllő</v>
      </c>
      <c r="D208" s="13">
        <v>0.35</v>
      </c>
      <c r="E208" s="13">
        <v>0.35</v>
      </c>
      <c r="F208" s="13">
        <v>0.35</v>
      </c>
      <c r="G208" s="13">
        <v>0.5</v>
      </c>
    </row>
    <row r="209" spans="2:7" x14ac:dyDescent="0.2">
      <c r="B209" s="12" t="s">
        <v>30</v>
      </c>
      <c r="C209" s="8" t="str">
        <f t="shared" si="4"/>
        <v>NGyál</v>
      </c>
      <c r="D209" s="13">
        <v>0.35</v>
      </c>
      <c r="E209" s="13">
        <v>0.35</v>
      </c>
      <c r="F209" s="13">
        <v>0.35</v>
      </c>
      <c r="G209" s="13">
        <v>0.5</v>
      </c>
    </row>
    <row r="210" spans="2:7" x14ac:dyDescent="0.2">
      <c r="B210" s="12" t="s">
        <v>31</v>
      </c>
      <c r="C210" s="8" t="str">
        <f t="shared" si="4"/>
        <v>NGyömrő</v>
      </c>
      <c r="D210" s="13">
        <v>0.35</v>
      </c>
      <c r="E210" s="13">
        <v>0.35</v>
      </c>
      <c r="F210" s="13">
        <v>0.35</v>
      </c>
      <c r="G210" s="13">
        <v>0.5</v>
      </c>
    </row>
    <row r="211" spans="2:7" x14ac:dyDescent="0.2">
      <c r="B211" s="12" t="s">
        <v>32</v>
      </c>
      <c r="C211" s="8" t="str">
        <f t="shared" si="4"/>
        <v>NHalásztelek</v>
      </c>
      <c r="D211" s="13">
        <v>0.35</v>
      </c>
      <c r="E211" s="13">
        <v>0.35</v>
      </c>
      <c r="F211" s="13">
        <v>0.35</v>
      </c>
      <c r="G211" s="13">
        <v>0.5</v>
      </c>
    </row>
    <row r="212" spans="2:7" x14ac:dyDescent="0.2">
      <c r="B212" s="12" t="s">
        <v>33</v>
      </c>
      <c r="C212" s="8" t="str">
        <f t="shared" si="4"/>
        <v>NHévízgyörk</v>
      </c>
      <c r="D212" s="13">
        <v>0.35</v>
      </c>
      <c r="E212" s="13">
        <v>0.35</v>
      </c>
      <c r="F212" s="13">
        <v>0.35</v>
      </c>
      <c r="G212" s="13">
        <v>0.5</v>
      </c>
    </row>
    <row r="213" spans="2:7" x14ac:dyDescent="0.2">
      <c r="B213" s="12" t="s">
        <v>34</v>
      </c>
      <c r="C213" s="8" t="str">
        <f t="shared" si="4"/>
        <v>NIklad</v>
      </c>
      <c r="D213" s="13">
        <v>0.35</v>
      </c>
      <c r="E213" s="13">
        <v>0.35</v>
      </c>
      <c r="F213" s="13">
        <v>0.35</v>
      </c>
      <c r="G213" s="13">
        <v>0.5</v>
      </c>
    </row>
    <row r="214" spans="2:7" x14ac:dyDescent="0.2">
      <c r="B214" s="12" t="s">
        <v>35</v>
      </c>
      <c r="C214" s="8" t="str">
        <f t="shared" si="4"/>
        <v>NIpolydamásd</v>
      </c>
      <c r="D214" s="13">
        <v>0.35</v>
      </c>
      <c r="E214" s="13">
        <v>0.35</v>
      </c>
      <c r="F214" s="13">
        <v>0.35</v>
      </c>
      <c r="G214" s="13">
        <v>0.5</v>
      </c>
    </row>
    <row r="215" spans="2:7" x14ac:dyDescent="0.2">
      <c r="B215" s="12" t="s">
        <v>36</v>
      </c>
      <c r="C215" s="8" t="str">
        <f t="shared" si="4"/>
        <v>NIpolytölgyes</v>
      </c>
      <c r="D215" s="13">
        <v>0.35</v>
      </c>
      <c r="E215" s="13">
        <v>0.35</v>
      </c>
      <c r="F215" s="13">
        <v>0.35</v>
      </c>
      <c r="G215" s="13">
        <v>0.5</v>
      </c>
    </row>
    <row r="216" spans="2:7" x14ac:dyDescent="0.2">
      <c r="B216" s="12" t="s">
        <v>37</v>
      </c>
      <c r="C216" s="8" t="str">
        <f t="shared" si="4"/>
        <v>NJászkarajenő</v>
      </c>
      <c r="D216" s="13">
        <v>0.35</v>
      </c>
      <c r="E216" s="13">
        <v>0.35</v>
      </c>
      <c r="F216" s="13">
        <v>0.35</v>
      </c>
      <c r="G216" s="13">
        <v>0.5</v>
      </c>
    </row>
    <row r="217" spans="2:7" x14ac:dyDescent="0.2">
      <c r="B217" s="12" t="s">
        <v>38</v>
      </c>
      <c r="C217" s="8" t="str">
        <f t="shared" si="4"/>
        <v>NKartal</v>
      </c>
      <c r="D217" s="13">
        <v>0.35</v>
      </c>
      <c r="E217" s="13">
        <v>0.35</v>
      </c>
      <c r="F217" s="13">
        <v>0.35</v>
      </c>
      <c r="G217" s="13">
        <v>0.5</v>
      </c>
    </row>
    <row r="218" spans="2:7" x14ac:dyDescent="0.2">
      <c r="B218" s="12" t="s">
        <v>39</v>
      </c>
      <c r="C218" s="8" t="str">
        <f t="shared" si="4"/>
        <v>NKemence</v>
      </c>
      <c r="D218" s="13">
        <v>0.35</v>
      </c>
      <c r="E218" s="13">
        <v>0.35</v>
      </c>
      <c r="F218" s="13">
        <v>0.35</v>
      </c>
      <c r="G218" s="13">
        <v>0.5</v>
      </c>
    </row>
    <row r="219" spans="2:7" x14ac:dyDescent="0.2">
      <c r="B219" s="12" t="s">
        <v>40</v>
      </c>
      <c r="C219" s="8" t="str">
        <f t="shared" si="4"/>
        <v>NKiskunlacháza</v>
      </c>
      <c r="D219" s="13">
        <v>0.35</v>
      </c>
      <c r="E219" s="13">
        <v>0.35</v>
      </c>
      <c r="F219" s="13">
        <v>0.35</v>
      </c>
      <c r="G219" s="13">
        <v>0.5</v>
      </c>
    </row>
    <row r="220" spans="2:7" x14ac:dyDescent="0.2">
      <c r="B220" s="12" t="s">
        <v>41</v>
      </c>
      <c r="C220" s="8" t="str">
        <f t="shared" si="4"/>
        <v>NKisnémedi</v>
      </c>
      <c r="D220" s="13">
        <v>0.35</v>
      </c>
      <c r="E220" s="13">
        <v>0.35</v>
      </c>
      <c r="F220" s="13">
        <v>0.35</v>
      </c>
      <c r="G220" s="13">
        <v>0.5</v>
      </c>
    </row>
    <row r="221" spans="2:7" x14ac:dyDescent="0.2">
      <c r="B221" s="12" t="s">
        <v>42</v>
      </c>
      <c r="C221" s="8" t="str">
        <f t="shared" si="4"/>
        <v>NKocsér</v>
      </c>
      <c r="D221" s="13">
        <v>0.35</v>
      </c>
      <c r="E221" s="13">
        <v>0.35</v>
      </c>
      <c r="F221" s="13">
        <v>0.35</v>
      </c>
      <c r="G221" s="13">
        <v>0.5</v>
      </c>
    </row>
    <row r="222" spans="2:7" x14ac:dyDescent="0.2">
      <c r="B222" s="12" t="s">
        <v>43</v>
      </c>
      <c r="C222" s="8" t="str">
        <f t="shared" si="4"/>
        <v>NKóspallag</v>
      </c>
      <c r="D222" s="13">
        <v>0.35</v>
      </c>
      <c r="E222" s="13">
        <v>0.35</v>
      </c>
      <c r="F222" s="13">
        <v>0.35</v>
      </c>
      <c r="G222" s="13">
        <v>0.5</v>
      </c>
    </row>
    <row r="223" spans="2:7" x14ac:dyDescent="0.2">
      <c r="B223" s="12" t="s">
        <v>44</v>
      </c>
      <c r="C223" s="8" t="str">
        <f t="shared" si="4"/>
        <v>NKőröstetétlen</v>
      </c>
      <c r="D223" s="13">
        <v>0.35</v>
      </c>
      <c r="E223" s="13">
        <v>0.35</v>
      </c>
      <c r="F223" s="13">
        <v>0.35</v>
      </c>
      <c r="G223" s="13">
        <v>0.5</v>
      </c>
    </row>
    <row r="224" spans="2:7" x14ac:dyDescent="0.2">
      <c r="B224" s="12" t="s">
        <v>45</v>
      </c>
      <c r="C224" s="8" t="str">
        <f t="shared" si="4"/>
        <v>NLetkés</v>
      </c>
      <c r="D224" s="13">
        <v>0.35</v>
      </c>
      <c r="E224" s="13">
        <v>0.35</v>
      </c>
      <c r="F224" s="13">
        <v>0.35</v>
      </c>
      <c r="G224" s="13">
        <v>0.5</v>
      </c>
    </row>
    <row r="225" spans="2:7" x14ac:dyDescent="0.2">
      <c r="B225" s="12" t="s">
        <v>46</v>
      </c>
      <c r="C225" s="8" t="str">
        <f t="shared" si="4"/>
        <v>NLórév</v>
      </c>
      <c r="D225" s="13">
        <v>0.35</v>
      </c>
      <c r="E225" s="13">
        <v>0.35</v>
      </c>
      <c r="F225" s="13">
        <v>0.35</v>
      </c>
      <c r="G225" s="13">
        <v>0.5</v>
      </c>
    </row>
    <row r="226" spans="2:7" x14ac:dyDescent="0.2">
      <c r="B226" s="12" t="s">
        <v>47</v>
      </c>
      <c r="C226" s="8" t="str">
        <f t="shared" si="4"/>
        <v>NMaglód</v>
      </c>
      <c r="D226" s="13">
        <v>0.35</v>
      </c>
      <c r="E226" s="13">
        <v>0.35</v>
      </c>
      <c r="F226" s="13">
        <v>0.35</v>
      </c>
      <c r="G226" s="13">
        <v>0.5</v>
      </c>
    </row>
    <row r="227" spans="2:7" x14ac:dyDescent="0.2">
      <c r="B227" s="12" t="s">
        <v>48</v>
      </c>
      <c r="C227" s="8" t="str">
        <f t="shared" si="4"/>
        <v>NMakád</v>
      </c>
      <c r="D227" s="13">
        <v>0.35</v>
      </c>
      <c r="E227" s="13">
        <v>0.35</v>
      </c>
      <c r="F227" s="13">
        <v>0.35</v>
      </c>
      <c r="G227" s="13">
        <v>0.5</v>
      </c>
    </row>
    <row r="228" spans="2:7" x14ac:dyDescent="0.2">
      <c r="B228" s="12" t="s">
        <v>49</v>
      </c>
      <c r="C228" s="8" t="str">
        <f t="shared" si="4"/>
        <v>NMárianosztra</v>
      </c>
      <c r="D228" s="13">
        <v>0.35</v>
      </c>
      <c r="E228" s="13">
        <v>0.35</v>
      </c>
      <c r="F228" s="13">
        <v>0.35</v>
      </c>
      <c r="G228" s="13">
        <v>0.5</v>
      </c>
    </row>
    <row r="229" spans="2:7" x14ac:dyDescent="0.2">
      <c r="B229" s="12" t="s">
        <v>50</v>
      </c>
      <c r="C229" s="8" t="str">
        <f t="shared" si="4"/>
        <v>NMikebuda</v>
      </c>
      <c r="D229" s="13">
        <v>0.35</v>
      </c>
      <c r="E229" s="13">
        <v>0.35</v>
      </c>
      <c r="F229" s="13">
        <v>0.35</v>
      </c>
      <c r="G229" s="13">
        <v>0.5</v>
      </c>
    </row>
    <row r="230" spans="2:7" x14ac:dyDescent="0.2">
      <c r="B230" s="12" t="s">
        <v>51</v>
      </c>
      <c r="C230" s="8" t="str">
        <f t="shared" si="4"/>
        <v>NMonor</v>
      </c>
      <c r="D230" s="13">
        <v>0.35</v>
      </c>
      <c r="E230" s="13">
        <v>0.35</v>
      </c>
      <c r="F230" s="13">
        <v>0.35</v>
      </c>
      <c r="G230" s="13">
        <v>0.5</v>
      </c>
    </row>
    <row r="231" spans="2:7" x14ac:dyDescent="0.2">
      <c r="B231" s="12" t="s">
        <v>52</v>
      </c>
      <c r="C231" s="8" t="str">
        <f t="shared" si="4"/>
        <v>NNagybörzsöny</v>
      </c>
      <c r="D231" s="13">
        <v>0.35</v>
      </c>
      <c r="E231" s="13">
        <v>0.35</v>
      </c>
      <c r="F231" s="13">
        <v>0.35</v>
      </c>
      <c r="G231" s="13">
        <v>0.5</v>
      </c>
    </row>
    <row r="232" spans="2:7" x14ac:dyDescent="0.2">
      <c r="B232" s="12" t="s">
        <v>53</v>
      </c>
      <c r="C232" s="8" t="str">
        <f t="shared" si="4"/>
        <v>NNagykáta</v>
      </c>
      <c r="D232" s="13">
        <v>0.35</v>
      </c>
      <c r="E232" s="13">
        <v>0.35</v>
      </c>
      <c r="F232" s="13">
        <v>0.35</v>
      </c>
      <c r="G232" s="13">
        <v>0.5</v>
      </c>
    </row>
    <row r="233" spans="2:7" x14ac:dyDescent="0.2">
      <c r="B233" s="12" t="s">
        <v>54</v>
      </c>
      <c r="C233" s="8" t="str">
        <f t="shared" si="4"/>
        <v>NNagykőrös</v>
      </c>
      <c r="D233" s="13">
        <v>0.35</v>
      </c>
      <c r="E233" s="13">
        <v>0.35</v>
      </c>
      <c r="F233" s="13">
        <v>0.35</v>
      </c>
      <c r="G233" s="13">
        <v>0.5</v>
      </c>
    </row>
    <row r="234" spans="2:7" x14ac:dyDescent="0.2">
      <c r="B234" s="12" t="s">
        <v>55</v>
      </c>
      <c r="C234" s="8" t="str">
        <f t="shared" si="4"/>
        <v>NNagytarcsa</v>
      </c>
      <c r="D234" s="13">
        <v>0.35</v>
      </c>
      <c r="E234" s="13">
        <v>0.35</v>
      </c>
      <c r="F234" s="13">
        <v>0.35</v>
      </c>
      <c r="G234" s="13">
        <v>0.5</v>
      </c>
    </row>
    <row r="235" spans="2:7" x14ac:dyDescent="0.2">
      <c r="B235" s="12" t="s">
        <v>56</v>
      </c>
      <c r="C235" s="8" t="str">
        <f t="shared" si="4"/>
        <v>NNyársapát</v>
      </c>
      <c r="D235" s="13">
        <v>0.35</v>
      </c>
      <c r="E235" s="13">
        <v>0.35</v>
      </c>
      <c r="F235" s="13">
        <v>0.35</v>
      </c>
      <c r="G235" s="13">
        <v>0.5</v>
      </c>
    </row>
    <row r="236" spans="2:7" x14ac:dyDescent="0.2">
      <c r="B236" s="12" t="s">
        <v>57</v>
      </c>
      <c r="C236" s="8" t="str">
        <f t="shared" si="4"/>
        <v>NÓcsa</v>
      </c>
      <c r="D236" s="13">
        <v>0.35</v>
      </c>
      <c r="E236" s="13">
        <v>0.35</v>
      </c>
      <c r="F236" s="13">
        <v>0.35</v>
      </c>
      <c r="G236" s="13">
        <v>0.5</v>
      </c>
    </row>
    <row r="237" spans="2:7" x14ac:dyDescent="0.2">
      <c r="B237" s="12" t="s">
        <v>58</v>
      </c>
      <c r="C237" s="8" t="str">
        <f t="shared" si="4"/>
        <v>NÖrkény</v>
      </c>
      <c r="D237" s="13">
        <v>0.35</v>
      </c>
      <c r="E237" s="13">
        <v>0.35</v>
      </c>
      <c r="F237" s="13">
        <v>0.35</v>
      </c>
      <c r="G237" s="13">
        <v>0.5</v>
      </c>
    </row>
    <row r="238" spans="2:7" x14ac:dyDescent="0.2">
      <c r="B238" s="12" t="s">
        <v>59</v>
      </c>
      <c r="C238" s="8" t="str">
        <f t="shared" si="4"/>
        <v>NPécel</v>
      </c>
      <c r="D238" s="13">
        <v>0.35</v>
      </c>
      <c r="E238" s="13">
        <v>0.35</v>
      </c>
      <c r="F238" s="13">
        <v>0.35</v>
      </c>
      <c r="G238" s="13">
        <v>0.5</v>
      </c>
    </row>
    <row r="239" spans="2:7" x14ac:dyDescent="0.2">
      <c r="B239" s="12" t="s">
        <v>60</v>
      </c>
      <c r="C239" s="8" t="str">
        <f t="shared" si="4"/>
        <v>NPerőcsény</v>
      </c>
      <c r="D239" s="13">
        <v>0.35</v>
      </c>
      <c r="E239" s="13">
        <v>0.35</v>
      </c>
      <c r="F239" s="13">
        <v>0.35</v>
      </c>
      <c r="G239" s="13">
        <v>0.5</v>
      </c>
    </row>
    <row r="240" spans="2:7" x14ac:dyDescent="0.2">
      <c r="B240" s="12" t="s">
        <v>61</v>
      </c>
      <c r="C240" s="8" t="str">
        <f t="shared" si="4"/>
        <v>NPéteri</v>
      </c>
      <c r="D240" s="13">
        <v>0.35</v>
      </c>
      <c r="E240" s="13">
        <v>0.35</v>
      </c>
      <c r="F240" s="13">
        <v>0.35</v>
      </c>
      <c r="G240" s="13">
        <v>0.5</v>
      </c>
    </row>
    <row r="241" spans="2:7" x14ac:dyDescent="0.2">
      <c r="B241" s="15" t="s">
        <v>62</v>
      </c>
      <c r="C241" s="8" t="str">
        <f t="shared" si="4"/>
        <v>NPiliscsaba</v>
      </c>
      <c r="D241" s="13">
        <v>0.2</v>
      </c>
      <c r="E241" s="13">
        <v>0.35</v>
      </c>
      <c r="F241" s="13">
        <v>0.35</v>
      </c>
      <c r="G241" s="13">
        <v>0.5</v>
      </c>
    </row>
    <row r="242" spans="2:7" x14ac:dyDescent="0.2">
      <c r="B242" s="15" t="s">
        <v>63</v>
      </c>
      <c r="C242" s="8" t="str">
        <f t="shared" si="4"/>
        <v>NPilisjászújfalu</v>
      </c>
      <c r="D242" s="13">
        <v>0.2</v>
      </c>
      <c r="E242" s="13">
        <v>0.35</v>
      </c>
      <c r="F242" s="13">
        <v>0.35</v>
      </c>
      <c r="G242" s="13">
        <v>0.5</v>
      </c>
    </row>
    <row r="243" spans="2:7" x14ac:dyDescent="0.2">
      <c r="B243" s="12" t="s">
        <v>64</v>
      </c>
      <c r="C243" s="8" t="str">
        <f t="shared" si="4"/>
        <v>NPüspökhatvan</v>
      </c>
      <c r="D243" s="13">
        <v>0.35</v>
      </c>
      <c r="E243" s="13">
        <v>0.35</v>
      </c>
      <c r="F243" s="13">
        <v>0.35</v>
      </c>
      <c r="G243" s="13">
        <v>0.5</v>
      </c>
    </row>
    <row r="244" spans="2:7" x14ac:dyDescent="0.2">
      <c r="B244" s="12" t="s">
        <v>65</v>
      </c>
      <c r="C244" s="8" t="str">
        <f t="shared" si="4"/>
        <v>NPüspökszilágy</v>
      </c>
      <c r="D244" s="13">
        <v>0.35</v>
      </c>
      <c r="E244" s="13">
        <v>0.35</v>
      </c>
      <c r="F244" s="13">
        <v>0.35</v>
      </c>
      <c r="G244" s="13">
        <v>0.5</v>
      </c>
    </row>
    <row r="245" spans="2:7" x14ac:dyDescent="0.2">
      <c r="B245" s="12" t="s">
        <v>66</v>
      </c>
      <c r="C245" s="8" t="str">
        <f t="shared" si="4"/>
        <v>NRáckeve</v>
      </c>
      <c r="D245" s="13">
        <v>0.35</v>
      </c>
      <c r="E245" s="13">
        <v>0.35</v>
      </c>
      <c r="F245" s="13">
        <v>0.35</v>
      </c>
      <c r="G245" s="13">
        <v>0.5</v>
      </c>
    </row>
    <row r="246" spans="2:7" x14ac:dyDescent="0.2">
      <c r="B246" s="12" t="s">
        <v>67</v>
      </c>
      <c r="C246" s="8" t="str">
        <f t="shared" si="4"/>
        <v>NSzentmártonkáta</v>
      </c>
      <c r="D246" s="13">
        <v>0.35</v>
      </c>
      <c r="E246" s="13">
        <v>0.35</v>
      </c>
      <c r="F246" s="13">
        <v>0.35</v>
      </c>
      <c r="G246" s="13">
        <v>0.5</v>
      </c>
    </row>
    <row r="247" spans="2:7" x14ac:dyDescent="0.2">
      <c r="B247" s="12" t="s">
        <v>68</v>
      </c>
      <c r="C247" s="8" t="str">
        <f t="shared" si="4"/>
        <v>NSzigetbecse</v>
      </c>
      <c r="D247" s="13">
        <v>0.35</v>
      </c>
      <c r="E247" s="13">
        <v>0.35</v>
      </c>
      <c r="F247" s="13">
        <v>0.35</v>
      </c>
      <c r="G247" s="13">
        <v>0.5</v>
      </c>
    </row>
    <row r="248" spans="2:7" x14ac:dyDescent="0.2">
      <c r="B248" s="12" t="s">
        <v>69</v>
      </c>
      <c r="C248" s="8" t="str">
        <f t="shared" si="4"/>
        <v>NSzigetszentmiklós</v>
      </c>
      <c r="D248" s="13">
        <v>0.35</v>
      </c>
      <c r="E248" s="13">
        <v>0.35</v>
      </c>
      <c r="F248" s="13">
        <v>0.35</v>
      </c>
      <c r="G248" s="13">
        <v>0.5</v>
      </c>
    </row>
    <row r="249" spans="2:7" x14ac:dyDescent="0.2">
      <c r="B249" s="12" t="s">
        <v>70</v>
      </c>
      <c r="C249" s="8" t="str">
        <f t="shared" si="4"/>
        <v>NSzob</v>
      </c>
      <c r="D249" s="13">
        <v>0.35</v>
      </c>
      <c r="E249" s="13">
        <v>0.35</v>
      </c>
      <c r="F249" s="13">
        <v>0.35</v>
      </c>
      <c r="G249" s="13">
        <v>0.5</v>
      </c>
    </row>
    <row r="250" spans="2:7" x14ac:dyDescent="0.2">
      <c r="B250" s="12" t="s">
        <v>71</v>
      </c>
      <c r="C250" s="8" t="str">
        <f t="shared" si="4"/>
        <v>NSzokolya</v>
      </c>
      <c r="D250" s="13">
        <v>0.35</v>
      </c>
      <c r="E250" s="13">
        <v>0.35</v>
      </c>
      <c r="F250" s="13">
        <v>0.35</v>
      </c>
      <c r="G250" s="13">
        <v>0.5</v>
      </c>
    </row>
    <row r="251" spans="2:7" x14ac:dyDescent="0.2">
      <c r="B251" s="14" t="s">
        <v>100</v>
      </c>
      <c r="C251" s="8" t="str">
        <f t="shared" si="4"/>
        <v>NSződliget</v>
      </c>
      <c r="D251" s="13">
        <v>0.35</v>
      </c>
      <c r="E251" s="13">
        <v>0.35</v>
      </c>
      <c r="F251" s="13">
        <v>0.35</v>
      </c>
      <c r="G251" s="13">
        <v>0.5</v>
      </c>
    </row>
    <row r="252" spans="2:7" x14ac:dyDescent="0.2">
      <c r="B252" s="12" t="s">
        <v>72</v>
      </c>
      <c r="C252" s="8" t="str">
        <f t="shared" si="4"/>
        <v>NTáborfalva</v>
      </c>
      <c r="D252" s="13">
        <v>0.35</v>
      </c>
      <c r="E252" s="13">
        <v>0.35</v>
      </c>
      <c r="F252" s="13">
        <v>0.35</v>
      </c>
      <c r="G252" s="13">
        <v>0.5</v>
      </c>
    </row>
    <row r="253" spans="2:7" x14ac:dyDescent="0.2">
      <c r="B253" s="12" t="s">
        <v>73</v>
      </c>
      <c r="C253" s="8" t="str">
        <f t="shared" si="4"/>
        <v>NTápióbicske</v>
      </c>
      <c r="D253" s="13">
        <v>0.35</v>
      </c>
      <c r="E253" s="13">
        <v>0.35</v>
      </c>
      <c r="F253" s="13">
        <v>0.35</v>
      </c>
      <c r="G253" s="13">
        <v>0.5</v>
      </c>
    </row>
    <row r="254" spans="2:7" x14ac:dyDescent="0.2">
      <c r="B254" s="12" t="s">
        <v>74</v>
      </c>
      <c r="C254" s="8" t="str">
        <f t="shared" ref="C254:C279" si="5">"N"&amp;B254</f>
        <v>NTápiógyörgye</v>
      </c>
      <c r="D254" s="13">
        <v>0.35</v>
      </c>
      <c r="E254" s="13">
        <v>0.35</v>
      </c>
      <c r="F254" s="13">
        <v>0.35</v>
      </c>
      <c r="G254" s="13">
        <v>0.5</v>
      </c>
    </row>
    <row r="255" spans="2:7" x14ac:dyDescent="0.2">
      <c r="B255" s="12" t="s">
        <v>75</v>
      </c>
      <c r="C255" s="8" t="str">
        <f t="shared" si="5"/>
        <v>NTápióság</v>
      </c>
      <c r="D255" s="13">
        <v>0.35</v>
      </c>
      <c r="E255" s="13">
        <v>0.35</v>
      </c>
      <c r="F255" s="13">
        <v>0.35</v>
      </c>
      <c r="G255" s="13">
        <v>0.5</v>
      </c>
    </row>
    <row r="256" spans="2:7" x14ac:dyDescent="0.2">
      <c r="B256" s="12" t="s">
        <v>76</v>
      </c>
      <c r="C256" s="8" t="str">
        <f t="shared" si="5"/>
        <v>NTápiószele</v>
      </c>
      <c r="D256" s="13">
        <v>0.35</v>
      </c>
      <c r="E256" s="13">
        <v>0.35</v>
      </c>
      <c r="F256" s="13">
        <v>0.35</v>
      </c>
      <c r="G256" s="13">
        <v>0.5</v>
      </c>
    </row>
    <row r="257" spans="2:7" x14ac:dyDescent="0.2">
      <c r="B257" s="12" t="s">
        <v>77</v>
      </c>
      <c r="C257" s="8" t="str">
        <f t="shared" si="5"/>
        <v>NTápiószentmárton</v>
      </c>
      <c r="D257" s="13">
        <v>0.35</v>
      </c>
      <c r="E257" s="13">
        <v>0.35</v>
      </c>
      <c r="F257" s="13">
        <v>0.35</v>
      </c>
      <c r="G257" s="13">
        <v>0.5</v>
      </c>
    </row>
    <row r="258" spans="2:7" x14ac:dyDescent="0.2">
      <c r="B258" s="12" t="s">
        <v>78</v>
      </c>
      <c r="C258" s="8" t="str">
        <f t="shared" si="5"/>
        <v>NTápiószőlős</v>
      </c>
      <c r="D258" s="13">
        <v>0.35</v>
      </c>
      <c r="E258" s="13">
        <v>0.35</v>
      </c>
      <c r="F258" s="13">
        <v>0.35</v>
      </c>
      <c r="G258" s="13">
        <v>0.5</v>
      </c>
    </row>
    <row r="259" spans="2:7" x14ac:dyDescent="0.2">
      <c r="B259" s="12" t="s">
        <v>79</v>
      </c>
      <c r="C259" s="8" t="str">
        <f t="shared" si="5"/>
        <v>NTatárszentgyörgy</v>
      </c>
      <c r="D259" s="13">
        <v>0.35</v>
      </c>
      <c r="E259" s="13">
        <v>0.35</v>
      </c>
      <c r="F259" s="13">
        <v>0.35</v>
      </c>
      <c r="G259" s="13">
        <v>0.5</v>
      </c>
    </row>
    <row r="260" spans="2:7" x14ac:dyDescent="0.2">
      <c r="B260" s="12" t="s">
        <v>80</v>
      </c>
      <c r="C260" s="8" t="str">
        <f t="shared" si="5"/>
        <v>NTésa</v>
      </c>
      <c r="D260" s="13">
        <v>0.35</v>
      </c>
      <c r="E260" s="13">
        <v>0.35</v>
      </c>
      <c r="F260" s="13">
        <v>0.35</v>
      </c>
      <c r="G260" s="13">
        <v>0.5</v>
      </c>
    </row>
    <row r="261" spans="2:7" x14ac:dyDescent="0.2">
      <c r="B261" s="12" t="s">
        <v>81</v>
      </c>
      <c r="C261" s="8" t="str">
        <f t="shared" si="5"/>
        <v>NTörtel</v>
      </c>
      <c r="D261" s="13">
        <v>0.35</v>
      </c>
      <c r="E261" s="13">
        <v>0.35</v>
      </c>
      <c r="F261" s="13">
        <v>0.35</v>
      </c>
      <c r="G261" s="13">
        <v>0.5</v>
      </c>
    </row>
    <row r="262" spans="2:7" x14ac:dyDescent="0.2">
      <c r="B262" s="12" t="s">
        <v>82</v>
      </c>
      <c r="C262" s="8" t="str">
        <f t="shared" si="5"/>
        <v>NTura</v>
      </c>
      <c r="D262" s="13">
        <v>0.35</v>
      </c>
      <c r="E262" s="13">
        <v>0.35</v>
      </c>
      <c r="F262" s="13">
        <v>0.35</v>
      </c>
      <c r="G262" s="13">
        <v>0.5</v>
      </c>
    </row>
    <row r="263" spans="2:7" x14ac:dyDescent="0.2">
      <c r="B263" s="12" t="s">
        <v>83</v>
      </c>
      <c r="C263" s="8" t="str">
        <f t="shared" si="5"/>
        <v>NÚjhartyán</v>
      </c>
      <c r="D263" s="13">
        <v>0.35</v>
      </c>
      <c r="E263" s="13">
        <v>0.35</v>
      </c>
      <c r="F263" s="13">
        <v>0.35</v>
      </c>
      <c r="G263" s="13">
        <v>0.5</v>
      </c>
    </row>
    <row r="264" spans="2:7" x14ac:dyDescent="0.2">
      <c r="B264" s="12" t="s">
        <v>84</v>
      </c>
      <c r="C264" s="8" t="str">
        <f t="shared" si="5"/>
        <v>NÚjszilvás</v>
      </c>
      <c r="D264" s="13">
        <v>0.35</v>
      </c>
      <c r="E264" s="13">
        <v>0.35</v>
      </c>
      <c r="F264" s="13">
        <v>0.35</v>
      </c>
      <c r="G264" s="13">
        <v>0.5</v>
      </c>
    </row>
    <row r="265" spans="2:7" x14ac:dyDescent="0.2">
      <c r="B265" s="12" t="s">
        <v>85</v>
      </c>
      <c r="C265" s="8" t="str">
        <f t="shared" si="5"/>
        <v>NÜllő</v>
      </c>
      <c r="D265" s="13">
        <v>0.35</v>
      </c>
      <c r="E265" s="13">
        <v>0.35</v>
      </c>
      <c r="F265" s="13">
        <v>0.35</v>
      </c>
      <c r="G265" s="13">
        <v>0.5</v>
      </c>
    </row>
    <row r="266" spans="2:7" x14ac:dyDescent="0.2">
      <c r="B266" s="12" t="s">
        <v>86</v>
      </c>
      <c r="C266" s="8" t="str">
        <f t="shared" si="5"/>
        <v>NVác</v>
      </c>
      <c r="D266" s="13">
        <v>0.35</v>
      </c>
      <c r="E266" s="13">
        <v>0.35</v>
      </c>
      <c r="F266" s="13">
        <v>0.35</v>
      </c>
      <c r="G266" s="13">
        <v>0.5</v>
      </c>
    </row>
    <row r="267" spans="2:7" x14ac:dyDescent="0.2">
      <c r="B267" s="12" t="s">
        <v>87</v>
      </c>
      <c r="C267" s="8" t="str">
        <f t="shared" si="5"/>
        <v>NVáckisújfalu</v>
      </c>
      <c r="D267" s="13">
        <v>0.35</v>
      </c>
      <c r="E267" s="13">
        <v>0.35</v>
      </c>
      <c r="F267" s="13">
        <v>0.35</v>
      </c>
      <c r="G267" s="13">
        <v>0.5</v>
      </c>
    </row>
    <row r="268" spans="2:7" x14ac:dyDescent="0.2">
      <c r="B268" s="12" t="s">
        <v>88</v>
      </c>
      <c r="C268" s="8" t="str">
        <f t="shared" si="5"/>
        <v>NValkó</v>
      </c>
      <c r="D268" s="13">
        <v>0.35</v>
      </c>
      <c r="E268" s="13">
        <v>0.35</v>
      </c>
      <c r="F268" s="13">
        <v>0.35</v>
      </c>
      <c r="G268" s="13">
        <v>0.5</v>
      </c>
    </row>
    <row r="269" spans="2:7" x14ac:dyDescent="0.2">
      <c r="B269" s="12" t="s">
        <v>89</v>
      </c>
      <c r="C269" s="8" t="str">
        <f t="shared" si="5"/>
        <v>NVámosmikola</v>
      </c>
      <c r="D269" s="13">
        <v>0.35</v>
      </c>
      <c r="E269" s="13">
        <v>0.35</v>
      </c>
      <c r="F269" s="13">
        <v>0.35</v>
      </c>
      <c r="G269" s="13">
        <v>0.5</v>
      </c>
    </row>
    <row r="270" spans="2:7" x14ac:dyDescent="0.2">
      <c r="B270" s="12" t="s">
        <v>90</v>
      </c>
      <c r="C270" s="8" t="str">
        <f t="shared" si="5"/>
        <v>NVecsés</v>
      </c>
      <c r="D270" s="13">
        <v>0.35</v>
      </c>
      <c r="E270" s="13">
        <v>0.35</v>
      </c>
      <c r="F270" s="13">
        <v>0.35</v>
      </c>
      <c r="G270" s="13">
        <v>0.5</v>
      </c>
    </row>
    <row r="271" spans="2:7" x14ac:dyDescent="0.2">
      <c r="B271" s="12" t="s">
        <v>91</v>
      </c>
      <c r="C271" s="8" t="str">
        <f t="shared" si="5"/>
        <v>NVerőce</v>
      </c>
      <c r="D271" s="13">
        <v>0.35</v>
      </c>
      <c r="E271" s="13">
        <v>0.35</v>
      </c>
      <c r="F271" s="13">
        <v>0.35</v>
      </c>
      <c r="G271" s="13">
        <v>0.5</v>
      </c>
    </row>
    <row r="272" spans="2:7" x14ac:dyDescent="0.2">
      <c r="B272" s="16" t="s">
        <v>92</v>
      </c>
      <c r="C272" s="8" t="str">
        <f t="shared" si="5"/>
        <v xml:space="preserve">NVerseg </v>
      </c>
      <c r="D272" s="13">
        <v>0.35</v>
      </c>
      <c r="E272" s="13">
        <v>0.35</v>
      </c>
      <c r="F272" s="13">
        <v>0.35</v>
      </c>
      <c r="G272" s="13">
        <v>0.5</v>
      </c>
    </row>
    <row r="273" spans="2:7" x14ac:dyDescent="0.2">
      <c r="B273" s="12" t="s">
        <v>93</v>
      </c>
      <c r="C273" s="8" t="str">
        <f t="shared" si="5"/>
        <v>NZebegény</v>
      </c>
      <c r="D273" s="13">
        <v>0.35</v>
      </c>
      <c r="E273" s="13">
        <v>0.35</v>
      </c>
      <c r="F273" s="13">
        <v>0.35</v>
      </c>
      <c r="G273" s="13">
        <v>0.5</v>
      </c>
    </row>
    <row r="274" spans="2:7" x14ac:dyDescent="0.2">
      <c r="B274" s="17" t="s">
        <v>103</v>
      </c>
      <c r="C274" s="8" t="str">
        <f t="shared" si="5"/>
        <v>NÉszak Magyarország</v>
      </c>
      <c r="D274" s="18">
        <v>0.5</v>
      </c>
      <c r="E274" s="18">
        <v>0.45</v>
      </c>
      <c r="F274" s="18">
        <v>0.45</v>
      </c>
      <c r="G274" s="18">
        <v>0.6</v>
      </c>
    </row>
    <row r="275" spans="2:7" x14ac:dyDescent="0.2">
      <c r="B275" s="19" t="s">
        <v>104</v>
      </c>
      <c r="C275" s="8" t="str">
        <f t="shared" si="5"/>
        <v>NÉszak Alföld</v>
      </c>
      <c r="D275" s="18">
        <v>0.5</v>
      </c>
      <c r="E275" s="18">
        <v>0.45</v>
      </c>
      <c r="F275" s="18">
        <v>0.45</v>
      </c>
      <c r="G275" s="18">
        <v>0.6</v>
      </c>
    </row>
    <row r="276" spans="2:7" x14ac:dyDescent="0.2">
      <c r="B276" s="19" t="s">
        <v>105</v>
      </c>
      <c r="C276" s="8" t="str">
        <f t="shared" si="5"/>
        <v>NDél Alföld</v>
      </c>
      <c r="D276" s="18">
        <v>0.5</v>
      </c>
      <c r="E276" s="18">
        <v>0.45</v>
      </c>
      <c r="F276" s="18">
        <v>0.45</v>
      </c>
      <c r="G276" s="18">
        <v>0.6</v>
      </c>
    </row>
    <row r="277" spans="2:7" x14ac:dyDescent="0.2">
      <c r="B277" s="19" t="s">
        <v>106</v>
      </c>
      <c r="C277" s="8" t="str">
        <f t="shared" si="5"/>
        <v>NDél Dunántúl</v>
      </c>
      <c r="D277" s="18">
        <v>0.5</v>
      </c>
      <c r="E277" s="18">
        <v>0.45</v>
      </c>
      <c r="F277" s="18">
        <v>0.45</v>
      </c>
      <c r="G277" s="18">
        <v>0.6</v>
      </c>
    </row>
    <row r="278" spans="2:7" x14ac:dyDescent="0.2">
      <c r="B278" s="17" t="s">
        <v>107</v>
      </c>
      <c r="C278" s="8" t="str">
        <f t="shared" si="5"/>
        <v>NKözép Dunántúl</v>
      </c>
      <c r="D278" s="18">
        <v>0.35</v>
      </c>
      <c r="E278" s="18">
        <v>0.45</v>
      </c>
      <c r="F278" s="18">
        <v>0.45</v>
      </c>
      <c r="G278" s="18">
        <v>0.6</v>
      </c>
    </row>
    <row r="279" spans="2:7" ht="16" thickBot="1" x14ac:dyDescent="0.25">
      <c r="B279" s="20" t="s">
        <v>108</v>
      </c>
      <c r="C279" s="8" t="str">
        <f t="shared" si="5"/>
        <v>NNyugat Dunántúl</v>
      </c>
      <c r="D279" s="22">
        <v>0.25</v>
      </c>
      <c r="E279" s="18">
        <v>0.45</v>
      </c>
      <c r="F279" s="18">
        <v>0.45</v>
      </c>
      <c r="G279" s="18">
        <v>0.6</v>
      </c>
    </row>
  </sheetData>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3">
    <tabColor rgb="FFFFFF00"/>
  </sheetPr>
  <dimension ref="D1:L34"/>
  <sheetViews>
    <sheetView workbookViewId="0">
      <selection activeCell="I20" sqref="H20:I21"/>
    </sheetView>
  </sheetViews>
  <sheetFormatPr baseColWidth="10" defaultColWidth="8.83203125" defaultRowHeight="16" thickBottom="1" x14ac:dyDescent="0.25"/>
  <cols>
    <col min="1" max="7" width="5.1640625" customWidth="1"/>
    <col min="8" max="8" width="5.5" style="29" customWidth="1"/>
    <col min="9" max="9" width="20.1640625" style="37" bestFit="1" customWidth="1"/>
    <col min="10" max="10" width="41" style="30" customWidth="1"/>
    <col min="11" max="11" width="12.1640625" style="31" bestFit="1" customWidth="1"/>
    <col min="12" max="12" width="94.83203125" style="30" bestFit="1" customWidth="1"/>
  </cols>
  <sheetData>
    <row r="1" spans="8:12" thickBot="1" x14ac:dyDescent="0.25">
      <c r="H1" s="26"/>
      <c r="I1" s="36" t="s">
        <v>205</v>
      </c>
      <c r="J1" s="27" t="s">
        <v>271</v>
      </c>
      <c r="K1" s="28" t="s">
        <v>219</v>
      </c>
      <c r="L1" s="27" t="s">
        <v>220</v>
      </c>
    </row>
    <row r="2" spans="8:12" s="7" customFormat="1" thickBot="1" x14ac:dyDescent="0.25">
      <c r="H2" s="33"/>
      <c r="I2" s="37" t="s">
        <v>252</v>
      </c>
      <c r="J2" s="30" t="s">
        <v>283</v>
      </c>
      <c r="K2" s="31"/>
      <c r="L2" s="30"/>
    </row>
    <row r="3" spans="8:12" s="7" customFormat="1" ht="46.5" customHeight="1" thickBot="1" x14ac:dyDescent="0.25">
      <c r="H3" s="33"/>
      <c r="I3" s="37" t="s">
        <v>251</v>
      </c>
      <c r="J3" s="35" t="s">
        <v>284</v>
      </c>
      <c r="K3" s="31"/>
      <c r="L3" s="30"/>
    </row>
    <row r="4" spans="8:12" s="7" customFormat="1" thickBot="1" x14ac:dyDescent="0.25">
      <c r="H4" s="33"/>
      <c r="I4" s="37" t="s">
        <v>253</v>
      </c>
      <c r="J4" s="35"/>
      <c r="K4" s="31"/>
      <c r="L4" s="30"/>
    </row>
    <row r="5" spans="8:12" thickBot="1" x14ac:dyDescent="0.25">
      <c r="H5" s="33" t="s">
        <v>111</v>
      </c>
      <c r="I5" s="37" t="s">
        <v>216</v>
      </c>
      <c r="J5" s="30">
        <v>323.77999999999997</v>
      </c>
      <c r="L5" s="30" t="str">
        <f>MNBarf_megj</f>
        <v>TT számításhoz használt árfolyam (előző hónap utolsó napján érvényes MNB EUR devizaközép árfolyam)</v>
      </c>
    </row>
    <row r="6" spans="8:12" thickBot="1" x14ac:dyDescent="0.25">
      <c r="H6" s="33" t="s">
        <v>111</v>
      </c>
      <c r="I6" s="37" t="s">
        <v>217</v>
      </c>
      <c r="J6" s="34">
        <v>4.8999999999999998E-3</v>
      </c>
      <c r="L6" s="34" t="str">
        <f>Bubor_megj</f>
        <v>Az Európai Bizottság által közölt éves referencia kamatláb (HUF):</v>
      </c>
    </row>
    <row r="7" spans="8:12" thickBot="1" x14ac:dyDescent="0.25">
      <c r="H7" s="33" t="s">
        <v>111</v>
      </c>
      <c r="I7" s="37" t="s">
        <v>218</v>
      </c>
      <c r="J7" s="34">
        <v>-1.8E-3</v>
      </c>
      <c r="L7" s="34" t="str">
        <f>EurRefrata_megj</f>
        <v>Az Európai Bizottság által közölt éves referencia kamatláb (EUR):</v>
      </c>
    </row>
    <row r="8" spans="8:12" thickBot="1" x14ac:dyDescent="0.25">
      <c r="H8" s="33"/>
      <c r="I8" s="37" t="s">
        <v>223</v>
      </c>
      <c r="L8" s="30" t="str">
        <f>RefinKolcsonOsszege_megj</f>
        <v>Refinanszírozás összege és devizaneme</v>
      </c>
    </row>
    <row r="9" spans="8:12" s="7" customFormat="1" thickBot="1" x14ac:dyDescent="0.25">
      <c r="H9" s="29"/>
      <c r="I9" s="37" t="s">
        <v>206</v>
      </c>
      <c r="J9" s="30" t="s">
        <v>162</v>
      </c>
      <c r="K9" s="31"/>
      <c r="L9" s="30" t="e">
        <f>Devizanem_megj</f>
        <v>#REF!</v>
      </c>
    </row>
    <row r="10" spans="8:12" thickBot="1" x14ac:dyDescent="0.25">
      <c r="I10" s="37" t="s">
        <v>224</v>
      </c>
      <c r="L10" s="30" t="str">
        <f>Honapokszama_megj</f>
        <v>A visszafizetés kezdete (az első tőketörlesztés időpontja)</v>
      </c>
    </row>
    <row r="11" spans="8:12" thickBot="1" x14ac:dyDescent="0.25">
      <c r="I11" s="37" t="s">
        <v>225</v>
      </c>
      <c r="L11" s="30" t="str">
        <f>turelmiido_megj</f>
        <v>Technikai:  ElsoTorl</v>
      </c>
    </row>
    <row r="12" spans="8:12" thickBot="1" x14ac:dyDescent="0.25">
      <c r="I12" s="37" t="s">
        <v>215</v>
      </c>
      <c r="J12" s="32" t="s">
        <v>213</v>
      </c>
      <c r="K12" s="31" t="s">
        <v>214</v>
      </c>
      <c r="L12" s="32"/>
    </row>
    <row r="13" spans="8:12" thickBot="1" x14ac:dyDescent="0.25">
      <c r="I13" s="37" t="s">
        <v>235</v>
      </c>
      <c r="L13" s="30" t="str">
        <f>rt</f>
        <v>Finanszírozó pénzügyi intézmény által kért rendelkezésre tartási idő</v>
      </c>
    </row>
    <row r="14" spans="8:12" thickBot="1" x14ac:dyDescent="0.25">
      <c r="I14" s="37" t="s">
        <v>236</v>
      </c>
      <c r="L14" s="30" t="str">
        <f>rt</f>
        <v>Finanszírozó pénzügyi intézmény által kért rendelkezésre tartási idő</v>
      </c>
    </row>
    <row r="15" spans="8:12" thickBot="1" x14ac:dyDescent="0.25">
      <c r="I15" s="37" t="s">
        <v>264</v>
      </c>
      <c r="J15" s="30" t="s">
        <v>299</v>
      </c>
      <c r="L15" s="30" t="e">
        <f>TokeFizGyak_megj</f>
        <v>#REF!</v>
      </c>
    </row>
    <row r="16" spans="8:12" thickBot="1" x14ac:dyDescent="0.25">
      <c r="I16" s="37" t="s">
        <v>265</v>
      </c>
      <c r="J16" s="30" t="s">
        <v>299</v>
      </c>
      <c r="L16" s="30" t="e">
        <f>Periodus_megj</f>
        <v>#REF!</v>
      </c>
    </row>
    <row r="17" spans="4:12" thickBot="1" x14ac:dyDescent="0.25">
      <c r="I17" s="37" t="s">
        <v>237</v>
      </c>
      <c r="J17" s="30" t="s">
        <v>163</v>
      </c>
      <c r="L17" s="30" t="s">
        <v>238</v>
      </c>
    </row>
    <row r="18" spans="4:12" thickBot="1" x14ac:dyDescent="0.25">
      <c r="I18" s="37" t="s">
        <v>241</v>
      </c>
      <c r="J18" s="30">
        <v>6</v>
      </c>
      <c r="L18" s="30" t="s">
        <v>242</v>
      </c>
    </row>
    <row r="19" spans="4:12" thickBot="1" x14ac:dyDescent="0.25">
      <c r="I19" s="37" t="s">
        <v>266</v>
      </c>
      <c r="L19" s="30" t="str">
        <f>TT_kategoria_megj</f>
        <v>Az igényelt finanszírozás támogatási kategóriája</v>
      </c>
    </row>
    <row r="20" spans="4:12" thickBot="1" x14ac:dyDescent="0.25">
      <c r="H20" s="33" t="s">
        <v>111</v>
      </c>
      <c r="I20" s="37" t="s">
        <v>399</v>
      </c>
    </row>
    <row r="21" spans="4:12" thickBot="1" x14ac:dyDescent="0.25">
      <c r="D21" s="7"/>
      <c r="E21" s="25"/>
      <c r="F21" s="25"/>
      <c r="G21" s="25"/>
      <c r="H21" s="33" t="s">
        <v>111</v>
      </c>
      <c r="I21" s="37" t="s">
        <v>400</v>
      </c>
    </row>
    <row r="22" spans="4:12" thickBot="1" x14ac:dyDescent="0.25">
      <c r="D22" s="7"/>
      <c r="E22" s="25"/>
      <c r="F22" s="25"/>
      <c r="G22" s="25"/>
    </row>
    <row r="26" spans="4:12" ht="15" x14ac:dyDescent="0.2"/>
    <row r="27" spans="4:12" ht="15" x14ac:dyDescent="0.2"/>
    <row r="28" spans="4:12" ht="15" x14ac:dyDescent="0.2"/>
    <row r="29" spans="4:12" ht="15" x14ac:dyDescent="0.2"/>
    <row r="30" spans="4:12" ht="15" x14ac:dyDescent="0.2"/>
    <row r="31" spans="4:12" ht="15" x14ac:dyDescent="0.2"/>
    <row r="32" spans="4:12" ht="15" x14ac:dyDescent="0.2"/>
    <row r="33" ht="15" x14ac:dyDescent="0.2"/>
    <row r="34" ht="15" x14ac:dyDescent="0.2"/>
  </sheetData>
  <hyperlinks>
    <hyperlink ref="H7" r:id="rId1" xr:uid="{00000000-0004-0000-0800-000000000000}"/>
    <hyperlink ref="H6" r:id="rId2" xr:uid="{00000000-0004-0000-0800-000001000000}"/>
    <hyperlink ref="H5" r:id="rId3" xr:uid="{00000000-0004-0000-0800-000002000000}"/>
    <hyperlink ref="H20" r:id="rId4" xr:uid="{00000000-0004-0000-0800-000003000000}"/>
    <hyperlink ref="H21" r:id="rId5" xr:uid="{00000000-0004-0000-0800-000004000000}"/>
  </hyperlinks>
  <pageMargins left="0.7" right="0.7" top="0.75" bottom="0.75" header="0.3" footer="0.3"/>
  <pageSetup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8193" r:id="rId9" name="Button 1">
              <controlPr defaultSize="0" print="0" autoFill="0" autoPict="0" macro="[0]!Gomb1_Kattintás">
                <anchor moveWithCells="1" sizeWithCells="1">
                  <from>
                    <xdr:col>1</xdr:col>
                    <xdr:colOff>0</xdr:colOff>
                    <xdr:row>0</xdr:row>
                    <xdr:rowOff>88900</xdr:rowOff>
                  </from>
                  <to>
                    <xdr:col>6</xdr:col>
                    <xdr:colOff>0</xdr:colOff>
                    <xdr:row>6</xdr:row>
                    <xdr:rowOff>25400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Munkalapok</vt:lpstr>
      </vt:variant>
      <vt:variant>
        <vt:i4>15</vt:i4>
      </vt:variant>
      <vt:variant>
        <vt:lpstr>Névvel ellátott tartományok</vt:lpstr>
      </vt:variant>
      <vt:variant>
        <vt:i4>238</vt:i4>
      </vt:variant>
    </vt:vector>
  </HeadingPairs>
  <TitlesOfParts>
    <vt:vector size="253" baseType="lpstr">
      <vt:lpstr>Fedlap</vt:lpstr>
      <vt:lpstr>Refinanszírozás célja</vt:lpstr>
      <vt:lpstr>Refinanszírozási kérelem</vt:lpstr>
      <vt:lpstr>Cashflow, Támogatástartalom</vt:lpstr>
      <vt:lpstr>Törlesztési ütemterv</vt:lpstr>
      <vt:lpstr>Eredményterv</vt:lpstr>
      <vt:lpstr>Támogatás intenzitás</vt:lpstr>
      <vt:lpstr>Segédtáblákk</vt:lpstr>
      <vt:lpstr>Inicializálás</vt:lpstr>
      <vt:lpstr>Támogatás tartalom összesítés </vt:lpstr>
      <vt:lpstr>Nyilatkozatok</vt:lpstr>
      <vt:lpstr>EIB_CEB nyilatkozatok</vt:lpstr>
      <vt:lpstr>Támogatási Nyilatkozatok_all</vt:lpstr>
      <vt:lpstr>Patika Hitelprogram - Kérelem</vt:lpstr>
      <vt:lpstr>Nyilatkozat igénybe vett tám</vt:lpstr>
      <vt:lpstr>adoszamnyil</vt:lpstr>
      <vt:lpstr>ajtonyil</vt:lpstr>
      <vt:lpstr>Alprogram</vt:lpstr>
      <vt:lpstr>anyanyil</vt:lpstr>
      <vt:lpstr>bejelentesihatarell</vt:lpstr>
      <vt:lpstr>BenyujtasanakIdopontja</vt:lpstr>
      <vt:lpstr>bruttópénzigény</vt:lpstr>
      <vt:lpstr>Bubor</vt:lpstr>
      <vt:lpstr>Bubor_megj</vt:lpstr>
      <vt:lpstr>C_L</vt:lpstr>
      <vt:lpstr>C_M</vt:lpstr>
      <vt:lpstr>C_N</vt:lpstr>
      <vt:lpstr>C_O</vt:lpstr>
      <vt:lpstr>C_P</vt:lpstr>
      <vt:lpstr>C_Q</vt:lpstr>
      <vt:lpstr>C_R</vt:lpstr>
      <vt:lpstr>C_S</vt:lpstr>
      <vt:lpstr>C_T</vt:lpstr>
      <vt:lpstr>cs_1</vt:lpstr>
      <vt:lpstr>cs_2</vt:lpstr>
      <vt:lpstr>cs_3</vt:lpstr>
      <vt:lpstr>cs_k</vt:lpstr>
      <vt:lpstr>cs_k_huf</vt:lpstr>
      <vt:lpstr>cs_ossz</vt:lpstr>
      <vt:lpstr>cs0</vt:lpstr>
      <vt:lpstr>devizanem</vt:lpstr>
      <vt:lpstr>egyenloreszletekszama</vt:lpstr>
      <vt:lpstr>elso_tort_honap</vt:lpstr>
      <vt:lpstr>ElsoHonapVege</vt:lpstr>
      <vt:lpstr>ElsoTorl</vt:lpstr>
      <vt:lpstr>Elszamolhato_kg</vt:lpstr>
      <vt:lpstr>energiahat</vt:lpstr>
      <vt:lpstr>eurefrata</vt:lpstr>
      <vt:lpstr>Euro_arf</vt:lpstr>
      <vt:lpstr>EurRefrata</vt:lpstr>
      <vt:lpstr>EurRefrata_megj</vt:lpstr>
      <vt:lpstr>evnyil</vt:lpstr>
      <vt:lpstr>evszamnyil</vt:lpstr>
      <vt:lpstr>felhaszntamkeretkbt</vt:lpstr>
      <vt:lpstr>felhaszntamkeretmge</vt:lpstr>
      <vt:lpstr>felhaszntamkeretmgf</vt:lpstr>
      <vt:lpstr>felhaszntamkeretregber</vt:lpstr>
      <vt:lpstr>figyelmeztetés</vt:lpstr>
      <vt:lpstr>Finanszirozo</vt:lpstr>
      <vt:lpstr>FixValtozo</vt:lpstr>
      <vt:lpstr>Folyositas</vt:lpstr>
      <vt:lpstr>Folyositas_igazitott</vt:lpstr>
      <vt:lpstr>forma</vt:lpstr>
      <vt:lpstr>forrásössz</vt:lpstr>
      <vt:lpstr>futamidohossza</vt:lpstr>
      <vt:lpstr>futamidokezdete</vt:lpstr>
      <vt:lpstr>futamidovége</vt:lpstr>
      <vt:lpstr>futamkezdet</vt:lpstr>
      <vt:lpstr>gazform</vt:lpstr>
      <vt:lpstr>gazformnyil</vt:lpstr>
      <vt:lpstr>h_csk_huf</vt:lpstr>
      <vt:lpstr>havi_torlesztes</vt:lpstr>
      <vt:lpstr>hazszam</vt:lpstr>
      <vt:lpstr>hcs_0</vt:lpstr>
      <vt:lpstr>hcs_1</vt:lpstr>
      <vt:lpstr>hcs_2</vt:lpstr>
      <vt:lpstr>hcs_3</vt:lpstr>
      <vt:lpstr>hcs_k</vt:lpstr>
      <vt:lpstr>hcs_ossz</vt:lpstr>
      <vt:lpstr>hcs0</vt:lpstr>
      <vt:lpstr>helysegnyil</vt:lpstr>
      <vt:lpstr>HetelTipusa</vt:lpstr>
      <vt:lpstr>hitel</vt:lpstr>
      <vt:lpstr>hitelek</vt:lpstr>
      <vt:lpstr>Hitelmin_kateg_spec</vt:lpstr>
      <vt:lpstr>Hitelprog_Rovid</vt:lpstr>
      <vt:lpstr>HitelprogHosszu</vt:lpstr>
      <vt:lpstr>hitkamat</vt:lpstr>
      <vt:lpstr>honap_periodus</vt:lpstr>
      <vt:lpstr>honap_periodus_kamat</vt:lpstr>
      <vt:lpstr>honapokszama</vt:lpstr>
      <vt:lpstr>honapokszama_korr</vt:lpstr>
      <vt:lpstr>Honapokszama_megj</vt:lpstr>
      <vt:lpstr>hovege</vt:lpstr>
      <vt:lpstr>HoVeTo</vt:lpstr>
      <vt:lpstr>'Cashflow, Támogatástartalom'!i_eu</vt:lpstr>
      <vt:lpstr>igen_nem</vt:lpstr>
      <vt:lpstr>intesdeminell</vt:lpstr>
      <vt:lpstr>intézményi_kezesség</vt:lpstr>
      <vt:lpstr>irszamnyil</vt:lpstr>
      <vt:lpstr>jelleg</vt:lpstr>
      <vt:lpstr>jellegnyil</vt:lpstr>
      <vt:lpstr>JovahagyasNapja</vt:lpstr>
      <vt:lpstr>Kamatfel_spec</vt:lpstr>
      <vt:lpstr>kamatfelar</vt:lpstr>
      <vt:lpstr>kamatfelartip</vt:lpstr>
      <vt:lpstr>Kamatfiz_gyak</vt:lpstr>
      <vt:lpstr>Kamatfizgyakorisag</vt:lpstr>
      <vt:lpstr>kamatozastipusa</vt:lpstr>
      <vt:lpstr>kapcsemailnyil</vt:lpstr>
      <vt:lpstr>kapcsnyil</vt:lpstr>
      <vt:lpstr>kapcstelnyil</vt:lpstr>
      <vt:lpstr>kateg1</vt:lpstr>
      <vt:lpstr>kateg2</vt:lpstr>
      <vt:lpstr>kateg3</vt:lpstr>
      <vt:lpstr>KBTössz</vt:lpstr>
      <vt:lpstr>keltezes</vt:lpstr>
      <vt:lpstr>kerekitesiElteres1</vt:lpstr>
      <vt:lpstr>kerekitesiElteres2</vt:lpstr>
      <vt:lpstr>KKV</vt:lpstr>
      <vt:lpstr>KKVnyil</vt:lpstr>
      <vt:lpstr>kozep_moi_regio</vt:lpstr>
      <vt:lpstr>kozternevenyil</vt:lpstr>
      <vt:lpstr>koztneve</vt:lpstr>
      <vt:lpstr>lehetaltdemin</vt:lpstr>
      <vt:lpstr>lehethaldemin</vt:lpstr>
      <vt:lpstr>lehethif</vt:lpstr>
      <vt:lpstr>lehetkkvber</vt:lpstr>
      <vt:lpstr>lehetmegujulo</vt:lpstr>
      <vt:lpstr>lehetmgdemin</vt:lpstr>
      <vt:lpstr>lehetmgfeldolg</vt:lpstr>
      <vt:lpstr>lehetmgterm</vt:lpstr>
      <vt:lpstr>lehetregber</vt:lpstr>
      <vt:lpstr>letszam</vt:lpstr>
      <vt:lpstr>letszamno</vt:lpstr>
      <vt:lpstr>lrp</vt:lpstr>
      <vt:lpstr>lrpn</vt:lpstr>
      <vt:lpstr>lrpnű</vt:lpstr>
      <vt:lpstr>m_csk_huf</vt:lpstr>
      <vt:lpstr>mak</vt:lpstr>
      <vt:lpstr>maxtamosszregber</vt:lpstr>
      <vt:lpstr>mcs_1</vt:lpstr>
      <vt:lpstr>mcs_2</vt:lpstr>
      <vt:lpstr>mcs_3</vt:lpstr>
      <vt:lpstr>mcs_k</vt:lpstr>
      <vt:lpstr>mcs_ossz</vt:lpstr>
      <vt:lpstr>mcs0</vt:lpstr>
      <vt:lpstr>megeneössz</vt:lpstr>
      <vt:lpstr>menno</vt:lpstr>
      <vt:lpstr>MGEössz</vt:lpstr>
      <vt:lpstr>MGFössz</vt:lpstr>
      <vt:lpstr>MinKat</vt:lpstr>
      <vt:lpstr>MNBarf</vt:lpstr>
      <vt:lpstr>MNBarf_megj</vt:lpstr>
      <vt:lpstr>'Cashflow, Támogatástartalom'!n_max</vt:lpstr>
      <vt:lpstr>Negyedeves_Hiba</vt:lpstr>
      <vt:lpstr>nettopenzigeny</vt:lpstr>
      <vt:lpstr>NyilvantartasiSzama</vt:lpstr>
      <vt:lpstr>Nyilatkozatok!Nyomtatási_terület</vt:lpstr>
      <vt:lpstr>'Patika Hitelprogram - Kérelem'!Nyomtatási_terület</vt:lpstr>
      <vt:lpstr>'Refinanszírozási kérelem'!Nyomtatási_terület</vt:lpstr>
      <vt:lpstr>'Támogatás tartalom összesítés '!Nyomtatási_terület</vt:lpstr>
      <vt:lpstr>'Támogatási Nyilatkozatok_all'!Nyomtatási_terület</vt:lpstr>
      <vt:lpstr>'Törlesztési ütemterv'!Nyomtatási_terület</vt:lpstr>
      <vt:lpstr>orszagnyil</vt:lpstr>
      <vt:lpstr>penzint</vt:lpstr>
      <vt:lpstr>Periodus_hossz</vt:lpstr>
      <vt:lpstr>Periodus_hossza</vt:lpstr>
      <vt:lpstr>postafioknyil</vt:lpstr>
      <vt:lpstr>Programneve</vt:lpstr>
      <vt:lpstr>pvnév</vt:lpstr>
      <vt:lpstr>PVRKII</vt:lpstr>
      <vt:lpstr>'Cashflow, Támogatástartalom'!Q</vt:lpstr>
      <vt:lpstr>Q_2</vt:lpstr>
      <vt:lpstr>'Cashflow, Támogatástartalom'!r_eu</vt:lpstr>
      <vt:lpstr>'Cashflow, Támogatástartalom'!r_k</vt:lpstr>
      <vt:lpstr>'Cashflow, Támogatástartalom'!r_ref</vt:lpstr>
      <vt:lpstr>RangeRegio</vt:lpstr>
      <vt:lpstr>REBössz</vt:lpstr>
      <vt:lpstr>rebtamint</vt:lpstr>
      <vt:lpstr>RefinKolcsonOsszege</vt:lpstr>
      <vt:lpstr>RefinKolcsonOsszege_megj</vt:lpstr>
      <vt:lpstr>refkamatFelar</vt:lpstr>
      <vt:lpstr>RefRata</vt:lpstr>
      <vt:lpstr>regber</vt:lpstr>
      <vt:lpstr>regio</vt:lpstr>
      <vt:lpstr>rendtarthó</vt:lpstr>
      <vt:lpstr>RendtartKezdete</vt:lpstr>
      <vt:lpstr>RendtartVege</vt:lpstr>
      <vt:lpstr>rt</vt:lpstr>
      <vt:lpstr>sajatero</vt:lpstr>
      <vt:lpstr>szülidonyil</vt:lpstr>
      <vt:lpstr>szülnyil</vt:lpstr>
      <vt:lpstr>tam_tip</vt:lpstr>
      <vt:lpstr>TamInt</vt:lpstr>
      <vt:lpstr>tammentessajatero</vt:lpstr>
      <vt:lpstr>Tamogatasi_kategoria</vt:lpstr>
      <vt:lpstr>TamOsszeg1</vt:lpstr>
      <vt:lpstr>TamOsszeg2</vt:lpstr>
      <vt:lpstr>TamOsszeg3</vt:lpstr>
      <vt:lpstr>tnyilkellaltdemin</vt:lpstr>
      <vt:lpstr>toke6_korr</vt:lpstr>
      <vt:lpstr>tokeallomany_minusz</vt:lpstr>
      <vt:lpstr>Torl2</vt:lpstr>
      <vt:lpstr>'Cashflow, Támogatástartalom'!Torleszt_reszl_Szama</vt:lpstr>
      <vt:lpstr>torlesztesek</vt:lpstr>
      <vt:lpstr>Torlesztesek_kerekitve</vt:lpstr>
      <vt:lpstr>TorlSzam</vt:lpstr>
      <vt:lpstr>TorlTervElsoTorl</vt:lpstr>
      <vt:lpstr>TT_ap</vt:lpstr>
      <vt:lpstr>TT_EUR</vt:lpstr>
      <vt:lpstr>TT_Euro</vt:lpstr>
      <vt:lpstr>'Cashflow, Támogatástartalom'!TT_HUF</vt:lpstr>
      <vt:lpstr>TT_HUF</vt:lpstr>
      <vt:lpstr>TT_kategoria</vt:lpstr>
      <vt:lpstr>TT_kategoria_megj</vt:lpstr>
      <vt:lpstr>TT_TokeHiba</vt:lpstr>
      <vt:lpstr>TTEUR</vt:lpstr>
      <vt:lpstr>TTHelyiInfra</vt:lpstr>
      <vt:lpstr>ttnyilkellhal</vt:lpstr>
      <vt:lpstr>ttnyilkellhif</vt:lpstr>
      <vt:lpstr>ttnyilkellkkv</vt:lpstr>
      <vt:lpstr>ttnyilkellmegújuló</vt:lpstr>
      <vt:lpstr>ttnyilkellmgdemin</vt:lpstr>
      <vt:lpstr>ttnyilkellmgforg</vt:lpstr>
      <vt:lpstr>ttnyilkellmgterm</vt:lpstr>
      <vt:lpstr>ttnyilkellregber</vt:lpstr>
      <vt:lpstr>tulno</vt:lpstr>
      <vt:lpstr>'Cashflow, Támogatástartalom'!Turelmi</vt:lpstr>
      <vt:lpstr>turelmiido</vt:lpstr>
      <vt:lpstr>turelmiido_megj</vt:lpstr>
      <vt:lpstr>türelmiidövége</vt:lpstr>
      <vt:lpstr>u_1</vt:lpstr>
      <vt:lpstr>U_2</vt:lpstr>
      <vt:lpstr>u_3</vt:lpstr>
      <vt:lpstr>u_4</vt:lpstr>
      <vt:lpstr>u_5</vt:lpstr>
      <vt:lpstr>u_6</vt:lpstr>
      <vt:lpstr>u_7</vt:lpstr>
      <vt:lpstr>U_8</vt:lpstr>
      <vt:lpstr>U_9</vt:lpstr>
      <vt:lpstr>Ugyfel</vt:lpstr>
      <vt:lpstr>Ugyfelnyil</vt:lpstr>
      <vt:lpstr>ujmunkahely</vt:lpstr>
      <vt:lpstr>utem</vt:lpstr>
      <vt:lpstr>Utolso_torl_honap</vt:lpstr>
      <vt:lpstr>UtolsoFennalloToketart</vt:lpstr>
      <vt:lpstr>UtolsoTorleszto</vt:lpstr>
      <vt:lpstr>ügyfnév</vt:lpstr>
      <vt:lpstr>vállemailnyil</vt:lpstr>
      <vt:lpstr>válltelnyil</vt:lpstr>
      <vt:lpstr>xRegio</vt:lpstr>
      <vt:lpstr>zRegio</vt:lpstr>
    </vt:vector>
  </TitlesOfParts>
  <Company>MFB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Horváth Zoltán</dc:creator>
  <cp:lastModifiedBy>Microsoft Office User</cp:lastModifiedBy>
  <cp:lastPrinted>2019-11-05T09:52:28Z</cp:lastPrinted>
  <dcterms:created xsi:type="dcterms:W3CDTF">2018-01-11T12:30:51Z</dcterms:created>
  <dcterms:modified xsi:type="dcterms:W3CDTF">2020-11-02T12:21:06Z</dcterms:modified>
</cp:coreProperties>
</file>